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ar\Desktop\"/>
    </mc:Choice>
  </mc:AlternateContent>
  <xr:revisionPtr revIDLastSave="0" documentId="13_ncr:1_{06584E5F-7EAD-4ED3-ADDB-2748B6909734}" xr6:coauthVersionLast="47" xr6:coauthVersionMax="47" xr10:uidLastSave="{00000000-0000-0000-0000-000000000000}"/>
  <bookViews>
    <workbookView xWindow="-120" yWindow="-120" windowWidth="19440" windowHeight="15000" tabRatio="839" firstSheet="1" activeTab="1" xr2:uid="{00000000-000D-0000-FFFF-FFFF00000000}"/>
  </bookViews>
  <sheets>
    <sheet name="Info" sheetId="92" r:id="rId1"/>
    <sheet name="Main" sheetId="91" r:id="rId2"/>
    <sheet name="30-7-2023" sheetId="108" r:id="rId3"/>
    <sheet name="29-7-2023" sheetId="107" r:id="rId4"/>
    <sheet name="28-7-2023" sheetId="106" r:id="rId5"/>
    <sheet name="27-7-2023" sheetId="105" r:id="rId6"/>
    <sheet name="26-7-2023" sheetId="104" r:id="rId7"/>
    <sheet name="25-7-2023" sheetId="103" r:id="rId8"/>
    <sheet name="24-7-2023" sheetId="102" r:id="rId9"/>
    <sheet name="23-7-2023" sheetId="98" r:id="rId10"/>
    <sheet name="22-7-2023" sheetId="99" r:id="rId11"/>
    <sheet name="21-7-2023" sheetId="100" r:id="rId12"/>
    <sheet name="20-7-2023" sheetId="101" r:id="rId13"/>
    <sheet name="19-7-2023" sheetId="97" r:id="rId14"/>
    <sheet name="18-7-2023" sheetId="95" r:id="rId15"/>
    <sheet name="17 07 2023_x0009_" sheetId="94" r:id="rId16"/>
    <sheet name="16-7-2023" sheetId="88" r:id="rId17"/>
    <sheet name="1-7-2023" sheetId="34" r:id="rId18"/>
    <sheet name="2-7-2023" sheetId="73" r:id="rId19"/>
    <sheet name="3-7-2023" sheetId="74" r:id="rId20"/>
    <sheet name="4-7-2023" sheetId="75" r:id="rId21"/>
    <sheet name="5-7-2023" sheetId="76" r:id="rId22"/>
    <sheet name="Main (2)" sheetId="96" r:id="rId23"/>
    <sheet name="6-7-2023" sheetId="77" r:id="rId24"/>
    <sheet name="7-7-2023" sheetId="78" r:id="rId25"/>
    <sheet name="8-7-2023" sheetId="79" r:id="rId26"/>
    <sheet name="9-7-2023" sheetId="80" r:id="rId27"/>
    <sheet name="10-7-2023" sheetId="81" r:id="rId28"/>
    <sheet name="11-7-2023" sheetId="82" r:id="rId29"/>
    <sheet name="12-7-2023" sheetId="83" r:id="rId30"/>
    <sheet name="13-7-2023" sheetId="85" r:id="rId31"/>
    <sheet name="14-7-2023" sheetId="93" r:id="rId32"/>
    <sheet name="15-7-2023" sheetId="87" r:id="rId33"/>
    <sheet name="data" sheetId="90" r:id="rId34"/>
  </sheets>
  <externalReferences>
    <externalReference r:id="rId35"/>
  </externalReferences>
  <definedNames>
    <definedName name="_xlnm._FilterDatabase" localSheetId="1" hidden="1">Main!$A$4:$I$2512</definedName>
    <definedName name="_xlnm._FilterDatabase" localSheetId="22" hidden="1">'Main (2)'!$A$4:$I$1633</definedName>
    <definedName name="_xlcn.WorksheetConnection_ايراداتشهر7نهائي.xlsxTable121" hidden="1">Table12</definedName>
    <definedName name="_xlcn.WorksheetConnection_ايراداتشهر7نهائي.xlsxTable131" hidden="1">Table13</definedName>
  </definedNames>
  <calcPr calcId="191029"/>
  <fileRecoveryPr repairLoad="1"/>
  <extLst>
    <ext xmlns:x15="http://schemas.microsoft.com/office/spreadsheetml/2010/11/main" uri="{FCE2AD5D-F65C-4FA6-A056-5C36A1767C68}">
      <x15:dataModel>
        <x15:modelTables>
          <x15:modelTable id="Table12" name="Table12" connection="WorksheetConnection_ايرادات شهر 7 نهائي.xlsx!Table12"/>
          <x15:modelTable id="Table13" name="Table13" connection="WorksheetConnection_ايرادات شهر 7 نهائي.xlsx!Table13"/>
        </x15:modelTables>
        <x15:modelRelationships>
          <x15:modelRelationship fromTable="Table12" fromColumn="احمد" toTable="Table13" toColumn="محمود"/>
        </x15:modelRelationships>
      </x15:dataModel>
    </ext>
  </extLst>
</workbook>
</file>

<file path=xl/calcChain.xml><?xml version="1.0" encoding="utf-8"?>
<calcChain xmlns="http://schemas.openxmlformats.org/spreadsheetml/2006/main">
  <c r="E2477" i="91" l="1"/>
  <c r="H2415" i="91" l="1"/>
  <c r="H2416" i="91" s="1"/>
  <c r="H2417" i="91" s="1"/>
  <c r="H2418" i="91" s="1"/>
  <c r="H2419" i="91" s="1"/>
  <c r="H2420" i="91" s="1"/>
  <c r="H2421" i="91" s="1"/>
  <c r="H2422" i="91" s="1"/>
  <c r="H2423" i="91" s="1"/>
  <c r="H2424" i="91" s="1"/>
  <c r="H2425" i="91" s="1"/>
  <c r="H2426" i="91" s="1"/>
  <c r="H2427" i="91" s="1"/>
  <c r="H2428" i="91" s="1"/>
  <c r="H2429" i="91" s="1"/>
  <c r="H2430" i="91" s="1"/>
  <c r="H2431" i="91" s="1"/>
  <c r="H2432" i="91" s="1"/>
  <c r="H2433" i="91" s="1"/>
  <c r="H2434" i="91" s="1"/>
  <c r="H2435" i="91" s="1"/>
  <c r="H2436" i="91" s="1"/>
  <c r="H2437" i="91" s="1"/>
  <c r="H2438" i="91" s="1"/>
  <c r="H2439" i="91" s="1"/>
  <c r="H2440" i="91" s="1"/>
  <c r="H2441" i="91" s="1"/>
  <c r="H2442" i="91" s="1"/>
  <c r="H2443" i="91" s="1"/>
  <c r="H2444" i="91" s="1"/>
  <c r="H2445" i="91" s="1"/>
  <c r="H2446" i="91" s="1"/>
  <c r="H2447" i="91" s="1"/>
  <c r="H2448" i="91" s="1"/>
  <c r="H2449" i="91" s="1"/>
  <c r="H2450" i="91" s="1"/>
  <c r="H2451" i="91" s="1"/>
  <c r="H2452" i="91" s="1"/>
  <c r="H2453" i="91" s="1"/>
  <c r="H2454" i="91" s="1"/>
  <c r="H2455" i="91" s="1"/>
  <c r="H2456" i="91" s="1"/>
  <c r="H2457" i="91" s="1"/>
  <c r="H2458" i="91" s="1"/>
  <c r="H2459" i="91" s="1"/>
  <c r="H2460" i="91" s="1"/>
  <c r="H2461" i="91" s="1"/>
  <c r="H2462" i="91" s="1"/>
  <c r="H2463" i="91" s="1"/>
  <c r="H2464" i="91" s="1"/>
  <c r="H2465" i="91" s="1"/>
  <c r="H2466" i="91" s="1"/>
  <c r="H2467" i="91" s="1"/>
  <c r="H2468" i="91" s="1"/>
  <c r="H2469" i="91" s="1"/>
  <c r="H2470" i="91" s="1"/>
  <c r="H2471" i="91" s="1"/>
  <c r="H2472" i="91" s="1"/>
  <c r="H2473" i="91" s="1"/>
  <c r="H2474" i="91" s="1"/>
  <c r="H2475" i="91" s="1"/>
  <c r="H2476" i="91" s="1"/>
  <c r="H2477" i="91" s="1"/>
  <c r="H2478" i="91" s="1"/>
  <c r="H2479" i="91" s="1"/>
  <c r="H2480" i="91" s="1"/>
  <c r="H2481" i="91" s="1"/>
  <c r="H2482" i="91" s="1"/>
  <c r="H2483" i="91" s="1"/>
  <c r="H2484" i="91" s="1"/>
  <c r="H2485" i="91" s="1"/>
  <c r="H2486" i="91" s="1"/>
  <c r="H2487" i="91" s="1"/>
  <c r="H2488" i="91" s="1"/>
  <c r="H2489" i="91" s="1"/>
  <c r="H2490" i="91" s="1"/>
  <c r="H2491" i="91" s="1"/>
  <c r="H2492" i="91" s="1"/>
  <c r="H2493" i="91" s="1"/>
  <c r="H2494" i="91" s="1"/>
  <c r="H2495" i="91" s="1"/>
  <c r="H2496" i="91" s="1"/>
  <c r="H2497" i="91" s="1"/>
  <c r="H2498" i="91" s="1"/>
  <c r="H2499" i="91" s="1"/>
  <c r="H2500" i="91" s="1"/>
  <c r="H2501" i="91" s="1"/>
  <c r="H2502" i="91" s="1"/>
  <c r="H2503" i="91" s="1"/>
  <c r="H2504" i="91" s="1"/>
  <c r="H2505" i="91" s="1"/>
  <c r="H2506" i="91" s="1"/>
  <c r="H2507" i="91" s="1"/>
  <c r="H2508" i="91" s="1"/>
  <c r="H2509" i="91" s="1"/>
  <c r="H2510" i="91" s="1"/>
  <c r="H2511" i="91" s="1"/>
  <c r="H2512" i="91" s="1"/>
  <c r="H7" i="91"/>
  <c r="H8" i="91" s="1"/>
  <c r="H9" i="91" s="1"/>
  <c r="H10" i="91" s="1"/>
  <c r="H11" i="91" s="1"/>
  <c r="H12" i="91" s="1"/>
  <c r="H13" i="91" s="1"/>
  <c r="H14" i="91" s="1"/>
  <c r="H15" i="91" s="1"/>
  <c r="H16" i="91" s="1"/>
  <c r="H17" i="91" s="1"/>
  <c r="H18" i="91" s="1"/>
  <c r="H19" i="91" s="1"/>
  <c r="H20" i="91" s="1"/>
  <c r="H21" i="91" s="1"/>
  <c r="H22" i="91" s="1"/>
  <c r="H23" i="91" s="1"/>
  <c r="H24" i="91" s="1"/>
  <c r="H25" i="91" s="1"/>
  <c r="H26" i="91" s="1"/>
  <c r="H27" i="91" s="1"/>
  <c r="H28" i="91" s="1"/>
  <c r="H29" i="91" s="1"/>
  <c r="H30" i="91" s="1"/>
  <c r="H31" i="91" s="1"/>
  <c r="H32" i="91" s="1"/>
  <c r="H33" i="91" s="1"/>
  <c r="H34" i="91" s="1"/>
  <c r="H35" i="91" s="1"/>
  <c r="H36" i="91" s="1"/>
  <c r="H37" i="91" s="1"/>
  <c r="H38" i="91" s="1"/>
  <c r="H39" i="91" s="1"/>
  <c r="H40" i="91" s="1"/>
  <c r="H41" i="91" s="1"/>
  <c r="H42" i="91" s="1"/>
  <c r="H43" i="91" s="1"/>
  <c r="H44" i="91" s="1"/>
  <c r="H45" i="91" s="1"/>
  <c r="H46" i="91" s="1"/>
  <c r="H47" i="91" s="1"/>
  <c r="H48" i="91" s="1"/>
  <c r="H49" i="91" s="1"/>
  <c r="H50" i="91" s="1"/>
  <c r="H51" i="91" s="1"/>
  <c r="H52" i="91" s="1"/>
  <c r="H53" i="91" s="1"/>
  <c r="H54" i="91" s="1"/>
  <c r="H55" i="91" s="1"/>
  <c r="H56" i="91" s="1"/>
  <c r="H57" i="91" s="1"/>
  <c r="H58" i="91" s="1"/>
  <c r="H59" i="91" s="1"/>
  <c r="H60" i="91" s="1"/>
  <c r="H61" i="91" s="1"/>
  <c r="H62" i="91" s="1"/>
  <c r="H63" i="91" s="1"/>
  <c r="H64" i="91" s="1"/>
  <c r="H65" i="91" s="1"/>
  <c r="H66" i="91" s="1"/>
  <c r="H67" i="91" s="1"/>
  <c r="H68" i="91" s="1"/>
  <c r="H69" i="91" s="1"/>
  <c r="H70" i="91" s="1"/>
  <c r="H71" i="91" s="1"/>
  <c r="H72" i="91" s="1"/>
  <c r="H73" i="91" s="1"/>
  <c r="H74" i="91" s="1"/>
  <c r="H75" i="91" s="1"/>
  <c r="H76" i="91" s="1"/>
  <c r="H77" i="91" s="1"/>
  <c r="H78" i="91" s="1"/>
  <c r="H79" i="91" s="1"/>
  <c r="H80" i="91" s="1"/>
  <c r="H81" i="91" s="1"/>
  <c r="H82" i="91" s="1"/>
  <c r="H83" i="91" s="1"/>
  <c r="H84" i="91" s="1"/>
  <c r="H85" i="91" s="1"/>
  <c r="H86" i="91" s="1"/>
  <c r="H87" i="91" s="1"/>
  <c r="H88" i="91" s="1"/>
  <c r="H89" i="91" s="1"/>
  <c r="H90" i="91" s="1"/>
  <c r="H91" i="91" s="1"/>
  <c r="H92" i="91" s="1"/>
  <c r="H93" i="91" s="1"/>
  <c r="H94" i="91" s="1"/>
  <c r="H95" i="91" s="1"/>
  <c r="H96" i="91" s="1"/>
  <c r="H97" i="91" s="1"/>
  <c r="H98" i="91" s="1"/>
  <c r="H99" i="91" s="1"/>
  <c r="H100" i="91" s="1"/>
  <c r="H101" i="91" s="1"/>
  <c r="H102" i="91" s="1"/>
  <c r="H103" i="91" s="1"/>
  <c r="H104" i="91" s="1"/>
  <c r="H105" i="91" s="1"/>
  <c r="H106" i="91" s="1"/>
  <c r="H107" i="91" s="1"/>
  <c r="H108" i="91" s="1"/>
  <c r="H109" i="91" s="1"/>
  <c r="H110" i="91" s="1"/>
  <c r="H111" i="91" s="1"/>
  <c r="H112" i="91" s="1"/>
  <c r="H113" i="91" s="1"/>
  <c r="H114" i="91" s="1"/>
  <c r="H115" i="91" s="1"/>
  <c r="H116" i="91" s="1"/>
  <c r="H117" i="91" s="1"/>
  <c r="H118" i="91" s="1"/>
  <c r="H119" i="91" s="1"/>
  <c r="H120" i="91" s="1"/>
  <c r="H121" i="91" s="1"/>
  <c r="H122" i="91" s="1"/>
  <c r="H123" i="91" s="1"/>
  <c r="H124" i="91" s="1"/>
  <c r="H125" i="91" s="1"/>
  <c r="H126" i="91" s="1"/>
  <c r="H127" i="91" s="1"/>
  <c r="H128" i="91" s="1"/>
  <c r="H129" i="91" s="1"/>
  <c r="H130" i="91" s="1"/>
  <c r="H131" i="91" s="1"/>
  <c r="H132" i="91" s="1"/>
  <c r="H133" i="91" s="1"/>
  <c r="H134" i="91" s="1"/>
  <c r="H135" i="91" s="1"/>
  <c r="H136" i="91" s="1"/>
  <c r="H137" i="91" s="1"/>
  <c r="H138" i="91" s="1"/>
  <c r="H139" i="91" s="1"/>
  <c r="H140" i="91" s="1"/>
  <c r="H141" i="91" s="1"/>
  <c r="H142" i="91" s="1"/>
  <c r="H143" i="91" s="1"/>
  <c r="H144" i="91" s="1"/>
  <c r="H145" i="91" s="1"/>
  <c r="H146" i="91" s="1"/>
  <c r="H147" i="91" s="1"/>
  <c r="H148" i="91" s="1"/>
  <c r="H149" i="91" s="1"/>
  <c r="H150" i="91" s="1"/>
  <c r="H151" i="91" s="1"/>
  <c r="H152" i="91" s="1"/>
  <c r="H153" i="91" s="1"/>
  <c r="H154" i="91" s="1"/>
  <c r="H155" i="91" s="1"/>
  <c r="H156" i="91" s="1"/>
  <c r="H157" i="91" s="1"/>
  <c r="H158" i="91" s="1"/>
  <c r="H159" i="91" s="1"/>
  <c r="H160" i="91" s="1"/>
  <c r="H161" i="91" s="1"/>
  <c r="H162" i="91" s="1"/>
  <c r="H163" i="91" s="1"/>
  <c r="H164" i="91" s="1"/>
  <c r="H165" i="91" s="1"/>
  <c r="H166" i="91" s="1"/>
  <c r="H167" i="91" s="1"/>
  <c r="H168" i="91" s="1"/>
  <c r="H169" i="91" s="1"/>
  <c r="H170" i="91" s="1"/>
  <c r="H171" i="91" s="1"/>
  <c r="H172" i="91" s="1"/>
  <c r="H173" i="91" s="1"/>
  <c r="H174" i="91" s="1"/>
  <c r="H175" i="91" s="1"/>
  <c r="H176" i="91" s="1"/>
  <c r="H177" i="91" s="1"/>
  <c r="H178" i="91" s="1"/>
  <c r="H179" i="91" s="1"/>
  <c r="H180" i="91" s="1"/>
  <c r="H181" i="91" s="1"/>
  <c r="H182" i="91" s="1"/>
  <c r="H183" i="91" s="1"/>
  <c r="H184" i="91" s="1"/>
  <c r="H185" i="91" s="1"/>
  <c r="H186" i="91" s="1"/>
  <c r="H187" i="91" s="1"/>
  <c r="H188" i="91" s="1"/>
  <c r="H189" i="91" s="1"/>
  <c r="H190" i="91" s="1"/>
  <c r="H191" i="91" s="1"/>
  <c r="H192" i="91" s="1"/>
  <c r="H193" i="91" s="1"/>
  <c r="H194" i="91" s="1"/>
  <c r="H195" i="91" s="1"/>
  <c r="H196" i="91" s="1"/>
  <c r="H197" i="91" s="1"/>
  <c r="H198" i="91" s="1"/>
  <c r="H199" i="91" s="1"/>
  <c r="H200" i="91" s="1"/>
  <c r="H201" i="91" s="1"/>
  <c r="H202" i="91" s="1"/>
  <c r="H203" i="91" s="1"/>
  <c r="H204" i="91" s="1"/>
  <c r="H205" i="91" s="1"/>
  <c r="H206" i="91" s="1"/>
  <c r="H207" i="91" s="1"/>
  <c r="H208" i="91" s="1"/>
  <c r="H209" i="91" s="1"/>
  <c r="H210" i="91" s="1"/>
  <c r="H211" i="91" s="1"/>
  <c r="H212" i="91" s="1"/>
  <c r="H213" i="91" s="1"/>
  <c r="H214" i="91" s="1"/>
  <c r="H215" i="91" s="1"/>
  <c r="H216" i="91" s="1"/>
  <c r="H217" i="91" s="1"/>
  <c r="H218" i="91" s="1"/>
  <c r="H219" i="91" s="1"/>
  <c r="H220" i="91" s="1"/>
  <c r="H221" i="91" s="1"/>
  <c r="H222" i="91" s="1"/>
  <c r="H223" i="91" s="1"/>
  <c r="H224" i="91" s="1"/>
  <c r="H225" i="91" s="1"/>
  <c r="H226" i="91" s="1"/>
  <c r="H227" i="91" s="1"/>
  <c r="H228" i="91" s="1"/>
  <c r="H229" i="91" s="1"/>
  <c r="H230" i="91" s="1"/>
  <c r="H231" i="91" s="1"/>
  <c r="H232" i="91" s="1"/>
  <c r="H233" i="91" s="1"/>
  <c r="H234" i="91" s="1"/>
  <c r="H235" i="91" s="1"/>
  <c r="H236" i="91" s="1"/>
  <c r="H237" i="91" s="1"/>
  <c r="H238" i="91" s="1"/>
  <c r="H239" i="91" s="1"/>
  <c r="H240" i="91" s="1"/>
  <c r="H241" i="91" s="1"/>
  <c r="H242" i="91" s="1"/>
  <c r="H243" i="91" s="1"/>
  <c r="H244" i="91" s="1"/>
  <c r="H245" i="91" s="1"/>
  <c r="H246" i="91" s="1"/>
  <c r="H247" i="91" s="1"/>
  <c r="H248" i="91" s="1"/>
  <c r="H249" i="91" s="1"/>
  <c r="H250" i="91" s="1"/>
  <c r="H251" i="91" s="1"/>
  <c r="H252" i="91" s="1"/>
  <c r="H253" i="91" s="1"/>
  <c r="H254" i="91" s="1"/>
  <c r="H255" i="91" s="1"/>
  <c r="H256" i="91" s="1"/>
  <c r="H257" i="91" s="1"/>
  <c r="H258" i="91" s="1"/>
  <c r="H259" i="91" s="1"/>
  <c r="H260" i="91" s="1"/>
  <c r="H261" i="91" s="1"/>
  <c r="H262" i="91" s="1"/>
  <c r="H263" i="91" s="1"/>
  <c r="H264" i="91" s="1"/>
  <c r="H265" i="91" s="1"/>
  <c r="H266" i="91" s="1"/>
  <c r="H267" i="91" s="1"/>
  <c r="H268" i="91" s="1"/>
  <c r="H269" i="91" s="1"/>
  <c r="H270" i="91" s="1"/>
  <c r="H271" i="91" s="1"/>
  <c r="H272" i="91" s="1"/>
  <c r="H273" i="91" s="1"/>
  <c r="H274" i="91" s="1"/>
  <c r="H275" i="91" s="1"/>
  <c r="H276" i="91" s="1"/>
  <c r="H277" i="91" s="1"/>
  <c r="H278" i="91" s="1"/>
  <c r="H279" i="91" s="1"/>
  <c r="H280" i="91" s="1"/>
  <c r="H281" i="91" s="1"/>
  <c r="H282" i="91" s="1"/>
  <c r="H283" i="91" s="1"/>
  <c r="H284" i="91" s="1"/>
  <c r="H285" i="91" s="1"/>
  <c r="H286" i="91" s="1"/>
  <c r="H287" i="91" s="1"/>
  <c r="H288" i="91" s="1"/>
  <c r="H289" i="91" s="1"/>
  <c r="H290" i="91" s="1"/>
  <c r="H291" i="91" s="1"/>
  <c r="H292" i="91" s="1"/>
  <c r="H293" i="91" s="1"/>
  <c r="H294" i="91" s="1"/>
  <c r="H295" i="91" s="1"/>
  <c r="H296" i="91" s="1"/>
  <c r="H297" i="91" s="1"/>
  <c r="H298" i="91" s="1"/>
  <c r="H299" i="91" s="1"/>
  <c r="H300" i="91" s="1"/>
  <c r="H301" i="91" s="1"/>
  <c r="H302" i="91" s="1"/>
  <c r="H303" i="91" s="1"/>
  <c r="H304" i="91" s="1"/>
  <c r="H305" i="91" s="1"/>
  <c r="H306" i="91" s="1"/>
  <c r="H307" i="91" s="1"/>
  <c r="H308" i="91" s="1"/>
  <c r="H309" i="91" s="1"/>
  <c r="H310" i="91" s="1"/>
  <c r="H311" i="91" s="1"/>
  <c r="H312" i="91" s="1"/>
  <c r="H313" i="91" s="1"/>
  <c r="H314" i="91" s="1"/>
  <c r="H315" i="91" s="1"/>
  <c r="H316" i="91" s="1"/>
  <c r="H317" i="91" s="1"/>
  <c r="H318" i="91" s="1"/>
  <c r="H319" i="91" s="1"/>
  <c r="H320" i="91" s="1"/>
  <c r="H321" i="91" s="1"/>
  <c r="H322" i="91" s="1"/>
  <c r="H323" i="91" s="1"/>
  <c r="H324" i="91" s="1"/>
  <c r="H325" i="91" s="1"/>
  <c r="H326" i="91" s="1"/>
  <c r="H327" i="91" s="1"/>
  <c r="H328" i="91" s="1"/>
  <c r="H329" i="91" s="1"/>
  <c r="H330" i="91" s="1"/>
  <c r="H331" i="91" s="1"/>
  <c r="H332" i="91" s="1"/>
  <c r="H333" i="91" s="1"/>
  <c r="H334" i="91" s="1"/>
  <c r="H335" i="91" s="1"/>
  <c r="H336" i="91" s="1"/>
  <c r="H337" i="91" s="1"/>
  <c r="H338" i="91" s="1"/>
  <c r="H339" i="91" s="1"/>
  <c r="H340" i="91" s="1"/>
  <c r="H341" i="91" s="1"/>
  <c r="H342" i="91" s="1"/>
  <c r="H343" i="91" s="1"/>
  <c r="H344" i="91" s="1"/>
  <c r="H345" i="91" s="1"/>
  <c r="H346" i="91" s="1"/>
  <c r="H347" i="91" s="1"/>
  <c r="H348" i="91" s="1"/>
  <c r="H349" i="91" s="1"/>
  <c r="H350" i="91" s="1"/>
  <c r="H351" i="91" s="1"/>
  <c r="H352" i="91" s="1"/>
  <c r="H353" i="91" s="1"/>
  <c r="H354" i="91" s="1"/>
  <c r="H355" i="91" s="1"/>
  <c r="H356" i="91" s="1"/>
  <c r="H357" i="91" s="1"/>
  <c r="H358" i="91" s="1"/>
  <c r="H359" i="91" s="1"/>
  <c r="H360" i="91" s="1"/>
  <c r="H361" i="91" s="1"/>
  <c r="H362" i="91" s="1"/>
  <c r="H363" i="91" s="1"/>
  <c r="H364" i="91" s="1"/>
  <c r="H365" i="91" s="1"/>
  <c r="H366" i="91" s="1"/>
  <c r="H367" i="91" s="1"/>
  <c r="H368" i="91" s="1"/>
  <c r="H369" i="91" s="1"/>
  <c r="H370" i="91" s="1"/>
  <c r="H371" i="91" s="1"/>
  <c r="H372" i="91" s="1"/>
  <c r="H373" i="91" s="1"/>
  <c r="H374" i="91" s="1"/>
  <c r="H375" i="91" s="1"/>
  <c r="H376" i="91" s="1"/>
  <c r="H377" i="91" s="1"/>
  <c r="H378" i="91" s="1"/>
  <c r="H379" i="91" s="1"/>
  <c r="H380" i="91" s="1"/>
  <c r="H381" i="91" s="1"/>
  <c r="H382" i="91" s="1"/>
  <c r="H383" i="91" s="1"/>
  <c r="H384" i="91" s="1"/>
  <c r="H385" i="91" s="1"/>
  <c r="H386" i="91" s="1"/>
  <c r="H387" i="91" s="1"/>
  <c r="H388" i="91" s="1"/>
  <c r="H389" i="91" s="1"/>
  <c r="H390" i="91" s="1"/>
  <c r="H391" i="91" s="1"/>
  <c r="H392" i="91" s="1"/>
  <c r="H393" i="91" s="1"/>
  <c r="H394" i="91" s="1"/>
  <c r="H395" i="91" s="1"/>
  <c r="H396" i="91" s="1"/>
  <c r="H397" i="91" s="1"/>
  <c r="H398" i="91" s="1"/>
  <c r="H399" i="91" s="1"/>
  <c r="H400" i="91" s="1"/>
  <c r="H401" i="91" s="1"/>
  <c r="H402" i="91" s="1"/>
  <c r="H403" i="91" s="1"/>
  <c r="H404" i="91" s="1"/>
  <c r="H405" i="91" s="1"/>
  <c r="H406" i="91" s="1"/>
  <c r="H407" i="91" s="1"/>
  <c r="H408" i="91" s="1"/>
  <c r="H409" i="91" s="1"/>
  <c r="H410" i="91" s="1"/>
  <c r="H411" i="91" s="1"/>
  <c r="H412" i="91" s="1"/>
  <c r="H413" i="91" s="1"/>
  <c r="H414" i="91" s="1"/>
  <c r="H415" i="91" s="1"/>
  <c r="H416" i="91" s="1"/>
  <c r="H417" i="91" s="1"/>
  <c r="H418" i="91" s="1"/>
  <c r="H419" i="91" s="1"/>
  <c r="H420" i="91" s="1"/>
  <c r="H421" i="91" s="1"/>
  <c r="H422" i="91" s="1"/>
  <c r="H423" i="91" s="1"/>
  <c r="H424" i="91" s="1"/>
  <c r="H425" i="91" s="1"/>
  <c r="H426" i="91" s="1"/>
  <c r="H427" i="91" s="1"/>
  <c r="H428" i="91" s="1"/>
  <c r="H429" i="91" s="1"/>
  <c r="H430" i="91" s="1"/>
  <c r="H431" i="91" s="1"/>
  <c r="H432" i="91" s="1"/>
  <c r="H433" i="91" s="1"/>
  <c r="H434" i="91" s="1"/>
  <c r="H435" i="91" s="1"/>
  <c r="H436" i="91" s="1"/>
  <c r="H437" i="91" s="1"/>
  <c r="H438" i="91" s="1"/>
  <c r="H439" i="91" s="1"/>
  <c r="H440" i="91" s="1"/>
  <c r="H441" i="91" s="1"/>
  <c r="H442" i="91" s="1"/>
  <c r="H443" i="91" s="1"/>
  <c r="H444" i="91" s="1"/>
  <c r="H445" i="91" s="1"/>
  <c r="H446" i="91" s="1"/>
  <c r="H447" i="91" s="1"/>
  <c r="H448" i="91" s="1"/>
  <c r="H449" i="91" s="1"/>
  <c r="H450" i="91" s="1"/>
  <c r="H451" i="91" s="1"/>
  <c r="H452" i="91" s="1"/>
  <c r="H453" i="91" s="1"/>
  <c r="H454" i="91" s="1"/>
  <c r="H455" i="91" s="1"/>
  <c r="H456" i="91" s="1"/>
  <c r="H457" i="91" s="1"/>
  <c r="H458" i="91" s="1"/>
  <c r="H459" i="91" s="1"/>
  <c r="H460" i="91" s="1"/>
  <c r="H461" i="91" s="1"/>
  <c r="H462" i="91" s="1"/>
  <c r="H463" i="91" s="1"/>
  <c r="H464" i="91" s="1"/>
  <c r="H465" i="91" s="1"/>
  <c r="H466" i="91" s="1"/>
  <c r="H467" i="91" s="1"/>
  <c r="H468" i="91" s="1"/>
  <c r="H469" i="91" s="1"/>
  <c r="H470" i="91" s="1"/>
  <c r="H471" i="91" s="1"/>
  <c r="H472" i="91" s="1"/>
  <c r="H473" i="91" s="1"/>
  <c r="H474" i="91" s="1"/>
  <c r="H475" i="91" s="1"/>
  <c r="H476" i="91" s="1"/>
  <c r="H477" i="91" s="1"/>
  <c r="H478" i="91" s="1"/>
  <c r="H479" i="91" s="1"/>
  <c r="H480" i="91" s="1"/>
  <c r="H481" i="91" s="1"/>
  <c r="H482" i="91" s="1"/>
  <c r="H483" i="91" s="1"/>
  <c r="H484" i="91" s="1"/>
  <c r="H485" i="91" s="1"/>
  <c r="H486" i="91" s="1"/>
  <c r="H487" i="91" s="1"/>
  <c r="H488" i="91" s="1"/>
  <c r="H489" i="91" s="1"/>
  <c r="H490" i="91" s="1"/>
  <c r="H491" i="91" s="1"/>
  <c r="H492" i="91" s="1"/>
  <c r="H493" i="91" s="1"/>
  <c r="H494" i="91" s="1"/>
  <c r="H495" i="91" s="1"/>
  <c r="H496" i="91" s="1"/>
  <c r="H497" i="91" s="1"/>
  <c r="H498" i="91" s="1"/>
  <c r="H499" i="91" s="1"/>
  <c r="H500" i="91" s="1"/>
  <c r="H501" i="91" s="1"/>
  <c r="H502" i="91" s="1"/>
  <c r="H503" i="91" s="1"/>
  <c r="H504" i="91" s="1"/>
  <c r="H505" i="91" s="1"/>
  <c r="H506" i="91" s="1"/>
  <c r="H507" i="91" s="1"/>
  <c r="H508" i="91" s="1"/>
  <c r="H509" i="91" s="1"/>
  <c r="H510" i="91" s="1"/>
  <c r="H511" i="91" s="1"/>
  <c r="H512" i="91" s="1"/>
  <c r="H513" i="91" s="1"/>
  <c r="H514" i="91" s="1"/>
  <c r="H515" i="91" s="1"/>
  <c r="H516" i="91" s="1"/>
  <c r="H517" i="91" s="1"/>
  <c r="H518" i="91" s="1"/>
  <c r="H519" i="91" s="1"/>
  <c r="H520" i="91" s="1"/>
  <c r="H521" i="91" s="1"/>
  <c r="H522" i="91" s="1"/>
  <c r="H523" i="91" s="1"/>
  <c r="H524" i="91" s="1"/>
  <c r="H525" i="91" s="1"/>
  <c r="H526" i="91" s="1"/>
  <c r="H527" i="91" s="1"/>
  <c r="H528" i="91" s="1"/>
  <c r="H529" i="91" s="1"/>
  <c r="H530" i="91" s="1"/>
  <c r="H531" i="91" s="1"/>
  <c r="H532" i="91" s="1"/>
  <c r="H533" i="91" s="1"/>
  <c r="H534" i="91" s="1"/>
  <c r="H535" i="91" s="1"/>
  <c r="H536" i="91" s="1"/>
  <c r="H537" i="91" s="1"/>
  <c r="H538" i="91" s="1"/>
  <c r="H539" i="91" s="1"/>
  <c r="H540" i="91" s="1"/>
  <c r="H541" i="91" s="1"/>
  <c r="H542" i="91" s="1"/>
  <c r="H543" i="91" s="1"/>
  <c r="H544" i="91" s="1"/>
  <c r="H545" i="91" s="1"/>
  <c r="H546" i="91" s="1"/>
  <c r="H547" i="91" s="1"/>
  <c r="H548" i="91" s="1"/>
  <c r="H549" i="91" s="1"/>
  <c r="H550" i="91" s="1"/>
  <c r="H551" i="91" s="1"/>
  <c r="H552" i="91" s="1"/>
  <c r="H553" i="91" s="1"/>
  <c r="H554" i="91" s="1"/>
  <c r="H555" i="91" s="1"/>
  <c r="H556" i="91" s="1"/>
  <c r="H557" i="91" s="1"/>
  <c r="H558" i="91" s="1"/>
  <c r="H559" i="91" s="1"/>
  <c r="H560" i="91" s="1"/>
  <c r="H561" i="91" s="1"/>
  <c r="H562" i="91" s="1"/>
  <c r="H563" i="91" s="1"/>
  <c r="H564" i="91" s="1"/>
  <c r="H565" i="91" s="1"/>
  <c r="H566" i="91" s="1"/>
  <c r="H567" i="91" s="1"/>
  <c r="H568" i="91" s="1"/>
  <c r="H569" i="91" s="1"/>
  <c r="H570" i="91" s="1"/>
  <c r="H571" i="91" s="1"/>
  <c r="H572" i="91" s="1"/>
  <c r="H573" i="91" s="1"/>
  <c r="H574" i="91" s="1"/>
  <c r="H575" i="91" s="1"/>
  <c r="H576" i="91" s="1"/>
  <c r="H577" i="91" s="1"/>
  <c r="H578" i="91" s="1"/>
  <c r="H579" i="91" s="1"/>
  <c r="H580" i="91" s="1"/>
  <c r="H581" i="91" s="1"/>
  <c r="H582" i="91" s="1"/>
  <c r="H583" i="91" s="1"/>
  <c r="H584" i="91" s="1"/>
  <c r="H585" i="91" s="1"/>
  <c r="H586" i="91" s="1"/>
  <c r="H587" i="91" s="1"/>
  <c r="H588" i="91" s="1"/>
  <c r="H589" i="91" s="1"/>
  <c r="H590" i="91" s="1"/>
  <c r="H591" i="91" s="1"/>
  <c r="H592" i="91" s="1"/>
  <c r="H593" i="91" s="1"/>
  <c r="H594" i="91" s="1"/>
  <c r="H595" i="91" s="1"/>
  <c r="H596" i="91" s="1"/>
  <c r="H597" i="91" s="1"/>
  <c r="H598" i="91" s="1"/>
  <c r="H599" i="91" s="1"/>
  <c r="H600" i="91" s="1"/>
  <c r="H601" i="91" s="1"/>
  <c r="H602" i="91" s="1"/>
  <c r="H603" i="91" s="1"/>
  <c r="H604" i="91" s="1"/>
  <c r="H605" i="91" s="1"/>
  <c r="H606" i="91" s="1"/>
  <c r="H607" i="91" s="1"/>
  <c r="H608" i="91" s="1"/>
  <c r="H609" i="91" s="1"/>
  <c r="H610" i="91" s="1"/>
  <c r="H611" i="91" s="1"/>
  <c r="H612" i="91" s="1"/>
  <c r="H613" i="91" s="1"/>
  <c r="H614" i="91" s="1"/>
  <c r="H615" i="91" s="1"/>
  <c r="H616" i="91" s="1"/>
  <c r="H617" i="91" s="1"/>
  <c r="H618" i="91" s="1"/>
  <c r="H619" i="91" s="1"/>
  <c r="H620" i="91" s="1"/>
  <c r="H621" i="91" s="1"/>
  <c r="H622" i="91" s="1"/>
  <c r="H623" i="91" s="1"/>
  <c r="H624" i="91" s="1"/>
  <c r="H625" i="91" s="1"/>
  <c r="H626" i="91" s="1"/>
  <c r="H627" i="91" s="1"/>
  <c r="H628" i="91" s="1"/>
  <c r="H629" i="91" s="1"/>
  <c r="H630" i="91" s="1"/>
  <c r="H631" i="91" s="1"/>
  <c r="H632" i="91" s="1"/>
  <c r="H633" i="91" s="1"/>
  <c r="H634" i="91" s="1"/>
  <c r="H635" i="91" s="1"/>
  <c r="H636" i="91" s="1"/>
  <c r="H637" i="91" s="1"/>
  <c r="H638" i="91" s="1"/>
  <c r="H639" i="91" s="1"/>
  <c r="H640" i="91" s="1"/>
  <c r="H641" i="91" s="1"/>
  <c r="H642" i="91" s="1"/>
  <c r="H643" i="91" s="1"/>
  <c r="H644" i="91" s="1"/>
  <c r="H645" i="91" s="1"/>
  <c r="H646" i="91" s="1"/>
  <c r="H647" i="91" s="1"/>
  <c r="H648" i="91" s="1"/>
  <c r="H649" i="91" s="1"/>
  <c r="H650" i="91" s="1"/>
  <c r="H651" i="91" s="1"/>
  <c r="H652" i="91" s="1"/>
  <c r="H653" i="91" s="1"/>
  <c r="H654" i="91" s="1"/>
  <c r="H655" i="91" s="1"/>
  <c r="H656" i="91" s="1"/>
  <c r="H657" i="91" s="1"/>
  <c r="H658" i="91" s="1"/>
  <c r="H659" i="91" s="1"/>
  <c r="H660" i="91" s="1"/>
  <c r="H661" i="91" s="1"/>
  <c r="H662" i="91" s="1"/>
  <c r="H663" i="91" s="1"/>
  <c r="H664" i="91" s="1"/>
  <c r="H665" i="91" s="1"/>
  <c r="H666" i="91" s="1"/>
  <c r="H667" i="91" s="1"/>
  <c r="H668" i="91" s="1"/>
  <c r="H669" i="91" s="1"/>
  <c r="H670" i="91" s="1"/>
  <c r="H671" i="91" s="1"/>
  <c r="H672" i="91" s="1"/>
  <c r="H673" i="91" s="1"/>
  <c r="H674" i="91" s="1"/>
  <c r="H675" i="91" s="1"/>
  <c r="H676" i="91" s="1"/>
  <c r="H677" i="91" s="1"/>
  <c r="H678" i="91" s="1"/>
  <c r="H679" i="91" s="1"/>
  <c r="H680" i="91" s="1"/>
  <c r="H681" i="91" s="1"/>
  <c r="H682" i="91" s="1"/>
  <c r="H683" i="91" s="1"/>
  <c r="H684" i="91" s="1"/>
  <c r="H685" i="91" s="1"/>
  <c r="H686" i="91" s="1"/>
  <c r="H687" i="91" s="1"/>
  <c r="H688" i="91" s="1"/>
  <c r="H689" i="91" s="1"/>
  <c r="H690" i="91" s="1"/>
  <c r="H691" i="91" s="1"/>
  <c r="H692" i="91" s="1"/>
  <c r="H693" i="91" s="1"/>
  <c r="H694" i="91" s="1"/>
  <c r="H695" i="91" s="1"/>
  <c r="H696" i="91" s="1"/>
  <c r="H697" i="91" s="1"/>
  <c r="H698" i="91" s="1"/>
  <c r="H699" i="91" s="1"/>
  <c r="H700" i="91" s="1"/>
  <c r="H701" i="91" s="1"/>
  <c r="H702" i="91" s="1"/>
  <c r="H703" i="91" s="1"/>
  <c r="H704" i="91" s="1"/>
  <c r="H705" i="91" s="1"/>
  <c r="H706" i="91" s="1"/>
  <c r="H707" i="91" s="1"/>
  <c r="H708" i="91" s="1"/>
  <c r="H709" i="91" s="1"/>
  <c r="H710" i="91" s="1"/>
  <c r="H711" i="91" s="1"/>
  <c r="H712" i="91" s="1"/>
  <c r="H713" i="91" s="1"/>
  <c r="H714" i="91" s="1"/>
  <c r="H715" i="91" s="1"/>
  <c r="H716" i="91" s="1"/>
  <c r="H717" i="91" s="1"/>
  <c r="H718" i="91" s="1"/>
  <c r="H719" i="91" s="1"/>
  <c r="H720" i="91" s="1"/>
  <c r="H721" i="91" s="1"/>
  <c r="H722" i="91" s="1"/>
  <c r="H723" i="91" s="1"/>
  <c r="H724" i="91" s="1"/>
  <c r="H725" i="91" s="1"/>
  <c r="H726" i="91" s="1"/>
  <c r="H727" i="91" s="1"/>
  <c r="H728" i="91" s="1"/>
  <c r="H729" i="91" s="1"/>
  <c r="H730" i="91" s="1"/>
  <c r="H731" i="91" s="1"/>
  <c r="H732" i="91" s="1"/>
  <c r="H733" i="91" s="1"/>
  <c r="H734" i="91" s="1"/>
  <c r="H735" i="91" s="1"/>
  <c r="H736" i="91" s="1"/>
  <c r="H737" i="91" s="1"/>
  <c r="H738" i="91" s="1"/>
  <c r="H739" i="91" s="1"/>
  <c r="H740" i="91" s="1"/>
  <c r="H741" i="91" s="1"/>
  <c r="H742" i="91" s="1"/>
  <c r="H743" i="91" s="1"/>
  <c r="H744" i="91" s="1"/>
  <c r="H745" i="91" s="1"/>
  <c r="H746" i="91" s="1"/>
  <c r="H747" i="91" s="1"/>
  <c r="H748" i="91" s="1"/>
  <c r="H749" i="91" s="1"/>
  <c r="H750" i="91" s="1"/>
  <c r="H751" i="91" s="1"/>
  <c r="H752" i="91" s="1"/>
  <c r="H753" i="91" s="1"/>
  <c r="H754" i="91" s="1"/>
  <c r="H755" i="91" s="1"/>
  <c r="H756" i="91" s="1"/>
  <c r="H757" i="91" s="1"/>
  <c r="H758" i="91" s="1"/>
  <c r="H759" i="91" s="1"/>
  <c r="H760" i="91" s="1"/>
  <c r="H761" i="91" s="1"/>
  <c r="H762" i="91" s="1"/>
  <c r="H763" i="91" s="1"/>
  <c r="H764" i="91" s="1"/>
  <c r="H765" i="91" s="1"/>
  <c r="H766" i="91" s="1"/>
  <c r="H767" i="91" s="1"/>
  <c r="H768" i="91" s="1"/>
  <c r="H769" i="91" s="1"/>
  <c r="H770" i="91" s="1"/>
  <c r="H771" i="91" s="1"/>
  <c r="H772" i="91" s="1"/>
  <c r="H773" i="91" s="1"/>
  <c r="H774" i="91" s="1"/>
  <c r="H775" i="91" s="1"/>
  <c r="H776" i="91" s="1"/>
  <c r="H777" i="91" s="1"/>
  <c r="H778" i="91" s="1"/>
  <c r="H779" i="91" s="1"/>
  <c r="H780" i="91" s="1"/>
  <c r="H781" i="91" s="1"/>
  <c r="H782" i="91" s="1"/>
  <c r="H783" i="91" s="1"/>
  <c r="H784" i="91" s="1"/>
  <c r="H785" i="91" s="1"/>
  <c r="H786" i="91" s="1"/>
  <c r="H787" i="91" s="1"/>
  <c r="H788" i="91" s="1"/>
  <c r="H789" i="91" s="1"/>
  <c r="H790" i="91" s="1"/>
  <c r="H791" i="91" s="1"/>
  <c r="H792" i="91" s="1"/>
  <c r="H793" i="91" s="1"/>
  <c r="H794" i="91" s="1"/>
  <c r="H795" i="91" s="1"/>
  <c r="H796" i="91" s="1"/>
  <c r="H797" i="91" s="1"/>
  <c r="H798" i="91" s="1"/>
  <c r="H799" i="91" s="1"/>
  <c r="H800" i="91" s="1"/>
  <c r="H801" i="91" s="1"/>
  <c r="H802" i="91" s="1"/>
  <c r="H803" i="91" s="1"/>
  <c r="H804" i="91" s="1"/>
  <c r="H805" i="91" s="1"/>
  <c r="H806" i="91" s="1"/>
  <c r="H807" i="91" s="1"/>
  <c r="H808" i="91" s="1"/>
  <c r="H809" i="91" s="1"/>
  <c r="H810" i="91" s="1"/>
  <c r="H811" i="91" s="1"/>
  <c r="H812" i="91" s="1"/>
  <c r="H813" i="91" s="1"/>
  <c r="H814" i="91" s="1"/>
  <c r="H815" i="91" s="1"/>
  <c r="H816" i="91" s="1"/>
  <c r="H817" i="91" s="1"/>
  <c r="H818" i="91" s="1"/>
  <c r="H819" i="91" s="1"/>
  <c r="H820" i="91" s="1"/>
  <c r="H821" i="91" s="1"/>
  <c r="H822" i="91" s="1"/>
  <c r="H823" i="91" s="1"/>
  <c r="H824" i="91" s="1"/>
  <c r="H825" i="91" s="1"/>
  <c r="H826" i="91" s="1"/>
  <c r="H827" i="91" s="1"/>
  <c r="H828" i="91" s="1"/>
  <c r="H829" i="91" s="1"/>
  <c r="H830" i="91" s="1"/>
  <c r="H831" i="91" s="1"/>
  <c r="H832" i="91" s="1"/>
  <c r="H833" i="91" s="1"/>
  <c r="H834" i="91" s="1"/>
  <c r="H835" i="91" s="1"/>
  <c r="H836" i="91" s="1"/>
  <c r="H837" i="91" s="1"/>
  <c r="H838" i="91" s="1"/>
  <c r="H839" i="91" s="1"/>
  <c r="H840" i="91" s="1"/>
  <c r="H841" i="91" s="1"/>
  <c r="H842" i="91" s="1"/>
  <c r="H843" i="91" s="1"/>
  <c r="H844" i="91" s="1"/>
  <c r="H845" i="91" s="1"/>
  <c r="H846" i="91" s="1"/>
  <c r="H847" i="91" s="1"/>
  <c r="H848" i="91" s="1"/>
  <c r="H849" i="91" s="1"/>
  <c r="H850" i="91" s="1"/>
  <c r="H851" i="91" s="1"/>
  <c r="H852" i="91" s="1"/>
  <c r="H853" i="91" s="1"/>
  <c r="H854" i="91" s="1"/>
  <c r="H855" i="91" s="1"/>
  <c r="H856" i="91" s="1"/>
  <c r="H857" i="91" s="1"/>
  <c r="H858" i="91" s="1"/>
  <c r="H859" i="91" s="1"/>
  <c r="H860" i="91" s="1"/>
  <c r="H861" i="91" s="1"/>
  <c r="H862" i="91" s="1"/>
  <c r="H863" i="91" s="1"/>
  <c r="H864" i="91" s="1"/>
  <c r="H865" i="91" s="1"/>
  <c r="H866" i="91" s="1"/>
  <c r="H867" i="91" s="1"/>
  <c r="H868" i="91" s="1"/>
  <c r="H869" i="91" s="1"/>
  <c r="H870" i="91" s="1"/>
  <c r="H871" i="91" s="1"/>
  <c r="H872" i="91" s="1"/>
  <c r="H873" i="91" s="1"/>
  <c r="H874" i="91" s="1"/>
  <c r="H875" i="91" s="1"/>
  <c r="H876" i="91" s="1"/>
  <c r="H877" i="91" s="1"/>
  <c r="H878" i="91" s="1"/>
  <c r="H879" i="91" s="1"/>
  <c r="H880" i="91" s="1"/>
  <c r="H881" i="91" s="1"/>
  <c r="H882" i="91" s="1"/>
  <c r="H883" i="91" s="1"/>
  <c r="H884" i="91" s="1"/>
  <c r="H885" i="91" s="1"/>
  <c r="H886" i="91" s="1"/>
  <c r="H887" i="91" s="1"/>
  <c r="H888" i="91" s="1"/>
  <c r="H889" i="91" s="1"/>
  <c r="H890" i="91" s="1"/>
  <c r="H891" i="91" s="1"/>
  <c r="H892" i="91" s="1"/>
  <c r="H893" i="91" s="1"/>
  <c r="H894" i="91" s="1"/>
  <c r="H895" i="91" s="1"/>
  <c r="H896" i="91" s="1"/>
  <c r="H897" i="91" s="1"/>
  <c r="H898" i="91" s="1"/>
  <c r="H899" i="91" s="1"/>
  <c r="H900" i="91" s="1"/>
  <c r="H901" i="91" s="1"/>
  <c r="H902" i="91" s="1"/>
  <c r="H903" i="91" s="1"/>
  <c r="H904" i="91" s="1"/>
  <c r="H905" i="91" s="1"/>
  <c r="H906" i="91" s="1"/>
  <c r="H907" i="91" s="1"/>
  <c r="H908" i="91" s="1"/>
  <c r="H909" i="91" s="1"/>
  <c r="H910" i="91" s="1"/>
  <c r="H911" i="91" s="1"/>
  <c r="H912" i="91" s="1"/>
  <c r="H913" i="91" s="1"/>
  <c r="H914" i="91" s="1"/>
  <c r="H915" i="91" s="1"/>
  <c r="H916" i="91" s="1"/>
  <c r="H917" i="91" s="1"/>
  <c r="H918" i="91" s="1"/>
  <c r="H919" i="91" s="1"/>
  <c r="H920" i="91" s="1"/>
  <c r="H921" i="91" s="1"/>
  <c r="H922" i="91" s="1"/>
  <c r="H923" i="91" s="1"/>
  <c r="H924" i="91" s="1"/>
  <c r="H925" i="91" s="1"/>
  <c r="H926" i="91" s="1"/>
  <c r="H927" i="91" s="1"/>
  <c r="H928" i="91" s="1"/>
  <c r="H929" i="91" s="1"/>
  <c r="H930" i="91" s="1"/>
  <c r="H931" i="91" s="1"/>
  <c r="H932" i="91" s="1"/>
  <c r="H933" i="91" s="1"/>
  <c r="H934" i="91" s="1"/>
  <c r="H935" i="91" s="1"/>
  <c r="H936" i="91" s="1"/>
  <c r="H937" i="91" s="1"/>
  <c r="H938" i="91" s="1"/>
  <c r="H939" i="91" s="1"/>
  <c r="H940" i="91" s="1"/>
  <c r="H941" i="91" s="1"/>
  <c r="H942" i="91" s="1"/>
  <c r="H943" i="91" s="1"/>
  <c r="H944" i="91" s="1"/>
  <c r="H945" i="91" s="1"/>
  <c r="H946" i="91" s="1"/>
  <c r="H947" i="91" s="1"/>
  <c r="H948" i="91" s="1"/>
  <c r="H949" i="91" s="1"/>
  <c r="H950" i="91" s="1"/>
  <c r="H951" i="91" s="1"/>
  <c r="H952" i="91" s="1"/>
  <c r="H953" i="91" s="1"/>
  <c r="H954" i="91" s="1"/>
  <c r="H955" i="91" s="1"/>
  <c r="H956" i="91" s="1"/>
  <c r="H957" i="91" s="1"/>
  <c r="H958" i="91" s="1"/>
  <c r="H959" i="91" s="1"/>
  <c r="H960" i="91" s="1"/>
  <c r="H961" i="91" s="1"/>
  <c r="H962" i="91" s="1"/>
  <c r="H963" i="91" s="1"/>
  <c r="H964" i="91" s="1"/>
  <c r="H965" i="91" s="1"/>
  <c r="H966" i="91" s="1"/>
  <c r="H967" i="91" s="1"/>
  <c r="H968" i="91" s="1"/>
  <c r="H969" i="91" s="1"/>
  <c r="H970" i="91" s="1"/>
  <c r="H971" i="91" s="1"/>
  <c r="H972" i="91" s="1"/>
  <c r="H973" i="91" s="1"/>
  <c r="H974" i="91" s="1"/>
  <c r="H975" i="91" s="1"/>
  <c r="H976" i="91" s="1"/>
  <c r="H977" i="91" s="1"/>
  <c r="H978" i="91" s="1"/>
  <c r="H979" i="91" s="1"/>
  <c r="H980" i="91" s="1"/>
  <c r="H981" i="91" s="1"/>
  <c r="H982" i="91" s="1"/>
  <c r="H983" i="91" s="1"/>
  <c r="H984" i="91" s="1"/>
  <c r="H985" i="91" s="1"/>
  <c r="H986" i="91" s="1"/>
  <c r="H987" i="91" s="1"/>
  <c r="H988" i="91" s="1"/>
  <c r="H989" i="91" s="1"/>
  <c r="H990" i="91" s="1"/>
  <c r="H991" i="91" s="1"/>
  <c r="H992" i="91" s="1"/>
  <c r="H993" i="91" s="1"/>
  <c r="H994" i="91" s="1"/>
  <c r="H995" i="91" s="1"/>
  <c r="H996" i="91" s="1"/>
  <c r="H997" i="91" s="1"/>
  <c r="H998" i="91" s="1"/>
  <c r="H999" i="91" s="1"/>
  <c r="H1000" i="91" s="1"/>
  <c r="H1001" i="91" s="1"/>
  <c r="H1002" i="91" s="1"/>
  <c r="H1003" i="91" s="1"/>
  <c r="H1004" i="91" s="1"/>
  <c r="H1005" i="91" s="1"/>
  <c r="H1006" i="91" s="1"/>
  <c r="H1007" i="91" s="1"/>
  <c r="H1008" i="91" s="1"/>
  <c r="H1009" i="91" s="1"/>
  <c r="H1010" i="91" s="1"/>
  <c r="H1011" i="91" s="1"/>
  <c r="H1012" i="91" s="1"/>
  <c r="H1013" i="91" s="1"/>
  <c r="H1014" i="91" s="1"/>
  <c r="H1015" i="91" s="1"/>
  <c r="H1016" i="91" s="1"/>
  <c r="H1017" i="91" s="1"/>
  <c r="H1018" i="91" s="1"/>
  <c r="H1019" i="91" s="1"/>
  <c r="H1020" i="91" s="1"/>
  <c r="H1021" i="91" s="1"/>
  <c r="H1022" i="91" s="1"/>
  <c r="H1023" i="91" s="1"/>
  <c r="H1024" i="91" s="1"/>
  <c r="H1025" i="91" s="1"/>
  <c r="H1026" i="91" s="1"/>
  <c r="H1027" i="91" s="1"/>
  <c r="H1028" i="91" s="1"/>
  <c r="H1029" i="91" s="1"/>
  <c r="H1030" i="91" s="1"/>
  <c r="H1031" i="91" s="1"/>
  <c r="H1032" i="91" s="1"/>
  <c r="H1033" i="91" s="1"/>
  <c r="H1034" i="91" s="1"/>
  <c r="H1035" i="91" s="1"/>
  <c r="H1036" i="91" s="1"/>
  <c r="H1037" i="91" s="1"/>
  <c r="H1038" i="91" s="1"/>
  <c r="H1039" i="91" s="1"/>
  <c r="H1040" i="91" s="1"/>
  <c r="H1041" i="91" s="1"/>
  <c r="H1042" i="91" s="1"/>
  <c r="H1043" i="91" s="1"/>
  <c r="H1044" i="91" s="1"/>
  <c r="H1045" i="91" s="1"/>
  <c r="H1046" i="91" s="1"/>
  <c r="H1047" i="91" s="1"/>
  <c r="H1048" i="91" s="1"/>
  <c r="H1049" i="91" s="1"/>
  <c r="H1050" i="91" s="1"/>
  <c r="H1051" i="91" s="1"/>
  <c r="H1052" i="91" s="1"/>
  <c r="H1053" i="91" s="1"/>
  <c r="H1054" i="91" s="1"/>
  <c r="H1055" i="91" s="1"/>
  <c r="H1056" i="91" s="1"/>
  <c r="H1057" i="91" s="1"/>
  <c r="H1058" i="91" s="1"/>
  <c r="H1059" i="91" s="1"/>
  <c r="H1060" i="91" s="1"/>
  <c r="H1061" i="91" s="1"/>
  <c r="H1062" i="91" s="1"/>
  <c r="H1063" i="91" s="1"/>
  <c r="H1064" i="91" s="1"/>
  <c r="H1065" i="91" s="1"/>
  <c r="H1066" i="91" s="1"/>
  <c r="H1067" i="91" s="1"/>
  <c r="H1068" i="91" s="1"/>
  <c r="H1069" i="91" s="1"/>
  <c r="H1070" i="91" s="1"/>
  <c r="H1071" i="91" s="1"/>
  <c r="H1072" i="91" s="1"/>
  <c r="H1073" i="91" s="1"/>
  <c r="H1074" i="91" s="1"/>
  <c r="H1075" i="91" s="1"/>
  <c r="H1076" i="91" s="1"/>
  <c r="H1077" i="91" s="1"/>
  <c r="H1078" i="91" s="1"/>
  <c r="H1079" i="91" s="1"/>
  <c r="H1080" i="91" s="1"/>
  <c r="H1081" i="91" s="1"/>
  <c r="H1082" i="91" s="1"/>
  <c r="H1083" i="91" s="1"/>
  <c r="H1084" i="91" s="1"/>
  <c r="H1085" i="91" s="1"/>
  <c r="H1086" i="91" s="1"/>
  <c r="H1087" i="91" s="1"/>
  <c r="H1088" i="91" s="1"/>
  <c r="H1089" i="91" s="1"/>
  <c r="H1090" i="91" s="1"/>
  <c r="H1091" i="91" s="1"/>
  <c r="H1092" i="91" s="1"/>
  <c r="H1093" i="91" s="1"/>
  <c r="H1094" i="91" s="1"/>
  <c r="H1095" i="91" s="1"/>
  <c r="H1096" i="91" s="1"/>
  <c r="H1097" i="91" s="1"/>
  <c r="H1098" i="91" s="1"/>
  <c r="H1099" i="91" s="1"/>
  <c r="H1100" i="91" s="1"/>
  <c r="H1101" i="91" s="1"/>
  <c r="H1102" i="91" s="1"/>
  <c r="H1103" i="91" s="1"/>
  <c r="H1104" i="91" s="1"/>
  <c r="H1105" i="91" s="1"/>
  <c r="H1106" i="91" s="1"/>
  <c r="H1107" i="91" s="1"/>
  <c r="H1108" i="91" s="1"/>
  <c r="H1109" i="91" s="1"/>
  <c r="H1110" i="91" s="1"/>
  <c r="H1111" i="91" s="1"/>
  <c r="H1112" i="91" s="1"/>
  <c r="H1113" i="91" s="1"/>
  <c r="H1114" i="91" s="1"/>
  <c r="H1115" i="91" s="1"/>
  <c r="H1116" i="91" s="1"/>
  <c r="H1117" i="91" s="1"/>
  <c r="H1118" i="91" s="1"/>
  <c r="H1119" i="91" s="1"/>
  <c r="H1120" i="91" s="1"/>
  <c r="H1121" i="91" s="1"/>
  <c r="H1122" i="91" s="1"/>
  <c r="H1123" i="91" s="1"/>
  <c r="H1124" i="91" s="1"/>
  <c r="H1125" i="91" s="1"/>
  <c r="H1126" i="91" s="1"/>
  <c r="H1127" i="91" s="1"/>
  <c r="H1128" i="91" s="1"/>
  <c r="H1129" i="91" s="1"/>
  <c r="H1130" i="91" s="1"/>
  <c r="H1131" i="91" s="1"/>
  <c r="H1132" i="91" s="1"/>
  <c r="H1133" i="91" s="1"/>
  <c r="H1134" i="91" s="1"/>
  <c r="H1135" i="91" s="1"/>
  <c r="H1136" i="91" s="1"/>
  <c r="H1137" i="91" s="1"/>
  <c r="H1138" i="91" s="1"/>
  <c r="H1139" i="91" s="1"/>
  <c r="H1140" i="91" s="1"/>
  <c r="H1141" i="91" s="1"/>
  <c r="H1142" i="91" s="1"/>
  <c r="H1143" i="91" s="1"/>
  <c r="H1144" i="91" s="1"/>
  <c r="H1145" i="91" s="1"/>
  <c r="H1146" i="91" s="1"/>
  <c r="H1147" i="91" s="1"/>
  <c r="H1148" i="91" s="1"/>
  <c r="H1149" i="91" s="1"/>
  <c r="H1150" i="91" s="1"/>
  <c r="H1151" i="91" s="1"/>
  <c r="H1152" i="91" s="1"/>
  <c r="H1153" i="91" s="1"/>
  <c r="H1154" i="91" s="1"/>
  <c r="H1155" i="91" s="1"/>
  <c r="H1156" i="91" s="1"/>
  <c r="H1157" i="91" s="1"/>
  <c r="H1158" i="91" s="1"/>
  <c r="H1159" i="91" s="1"/>
  <c r="H1160" i="91" s="1"/>
  <c r="H1161" i="91" s="1"/>
  <c r="H1162" i="91" s="1"/>
  <c r="H1163" i="91" s="1"/>
  <c r="H1164" i="91" s="1"/>
  <c r="H1165" i="91" s="1"/>
  <c r="H1166" i="91" s="1"/>
  <c r="H1167" i="91" s="1"/>
  <c r="H1168" i="91" s="1"/>
  <c r="H1169" i="91" s="1"/>
  <c r="H1170" i="91" s="1"/>
  <c r="H1171" i="91" s="1"/>
  <c r="H1172" i="91" s="1"/>
  <c r="H1173" i="91" s="1"/>
  <c r="H1174" i="91" s="1"/>
  <c r="H1175" i="91" s="1"/>
  <c r="H1176" i="91" s="1"/>
  <c r="H1177" i="91" s="1"/>
  <c r="H1178" i="91" s="1"/>
  <c r="H1179" i="91" s="1"/>
  <c r="H1180" i="91" s="1"/>
  <c r="H1181" i="91" s="1"/>
  <c r="H1182" i="91" s="1"/>
  <c r="H1183" i="91" s="1"/>
  <c r="H1184" i="91" s="1"/>
  <c r="H1185" i="91" s="1"/>
  <c r="H1186" i="91" s="1"/>
  <c r="H1187" i="91" s="1"/>
  <c r="H1188" i="91" s="1"/>
  <c r="H1189" i="91" s="1"/>
  <c r="H1190" i="91" s="1"/>
  <c r="H1191" i="91" s="1"/>
  <c r="H1192" i="91" s="1"/>
  <c r="H1193" i="91" s="1"/>
  <c r="H1194" i="91" s="1"/>
  <c r="H1195" i="91" s="1"/>
  <c r="H1196" i="91" s="1"/>
  <c r="H1197" i="91" s="1"/>
  <c r="H1198" i="91" s="1"/>
  <c r="H1199" i="91" s="1"/>
  <c r="H1200" i="91" s="1"/>
  <c r="H1201" i="91" s="1"/>
  <c r="H1202" i="91" s="1"/>
  <c r="H1203" i="91" s="1"/>
  <c r="H1204" i="91" s="1"/>
  <c r="H1205" i="91" s="1"/>
  <c r="H1206" i="91" s="1"/>
  <c r="H1207" i="91" s="1"/>
  <c r="H1208" i="91" s="1"/>
  <c r="H1209" i="91" s="1"/>
  <c r="H1210" i="91" s="1"/>
  <c r="H1211" i="91" s="1"/>
  <c r="H1212" i="91" s="1"/>
  <c r="H1213" i="91" s="1"/>
  <c r="H1214" i="91" s="1"/>
  <c r="H1215" i="91" s="1"/>
  <c r="H1216" i="91" s="1"/>
  <c r="H1217" i="91" s="1"/>
  <c r="H1218" i="91" s="1"/>
  <c r="H1219" i="91" s="1"/>
  <c r="H1220" i="91" s="1"/>
  <c r="H1221" i="91" s="1"/>
  <c r="H1222" i="91" s="1"/>
  <c r="H1223" i="91" s="1"/>
  <c r="H1224" i="91" s="1"/>
  <c r="H1225" i="91" s="1"/>
  <c r="H1226" i="91" s="1"/>
  <c r="H1227" i="91" s="1"/>
  <c r="H1228" i="91" s="1"/>
  <c r="H1229" i="91" s="1"/>
  <c r="H1230" i="91" s="1"/>
  <c r="H1231" i="91" s="1"/>
  <c r="H1232" i="91" s="1"/>
  <c r="H1233" i="91" s="1"/>
  <c r="H1234" i="91" s="1"/>
  <c r="H1235" i="91" s="1"/>
  <c r="H1236" i="91" s="1"/>
  <c r="H1237" i="91" s="1"/>
  <c r="H1238" i="91" s="1"/>
  <c r="H1239" i="91" s="1"/>
  <c r="H1240" i="91" s="1"/>
  <c r="H1241" i="91" s="1"/>
  <c r="H1242" i="91" s="1"/>
  <c r="H1243" i="91" s="1"/>
  <c r="H1244" i="91" s="1"/>
  <c r="H1245" i="91" s="1"/>
  <c r="H1246" i="91" s="1"/>
  <c r="H1247" i="91" s="1"/>
  <c r="H1248" i="91" s="1"/>
  <c r="H1249" i="91" s="1"/>
  <c r="H1250" i="91" s="1"/>
  <c r="H1251" i="91" s="1"/>
  <c r="H1252" i="91" s="1"/>
  <c r="H1253" i="91" s="1"/>
  <c r="H1254" i="91" s="1"/>
  <c r="H1255" i="91" s="1"/>
  <c r="H1256" i="91" s="1"/>
  <c r="H1257" i="91" s="1"/>
  <c r="H1258" i="91" s="1"/>
  <c r="H1259" i="91" s="1"/>
  <c r="H1260" i="91" s="1"/>
  <c r="H1261" i="91" s="1"/>
  <c r="H1262" i="91" s="1"/>
  <c r="H1263" i="91" s="1"/>
  <c r="H1264" i="91" s="1"/>
  <c r="H1265" i="91" s="1"/>
  <c r="H1266" i="91" s="1"/>
  <c r="H1267" i="91" s="1"/>
  <c r="H1268" i="91" s="1"/>
  <c r="H1269" i="91" s="1"/>
  <c r="H1270" i="91" s="1"/>
  <c r="H1271" i="91" s="1"/>
  <c r="H1272" i="91" s="1"/>
  <c r="H1273" i="91" s="1"/>
  <c r="H1274" i="91" s="1"/>
  <c r="H1275" i="91" s="1"/>
  <c r="H1276" i="91" s="1"/>
  <c r="H1277" i="91" s="1"/>
  <c r="H1278" i="91" s="1"/>
  <c r="H1279" i="91" s="1"/>
  <c r="H1280" i="91" s="1"/>
  <c r="H1281" i="91" s="1"/>
  <c r="H1282" i="91" s="1"/>
  <c r="H1283" i="91" s="1"/>
  <c r="H1284" i="91" s="1"/>
  <c r="H1285" i="91" s="1"/>
  <c r="H1286" i="91" s="1"/>
  <c r="H1287" i="91" s="1"/>
  <c r="H1288" i="91" s="1"/>
  <c r="H1289" i="91" s="1"/>
  <c r="H1290" i="91" s="1"/>
  <c r="H1291" i="91" s="1"/>
  <c r="H1292" i="91" s="1"/>
  <c r="H1293" i="91" s="1"/>
  <c r="H1294" i="91" s="1"/>
  <c r="H1295" i="91" s="1"/>
  <c r="H1296" i="91" s="1"/>
  <c r="H1297" i="91" s="1"/>
  <c r="H1298" i="91" s="1"/>
  <c r="H1299" i="91" s="1"/>
  <c r="H1300" i="91" s="1"/>
  <c r="H1301" i="91" s="1"/>
  <c r="H1302" i="91" s="1"/>
  <c r="H1303" i="91" s="1"/>
  <c r="H1304" i="91" s="1"/>
  <c r="H1305" i="91" s="1"/>
  <c r="H1306" i="91" s="1"/>
  <c r="H1307" i="91" s="1"/>
  <c r="H1308" i="91" s="1"/>
  <c r="H1309" i="91" s="1"/>
  <c r="H1310" i="91" s="1"/>
  <c r="H1311" i="91" s="1"/>
  <c r="H1312" i="91" s="1"/>
  <c r="H1313" i="91" s="1"/>
  <c r="H1314" i="91" s="1"/>
  <c r="H1315" i="91" s="1"/>
  <c r="H1316" i="91" s="1"/>
  <c r="H1317" i="91" s="1"/>
  <c r="H1318" i="91" s="1"/>
  <c r="H1319" i="91" s="1"/>
  <c r="H1320" i="91" s="1"/>
  <c r="H1321" i="91" s="1"/>
  <c r="H1322" i="91" s="1"/>
  <c r="H1323" i="91" s="1"/>
  <c r="H1324" i="91" s="1"/>
  <c r="H1325" i="91" s="1"/>
  <c r="H1326" i="91" s="1"/>
  <c r="H1327" i="91" s="1"/>
  <c r="H1328" i="91" s="1"/>
  <c r="H1329" i="91" s="1"/>
  <c r="H1330" i="91" s="1"/>
  <c r="H1331" i="91" s="1"/>
  <c r="H1332" i="91" s="1"/>
  <c r="H1333" i="91" s="1"/>
  <c r="H1334" i="91" s="1"/>
  <c r="H1335" i="91" s="1"/>
  <c r="H1336" i="91" s="1"/>
  <c r="H1337" i="91" s="1"/>
  <c r="H1338" i="91" s="1"/>
  <c r="H1339" i="91" s="1"/>
  <c r="H1340" i="91" s="1"/>
  <c r="H1341" i="91" s="1"/>
  <c r="H1342" i="91" s="1"/>
  <c r="H1343" i="91" s="1"/>
  <c r="H1344" i="91" s="1"/>
  <c r="H1345" i="91" s="1"/>
  <c r="H1346" i="91" s="1"/>
  <c r="H1347" i="91" s="1"/>
  <c r="H1348" i="91" s="1"/>
  <c r="H1349" i="91" s="1"/>
  <c r="H1350" i="91" s="1"/>
  <c r="H1351" i="91" s="1"/>
  <c r="H1352" i="91" s="1"/>
  <c r="H1353" i="91" s="1"/>
  <c r="H1354" i="91" s="1"/>
  <c r="H1355" i="91" s="1"/>
  <c r="H1356" i="91" s="1"/>
  <c r="H1357" i="91" s="1"/>
  <c r="H1358" i="91" s="1"/>
  <c r="H1359" i="91" s="1"/>
  <c r="H1360" i="91" s="1"/>
  <c r="H1361" i="91" s="1"/>
  <c r="H1362" i="91" s="1"/>
  <c r="H1363" i="91" s="1"/>
  <c r="H1364" i="91" s="1"/>
  <c r="H1365" i="91" s="1"/>
  <c r="H1366" i="91" s="1"/>
  <c r="H1367" i="91" s="1"/>
  <c r="H1368" i="91" s="1"/>
  <c r="H1369" i="91" s="1"/>
  <c r="H1370" i="91" s="1"/>
  <c r="H1371" i="91" s="1"/>
  <c r="H1372" i="91" s="1"/>
  <c r="H1373" i="91" s="1"/>
  <c r="H1374" i="91" s="1"/>
  <c r="H1375" i="91" s="1"/>
  <c r="H1376" i="91" s="1"/>
  <c r="H1377" i="91" s="1"/>
  <c r="H1378" i="91" s="1"/>
  <c r="H1379" i="91" s="1"/>
  <c r="H1380" i="91" s="1"/>
  <c r="H1381" i="91" s="1"/>
  <c r="H1382" i="91" s="1"/>
  <c r="H1383" i="91" s="1"/>
  <c r="H1384" i="91" s="1"/>
  <c r="H1385" i="91" s="1"/>
  <c r="H1386" i="91" s="1"/>
  <c r="H1387" i="91" s="1"/>
  <c r="H1388" i="91" s="1"/>
  <c r="H1389" i="91" s="1"/>
  <c r="H1390" i="91" s="1"/>
  <c r="H1391" i="91" s="1"/>
  <c r="H1392" i="91" s="1"/>
  <c r="H1393" i="91" s="1"/>
  <c r="H1394" i="91" s="1"/>
  <c r="H1395" i="91" s="1"/>
  <c r="H1396" i="91" s="1"/>
  <c r="H1397" i="91" s="1"/>
  <c r="H1398" i="91" s="1"/>
  <c r="H1399" i="91" s="1"/>
  <c r="H1400" i="91" s="1"/>
  <c r="H1401" i="91" s="1"/>
  <c r="H1402" i="91" s="1"/>
  <c r="H1403" i="91" s="1"/>
  <c r="H1404" i="91" s="1"/>
  <c r="H1405" i="91" s="1"/>
  <c r="H1406" i="91" s="1"/>
  <c r="H1407" i="91" s="1"/>
  <c r="H1408" i="91" s="1"/>
  <c r="H1409" i="91" s="1"/>
  <c r="H1410" i="91" s="1"/>
  <c r="H1411" i="91" s="1"/>
  <c r="H1412" i="91" s="1"/>
  <c r="H1413" i="91" s="1"/>
  <c r="H1414" i="91" s="1"/>
  <c r="H1415" i="91" s="1"/>
  <c r="H1416" i="91" s="1"/>
  <c r="H1417" i="91" s="1"/>
  <c r="H1418" i="91" s="1"/>
  <c r="H1419" i="91" s="1"/>
  <c r="H1420" i="91" s="1"/>
  <c r="H1421" i="91" s="1"/>
  <c r="H1422" i="91" s="1"/>
  <c r="H1423" i="91" s="1"/>
  <c r="H1424" i="91" s="1"/>
  <c r="H1425" i="91" s="1"/>
  <c r="H1426" i="91" s="1"/>
  <c r="H1427" i="91" s="1"/>
  <c r="H1428" i="91" s="1"/>
  <c r="H1429" i="91" s="1"/>
  <c r="H1430" i="91" s="1"/>
  <c r="H1431" i="91" s="1"/>
  <c r="H1432" i="91" s="1"/>
  <c r="H1433" i="91" s="1"/>
  <c r="H1434" i="91" s="1"/>
  <c r="H1435" i="91" s="1"/>
  <c r="H1436" i="91" s="1"/>
  <c r="H1437" i="91" s="1"/>
  <c r="H1438" i="91" s="1"/>
  <c r="H1439" i="91" s="1"/>
  <c r="H1440" i="91" s="1"/>
  <c r="H1441" i="91" s="1"/>
  <c r="H1442" i="91" s="1"/>
  <c r="H1443" i="91" s="1"/>
  <c r="H1444" i="91" s="1"/>
  <c r="H1445" i="91" s="1"/>
  <c r="H1446" i="91" s="1"/>
  <c r="H1447" i="91" s="1"/>
  <c r="H1448" i="91" s="1"/>
  <c r="H1449" i="91" s="1"/>
  <c r="H1450" i="91" s="1"/>
  <c r="H1451" i="91" s="1"/>
  <c r="H1452" i="91" s="1"/>
  <c r="H1453" i="91" s="1"/>
  <c r="H1454" i="91" s="1"/>
  <c r="H1455" i="91" s="1"/>
  <c r="H1456" i="91" s="1"/>
  <c r="H1457" i="91" s="1"/>
  <c r="H1458" i="91" s="1"/>
  <c r="H1459" i="91" s="1"/>
  <c r="H1460" i="91" s="1"/>
  <c r="H1461" i="91" s="1"/>
  <c r="H1462" i="91" s="1"/>
  <c r="H1463" i="91" s="1"/>
  <c r="H1464" i="91" s="1"/>
  <c r="H1465" i="91" s="1"/>
  <c r="H1466" i="91" s="1"/>
  <c r="H1467" i="91" s="1"/>
  <c r="H1468" i="91" s="1"/>
  <c r="H1469" i="91" s="1"/>
  <c r="H1470" i="91" s="1"/>
  <c r="H1471" i="91" s="1"/>
  <c r="H1472" i="91" s="1"/>
  <c r="H1473" i="91" s="1"/>
  <c r="H1474" i="91" s="1"/>
  <c r="H1475" i="91" s="1"/>
  <c r="H1476" i="91" s="1"/>
  <c r="H1477" i="91" s="1"/>
  <c r="H1478" i="91" s="1"/>
  <c r="H1479" i="91" s="1"/>
  <c r="H1480" i="91" s="1"/>
  <c r="H1481" i="91" s="1"/>
  <c r="H1482" i="91" s="1"/>
  <c r="H1483" i="91" s="1"/>
  <c r="H1484" i="91" s="1"/>
  <c r="H1485" i="91" s="1"/>
  <c r="H1486" i="91" s="1"/>
  <c r="H1487" i="91" s="1"/>
  <c r="H1488" i="91" s="1"/>
  <c r="H1489" i="91" s="1"/>
  <c r="H1490" i="91" s="1"/>
  <c r="H1491" i="91" s="1"/>
  <c r="H1492" i="91" s="1"/>
  <c r="H1493" i="91" s="1"/>
  <c r="H1494" i="91" s="1"/>
  <c r="H1495" i="91" s="1"/>
  <c r="H1496" i="91" s="1"/>
  <c r="H1497" i="91" s="1"/>
  <c r="H1498" i="91" s="1"/>
  <c r="H1499" i="91" s="1"/>
  <c r="H1500" i="91" s="1"/>
  <c r="H1501" i="91" s="1"/>
  <c r="H1502" i="91" s="1"/>
  <c r="H1503" i="91" s="1"/>
  <c r="H1504" i="91" s="1"/>
  <c r="H1505" i="91" s="1"/>
  <c r="H1506" i="91" s="1"/>
  <c r="H1507" i="91" s="1"/>
  <c r="H1508" i="91" s="1"/>
  <c r="H1509" i="91" s="1"/>
  <c r="H1510" i="91" s="1"/>
  <c r="H1511" i="91" s="1"/>
  <c r="H1512" i="91" s="1"/>
  <c r="H1513" i="91" s="1"/>
  <c r="H1514" i="91" s="1"/>
  <c r="H1515" i="91" s="1"/>
  <c r="H1516" i="91" s="1"/>
  <c r="H1517" i="91" s="1"/>
  <c r="H1518" i="91" s="1"/>
  <c r="H1519" i="91" s="1"/>
  <c r="H1520" i="91" s="1"/>
  <c r="H1521" i="91" s="1"/>
  <c r="H1522" i="91" s="1"/>
  <c r="H1523" i="91" s="1"/>
  <c r="H1524" i="91" s="1"/>
  <c r="H1525" i="91" s="1"/>
  <c r="H1526" i="91" s="1"/>
  <c r="H1527" i="91" s="1"/>
  <c r="H1528" i="91" s="1"/>
  <c r="H1529" i="91" s="1"/>
  <c r="H1530" i="91" s="1"/>
  <c r="H1531" i="91" s="1"/>
  <c r="H1532" i="91" s="1"/>
  <c r="H1533" i="91" s="1"/>
  <c r="H1534" i="91" s="1"/>
  <c r="H1535" i="91" s="1"/>
  <c r="H1536" i="91" s="1"/>
  <c r="H1537" i="91" s="1"/>
  <c r="H1538" i="91" s="1"/>
  <c r="H1539" i="91" s="1"/>
  <c r="H1540" i="91" s="1"/>
  <c r="H1541" i="91" s="1"/>
  <c r="H1542" i="91" s="1"/>
  <c r="H1543" i="91" s="1"/>
  <c r="H1544" i="91" s="1"/>
  <c r="H1545" i="91" s="1"/>
  <c r="H1546" i="91" s="1"/>
  <c r="H1547" i="91" s="1"/>
  <c r="H1548" i="91" s="1"/>
  <c r="H1549" i="91" s="1"/>
  <c r="H1550" i="91" s="1"/>
  <c r="H1551" i="91" s="1"/>
  <c r="H1552" i="91" s="1"/>
  <c r="H1553" i="91" s="1"/>
  <c r="H1554" i="91" s="1"/>
  <c r="H1555" i="91" s="1"/>
  <c r="H1556" i="91" s="1"/>
  <c r="H1557" i="91" s="1"/>
  <c r="H1558" i="91" s="1"/>
  <c r="H1559" i="91" s="1"/>
  <c r="H1560" i="91" s="1"/>
  <c r="H1561" i="91" s="1"/>
  <c r="H1562" i="91" s="1"/>
  <c r="H1563" i="91" s="1"/>
  <c r="H1564" i="91" s="1"/>
  <c r="H1565" i="91" s="1"/>
  <c r="H1566" i="91" s="1"/>
  <c r="H1567" i="91" s="1"/>
  <c r="H1568" i="91" s="1"/>
  <c r="H1569" i="91" s="1"/>
  <c r="H1570" i="91" s="1"/>
  <c r="H1571" i="91" s="1"/>
  <c r="H1572" i="91" s="1"/>
  <c r="H1573" i="91" s="1"/>
  <c r="H1574" i="91" s="1"/>
  <c r="H1575" i="91" s="1"/>
  <c r="H1576" i="91" s="1"/>
  <c r="H1577" i="91" s="1"/>
  <c r="H1578" i="91" s="1"/>
  <c r="H1579" i="91" s="1"/>
  <c r="H1580" i="91" s="1"/>
  <c r="H1581" i="91" s="1"/>
  <c r="H1582" i="91" s="1"/>
  <c r="H1583" i="91" s="1"/>
  <c r="H1584" i="91" s="1"/>
  <c r="H1585" i="91" s="1"/>
  <c r="H1586" i="91" s="1"/>
  <c r="H1587" i="91" s="1"/>
  <c r="H1588" i="91" s="1"/>
  <c r="H1589" i="91" s="1"/>
  <c r="H1590" i="91" s="1"/>
  <c r="H1591" i="91" s="1"/>
  <c r="H1592" i="91" s="1"/>
  <c r="H1593" i="91" s="1"/>
  <c r="H1594" i="91" s="1"/>
  <c r="H1595" i="91" s="1"/>
  <c r="H1596" i="91" s="1"/>
  <c r="H1597" i="91" s="1"/>
  <c r="H1598" i="91" s="1"/>
  <c r="H1599" i="91" s="1"/>
  <c r="H1600" i="91" s="1"/>
  <c r="H1601" i="91" s="1"/>
  <c r="H1602" i="91" s="1"/>
  <c r="H1603" i="91" s="1"/>
  <c r="H1604" i="91" s="1"/>
  <c r="H1605" i="91" s="1"/>
  <c r="H1606" i="91" s="1"/>
  <c r="H1607" i="91" s="1"/>
  <c r="H1608" i="91" s="1"/>
  <c r="H1609" i="91" s="1"/>
  <c r="H1610" i="91" s="1"/>
  <c r="H1611" i="91" s="1"/>
  <c r="H1612" i="91" s="1"/>
  <c r="H1613" i="91" s="1"/>
  <c r="H1614" i="91" s="1"/>
  <c r="H1615" i="91" s="1"/>
  <c r="H1616" i="91" s="1"/>
  <c r="H1617" i="91" s="1"/>
  <c r="H1618" i="91" s="1"/>
  <c r="H1619" i="91" s="1"/>
  <c r="H1620" i="91" s="1"/>
  <c r="H1621" i="91" s="1"/>
  <c r="H1622" i="91" s="1"/>
  <c r="H1623" i="91" s="1"/>
  <c r="H1624" i="91" s="1"/>
  <c r="H1625" i="91" s="1"/>
  <c r="H1626" i="91" s="1"/>
  <c r="H1627" i="91" s="1"/>
  <c r="H1628" i="91" s="1"/>
  <c r="H1629" i="91" s="1"/>
  <c r="H1630" i="91" s="1"/>
  <c r="H1631" i="91" s="1"/>
  <c r="H1632" i="91" s="1"/>
  <c r="H1633" i="91" s="1"/>
  <c r="H1634" i="91" s="1"/>
  <c r="H1635" i="91" s="1"/>
  <c r="H1636" i="91" s="1"/>
  <c r="H1637" i="91" s="1"/>
  <c r="H1638" i="91" s="1"/>
  <c r="H1639" i="91" s="1"/>
  <c r="H1640" i="91" s="1"/>
  <c r="H1641" i="91" s="1"/>
  <c r="H1642" i="91" s="1"/>
  <c r="H1643" i="91" s="1"/>
  <c r="H1644" i="91" s="1"/>
  <c r="H1645" i="91" s="1"/>
  <c r="H1646" i="91" s="1"/>
  <c r="H1647" i="91" s="1"/>
  <c r="H1648" i="91" s="1"/>
  <c r="H1649" i="91" s="1"/>
  <c r="H1650" i="91" s="1"/>
  <c r="H1651" i="91" s="1"/>
  <c r="H1652" i="91" s="1"/>
  <c r="H1653" i="91" s="1"/>
  <c r="H1654" i="91" s="1"/>
  <c r="H1655" i="91" s="1"/>
  <c r="H1656" i="91" s="1"/>
  <c r="H1657" i="91" s="1"/>
  <c r="H1658" i="91" s="1"/>
  <c r="H1659" i="91" s="1"/>
  <c r="H1660" i="91" s="1"/>
  <c r="H1661" i="91" s="1"/>
  <c r="H1662" i="91" s="1"/>
  <c r="H1663" i="91" s="1"/>
  <c r="H1664" i="91" s="1"/>
  <c r="H1665" i="91" s="1"/>
  <c r="H1666" i="91" s="1"/>
  <c r="H1667" i="91" s="1"/>
  <c r="H1668" i="91" s="1"/>
  <c r="H1669" i="91" s="1"/>
  <c r="H1670" i="91" s="1"/>
  <c r="H1671" i="91" s="1"/>
  <c r="H1672" i="91" s="1"/>
  <c r="H1673" i="91" s="1"/>
  <c r="H1674" i="91" s="1"/>
  <c r="H1675" i="91" s="1"/>
  <c r="H1676" i="91" s="1"/>
  <c r="H1677" i="91" s="1"/>
  <c r="H1678" i="91" s="1"/>
  <c r="H1679" i="91" s="1"/>
  <c r="H1680" i="91" s="1"/>
  <c r="H1681" i="91" s="1"/>
  <c r="H1682" i="91" s="1"/>
  <c r="H1683" i="91" s="1"/>
  <c r="H1684" i="91" s="1"/>
  <c r="H1685" i="91" s="1"/>
  <c r="H1686" i="91" s="1"/>
  <c r="H1687" i="91" s="1"/>
  <c r="H1688" i="91" s="1"/>
  <c r="H1689" i="91" s="1"/>
  <c r="H1690" i="91" s="1"/>
  <c r="H1691" i="91" s="1"/>
  <c r="H1692" i="91" s="1"/>
  <c r="H1693" i="91" s="1"/>
  <c r="H1694" i="91" s="1"/>
  <c r="H1695" i="91" s="1"/>
  <c r="H1696" i="91" s="1"/>
  <c r="H1697" i="91" s="1"/>
  <c r="H1698" i="91" s="1"/>
  <c r="H1699" i="91" s="1"/>
  <c r="H1700" i="91" s="1"/>
  <c r="H1701" i="91" s="1"/>
  <c r="H1702" i="91" s="1"/>
  <c r="H1703" i="91" s="1"/>
  <c r="H1704" i="91" s="1"/>
  <c r="H1705" i="91" s="1"/>
  <c r="H1706" i="91" s="1"/>
  <c r="H1707" i="91" s="1"/>
  <c r="H1708" i="91" s="1"/>
  <c r="H1709" i="91" s="1"/>
  <c r="H1710" i="91" s="1"/>
  <c r="H1711" i="91" s="1"/>
  <c r="H1712" i="91" s="1"/>
  <c r="H1713" i="91" s="1"/>
  <c r="H1714" i="91" s="1"/>
  <c r="H1715" i="91" s="1"/>
  <c r="H1716" i="91" s="1"/>
  <c r="H1717" i="91" s="1"/>
  <c r="H1718" i="91" s="1"/>
  <c r="H1719" i="91" s="1"/>
  <c r="H1720" i="91" s="1"/>
  <c r="H1721" i="91" s="1"/>
  <c r="H1722" i="91" s="1"/>
  <c r="H1723" i="91" s="1"/>
  <c r="H1724" i="91" s="1"/>
  <c r="H1725" i="91" s="1"/>
  <c r="H1726" i="91" s="1"/>
  <c r="H1727" i="91" s="1"/>
  <c r="H1728" i="91" s="1"/>
  <c r="H1729" i="91" s="1"/>
  <c r="H1730" i="91" s="1"/>
  <c r="H1731" i="91" s="1"/>
  <c r="H1732" i="91" s="1"/>
  <c r="H1733" i="91" s="1"/>
  <c r="H1734" i="91" s="1"/>
  <c r="H1735" i="91" s="1"/>
  <c r="H1736" i="91" s="1"/>
  <c r="H1737" i="91" s="1"/>
  <c r="H1738" i="91" s="1"/>
  <c r="H1739" i="91" s="1"/>
  <c r="H1740" i="91" s="1"/>
  <c r="H1741" i="91" s="1"/>
  <c r="H1742" i="91" s="1"/>
  <c r="H1743" i="91" s="1"/>
  <c r="H1744" i="91" s="1"/>
  <c r="H1745" i="91" s="1"/>
  <c r="H1746" i="91" s="1"/>
  <c r="H1747" i="91" s="1"/>
  <c r="H1748" i="91" s="1"/>
  <c r="H1749" i="91" s="1"/>
  <c r="H1750" i="91" s="1"/>
  <c r="H1751" i="91" s="1"/>
  <c r="H1752" i="91" s="1"/>
  <c r="H1753" i="91" s="1"/>
  <c r="H1754" i="91" s="1"/>
  <c r="H1755" i="91" s="1"/>
  <c r="H1756" i="91" s="1"/>
  <c r="H1757" i="91" s="1"/>
  <c r="H1758" i="91" s="1"/>
  <c r="H1759" i="91" s="1"/>
  <c r="H1760" i="91" s="1"/>
  <c r="H1761" i="91" s="1"/>
  <c r="H1762" i="91" s="1"/>
  <c r="H1763" i="91" s="1"/>
  <c r="H1764" i="91" s="1"/>
  <c r="H1765" i="91" s="1"/>
  <c r="H1766" i="91" s="1"/>
  <c r="H1767" i="91" s="1"/>
  <c r="H1768" i="91" s="1"/>
  <c r="H1769" i="91" s="1"/>
  <c r="H1770" i="91" s="1"/>
  <c r="H1771" i="91" s="1"/>
  <c r="H1772" i="91" s="1"/>
  <c r="H1773" i="91" s="1"/>
  <c r="H1774" i="91" s="1"/>
  <c r="H1775" i="91" s="1"/>
  <c r="H1776" i="91" s="1"/>
  <c r="H1777" i="91" s="1"/>
  <c r="H1778" i="91" s="1"/>
  <c r="H1779" i="91" s="1"/>
  <c r="H1780" i="91" s="1"/>
  <c r="H1781" i="91" s="1"/>
  <c r="H1782" i="91" s="1"/>
  <c r="H1783" i="91" s="1"/>
  <c r="H1784" i="91" s="1"/>
  <c r="H1785" i="91" s="1"/>
  <c r="H1786" i="91" s="1"/>
  <c r="H1787" i="91" s="1"/>
  <c r="H1788" i="91" s="1"/>
  <c r="H1789" i="91" s="1"/>
  <c r="H1790" i="91" s="1"/>
  <c r="H1791" i="91" s="1"/>
  <c r="H1792" i="91" s="1"/>
  <c r="H1793" i="91" s="1"/>
  <c r="H1794" i="91" s="1"/>
  <c r="H1795" i="91" s="1"/>
  <c r="H1796" i="91" s="1"/>
  <c r="H1797" i="91" s="1"/>
  <c r="H1798" i="91" s="1"/>
  <c r="H1799" i="91" s="1"/>
  <c r="H1800" i="91" s="1"/>
  <c r="H1801" i="91" s="1"/>
  <c r="H1802" i="91" s="1"/>
  <c r="H1803" i="91" s="1"/>
  <c r="H1804" i="91" s="1"/>
  <c r="H1805" i="91" s="1"/>
  <c r="H1806" i="91" s="1"/>
  <c r="H1807" i="91" s="1"/>
  <c r="H1808" i="91" s="1"/>
  <c r="H1809" i="91" s="1"/>
  <c r="H1810" i="91" s="1"/>
  <c r="H1811" i="91" s="1"/>
  <c r="H1812" i="91" s="1"/>
  <c r="H1813" i="91" s="1"/>
  <c r="H1814" i="91" s="1"/>
  <c r="H1815" i="91" s="1"/>
  <c r="H1816" i="91" s="1"/>
  <c r="H1817" i="91" s="1"/>
  <c r="H1818" i="91" s="1"/>
  <c r="H1819" i="91" s="1"/>
  <c r="H1820" i="91" s="1"/>
  <c r="H1821" i="91" s="1"/>
  <c r="H1822" i="91" s="1"/>
  <c r="H1823" i="91" s="1"/>
  <c r="H1824" i="91" s="1"/>
  <c r="H1825" i="91" s="1"/>
  <c r="H1826" i="91" s="1"/>
  <c r="H1827" i="91" s="1"/>
  <c r="H1828" i="91" s="1"/>
  <c r="H1829" i="91" s="1"/>
  <c r="H1830" i="91" s="1"/>
  <c r="H1831" i="91" s="1"/>
  <c r="H1832" i="91" s="1"/>
  <c r="H1833" i="91" s="1"/>
  <c r="H1834" i="91" s="1"/>
  <c r="H1835" i="91" s="1"/>
  <c r="H1836" i="91" s="1"/>
  <c r="H1837" i="91" s="1"/>
  <c r="H1838" i="91" s="1"/>
  <c r="H1839" i="91" s="1"/>
  <c r="H1840" i="91" s="1"/>
  <c r="H1841" i="91" s="1"/>
  <c r="H1842" i="91" s="1"/>
  <c r="H1843" i="91" s="1"/>
  <c r="H1844" i="91" s="1"/>
  <c r="H1845" i="91" s="1"/>
  <c r="H1846" i="91" s="1"/>
  <c r="H1847" i="91" s="1"/>
  <c r="H1848" i="91" s="1"/>
  <c r="H1849" i="91" s="1"/>
  <c r="H1850" i="91" s="1"/>
  <c r="H1851" i="91" s="1"/>
  <c r="H1852" i="91" s="1"/>
  <c r="H1853" i="91" s="1"/>
  <c r="H1854" i="91" s="1"/>
  <c r="H1855" i="91" s="1"/>
  <c r="H1856" i="91" s="1"/>
  <c r="H1857" i="91" s="1"/>
  <c r="H1858" i="91" s="1"/>
  <c r="H1859" i="91" s="1"/>
  <c r="H1860" i="91" s="1"/>
  <c r="H1861" i="91" s="1"/>
  <c r="H1862" i="91" s="1"/>
  <c r="H1863" i="91" s="1"/>
  <c r="H1864" i="91" s="1"/>
  <c r="H1865" i="91" s="1"/>
  <c r="H1866" i="91" s="1"/>
  <c r="H1867" i="91" s="1"/>
  <c r="H1868" i="91" s="1"/>
  <c r="H1869" i="91" s="1"/>
  <c r="H1870" i="91" s="1"/>
  <c r="H1871" i="91" s="1"/>
  <c r="H1872" i="91" s="1"/>
  <c r="H1873" i="91" s="1"/>
  <c r="H1874" i="91" s="1"/>
  <c r="H1875" i="91" s="1"/>
  <c r="H1876" i="91" s="1"/>
  <c r="H1877" i="91" s="1"/>
  <c r="H1878" i="91" s="1"/>
  <c r="H1879" i="91" s="1"/>
  <c r="H1880" i="91" s="1"/>
  <c r="H1881" i="91" s="1"/>
  <c r="H1882" i="91" s="1"/>
  <c r="H1883" i="91" s="1"/>
  <c r="H1884" i="91" s="1"/>
  <c r="H1885" i="91" s="1"/>
  <c r="H1886" i="91" s="1"/>
  <c r="H1887" i="91" s="1"/>
  <c r="H1888" i="91" s="1"/>
  <c r="H1889" i="91" s="1"/>
  <c r="H1890" i="91" s="1"/>
  <c r="H1891" i="91" s="1"/>
  <c r="H1892" i="91" s="1"/>
  <c r="H1893" i="91" s="1"/>
  <c r="H1894" i="91" s="1"/>
  <c r="H1895" i="91" s="1"/>
  <c r="H1896" i="91" s="1"/>
  <c r="H1897" i="91" s="1"/>
  <c r="H1898" i="91" s="1"/>
  <c r="H1899" i="91" s="1"/>
  <c r="H1900" i="91" s="1"/>
  <c r="H1901" i="91" s="1"/>
  <c r="H1902" i="91" s="1"/>
  <c r="H1903" i="91" s="1"/>
  <c r="H1904" i="91" s="1"/>
  <c r="H1905" i="91" s="1"/>
  <c r="H1906" i="91" s="1"/>
  <c r="H1907" i="91" s="1"/>
  <c r="H1908" i="91" s="1"/>
  <c r="H1909" i="91" s="1"/>
  <c r="H1910" i="91" s="1"/>
  <c r="H1911" i="91" s="1"/>
  <c r="H1912" i="91" s="1"/>
  <c r="H1913" i="91" s="1"/>
  <c r="H1914" i="91" s="1"/>
  <c r="H1915" i="91" s="1"/>
  <c r="H1916" i="91" s="1"/>
  <c r="H1917" i="91" s="1"/>
  <c r="H1918" i="91" s="1"/>
  <c r="H1919" i="91" s="1"/>
  <c r="H1920" i="91" s="1"/>
  <c r="H1921" i="91" s="1"/>
  <c r="H1922" i="91" s="1"/>
  <c r="H1923" i="91" s="1"/>
  <c r="H1924" i="91" s="1"/>
  <c r="H1925" i="91" s="1"/>
  <c r="H1926" i="91" s="1"/>
  <c r="H1927" i="91" s="1"/>
  <c r="H1928" i="91" s="1"/>
  <c r="H1929" i="91" s="1"/>
  <c r="H1930" i="91" s="1"/>
  <c r="H1931" i="91" s="1"/>
  <c r="H1932" i="91" s="1"/>
  <c r="H1933" i="91" s="1"/>
  <c r="H1934" i="91" s="1"/>
  <c r="H1935" i="91" s="1"/>
  <c r="H1936" i="91" s="1"/>
  <c r="H1937" i="91" s="1"/>
  <c r="H1938" i="91" s="1"/>
  <c r="H1939" i="91" s="1"/>
  <c r="H1940" i="91" s="1"/>
  <c r="H1941" i="91" s="1"/>
  <c r="H1942" i="91" s="1"/>
  <c r="H1943" i="91" s="1"/>
  <c r="H1944" i="91" s="1"/>
  <c r="H1945" i="91" s="1"/>
  <c r="H1946" i="91" s="1"/>
  <c r="H1947" i="91" s="1"/>
  <c r="H1948" i="91" s="1"/>
  <c r="H1949" i="91" s="1"/>
  <c r="H1950" i="91" s="1"/>
  <c r="H1951" i="91" s="1"/>
  <c r="H1952" i="91" s="1"/>
  <c r="H1953" i="91" s="1"/>
  <c r="H1954" i="91" s="1"/>
  <c r="H1955" i="91" s="1"/>
  <c r="H1956" i="91" s="1"/>
  <c r="H1957" i="91" s="1"/>
  <c r="H1958" i="91" s="1"/>
  <c r="H1959" i="91" s="1"/>
  <c r="H1960" i="91" s="1"/>
  <c r="H1961" i="91" s="1"/>
  <c r="H1962" i="91" s="1"/>
  <c r="H1963" i="91" s="1"/>
  <c r="H1964" i="91" s="1"/>
  <c r="H1965" i="91" s="1"/>
  <c r="H1966" i="91" s="1"/>
  <c r="H1967" i="91" s="1"/>
  <c r="H1968" i="91" s="1"/>
  <c r="H1969" i="91" s="1"/>
  <c r="H1970" i="91" s="1"/>
  <c r="H1971" i="91" s="1"/>
  <c r="H1972" i="91" s="1"/>
  <c r="H1973" i="91" s="1"/>
  <c r="H1974" i="91" s="1"/>
  <c r="H1975" i="91" s="1"/>
  <c r="H1976" i="91" s="1"/>
  <c r="H1977" i="91" s="1"/>
  <c r="H1978" i="91" s="1"/>
  <c r="H1979" i="91" s="1"/>
  <c r="H1980" i="91" s="1"/>
  <c r="H1981" i="91" s="1"/>
  <c r="H1982" i="91" s="1"/>
  <c r="H1983" i="91" s="1"/>
  <c r="H1984" i="91" s="1"/>
  <c r="H1985" i="91" s="1"/>
  <c r="H1986" i="91" s="1"/>
  <c r="H1987" i="91" s="1"/>
  <c r="H1988" i="91" s="1"/>
  <c r="H1989" i="91" s="1"/>
  <c r="H1990" i="91" s="1"/>
  <c r="H1991" i="91" s="1"/>
  <c r="H1992" i="91" s="1"/>
  <c r="H1993" i="91" s="1"/>
  <c r="H1994" i="91" s="1"/>
  <c r="H1995" i="91" s="1"/>
  <c r="H1996" i="91" s="1"/>
  <c r="H1997" i="91" s="1"/>
  <c r="H1998" i="91" s="1"/>
  <c r="H1999" i="91" s="1"/>
  <c r="H2000" i="91" s="1"/>
  <c r="H2001" i="91" s="1"/>
  <c r="H2002" i="91" s="1"/>
  <c r="H2003" i="91" s="1"/>
  <c r="H2004" i="91" s="1"/>
  <c r="H2005" i="91" s="1"/>
  <c r="H2006" i="91" s="1"/>
  <c r="H2007" i="91" s="1"/>
  <c r="H2008" i="91" s="1"/>
  <c r="H2009" i="91" s="1"/>
  <c r="H2010" i="91" s="1"/>
  <c r="H2011" i="91" s="1"/>
  <c r="H2012" i="91" s="1"/>
  <c r="H2013" i="91" s="1"/>
  <c r="H2014" i="91" s="1"/>
  <c r="H2015" i="91" s="1"/>
  <c r="H2016" i="91" s="1"/>
  <c r="H2017" i="91" s="1"/>
  <c r="H2018" i="91" s="1"/>
  <c r="H2019" i="91" s="1"/>
  <c r="H2020" i="91" s="1"/>
  <c r="H2021" i="91" s="1"/>
  <c r="H2022" i="91" s="1"/>
  <c r="H2023" i="91" s="1"/>
  <c r="H2024" i="91" s="1"/>
  <c r="H2025" i="91" s="1"/>
  <c r="H2026" i="91" s="1"/>
  <c r="H2027" i="91" s="1"/>
  <c r="H2028" i="91" s="1"/>
  <c r="H2029" i="91" s="1"/>
  <c r="H2030" i="91" s="1"/>
  <c r="H2031" i="91" s="1"/>
  <c r="H2032" i="91" s="1"/>
  <c r="H2033" i="91" s="1"/>
  <c r="H2034" i="91" s="1"/>
  <c r="H2035" i="91" s="1"/>
  <c r="H2036" i="91" s="1"/>
  <c r="H2037" i="91" s="1"/>
  <c r="H2038" i="91" s="1"/>
  <c r="H2039" i="91" s="1"/>
  <c r="H2040" i="91" s="1"/>
  <c r="H2041" i="91" s="1"/>
  <c r="H2042" i="91" s="1"/>
  <c r="H2043" i="91" s="1"/>
  <c r="H2044" i="91" s="1"/>
  <c r="H2045" i="91" s="1"/>
  <c r="H2046" i="91" s="1"/>
  <c r="H2047" i="91" s="1"/>
  <c r="H2048" i="91" s="1"/>
  <c r="H2049" i="91" s="1"/>
  <c r="H2050" i="91" s="1"/>
  <c r="H2051" i="91" s="1"/>
  <c r="H2052" i="91" s="1"/>
  <c r="H2053" i="91" s="1"/>
  <c r="H2054" i="91" s="1"/>
  <c r="H2055" i="91" s="1"/>
  <c r="H2056" i="91" s="1"/>
  <c r="H2057" i="91" s="1"/>
  <c r="H2058" i="91" s="1"/>
  <c r="H2059" i="91" s="1"/>
  <c r="H2060" i="91" s="1"/>
  <c r="H2061" i="91" s="1"/>
  <c r="H2062" i="91" s="1"/>
  <c r="H2063" i="91" s="1"/>
  <c r="H2064" i="91" s="1"/>
  <c r="H2065" i="91" s="1"/>
  <c r="H2066" i="91" s="1"/>
  <c r="H2067" i="91" s="1"/>
  <c r="H2068" i="91" s="1"/>
  <c r="H2069" i="91" s="1"/>
  <c r="H2070" i="91" s="1"/>
  <c r="H2071" i="91" s="1"/>
  <c r="H2072" i="91" s="1"/>
  <c r="H2073" i="91" s="1"/>
  <c r="H2074" i="91" s="1"/>
  <c r="H2075" i="91" s="1"/>
  <c r="H2076" i="91" s="1"/>
  <c r="H2077" i="91" s="1"/>
  <c r="H2078" i="91" s="1"/>
  <c r="H2079" i="91" s="1"/>
  <c r="H2080" i="91" s="1"/>
  <c r="H2081" i="91" s="1"/>
  <c r="H2082" i="91" s="1"/>
  <c r="H2083" i="91" s="1"/>
  <c r="H2084" i="91" s="1"/>
  <c r="H2085" i="91" s="1"/>
  <c r="H2086" i="91" s="1"/>
  <c r="H2087" i="91" s="1"/>
  <c r="H2088" i="91" s="1"/>
  <c r="H2089" i="91" s="1"/>
  <c r="H2090" i="91" s="1"/>
  <c r="H2091" i="91" s="1"/>
  <c r="H2092" i="91" s="1"/>
  <c r="H2093" i="91" s="1"/>
  <c r="H2094" i="91" s="1"/>
  <c r="H2095" i="91" s="1"/>
  <c r="H2096" i="91" s="1"/>
  <c r="H2097" i="91" s="1"/>
  <c r="H2098" i="91" s="1"/>
  <c r="H2099" i="91" s="1"/>
  <c r="H2100" i="91" s="1"/>
  <c r="H2101" i="91" s="1"/>
  <c r="H2102" i="91" s="1"/>
  <c r="H2103" i="91" s="1"/>
  <c r="H2104" i="91" s="1"/>
  <c r="H2105" i="91" s="1"/>
  <c r="H2106" i="91" s="1"/>
  <c r="H2107" i="91" s="1"/>
  <c r="H2108" i="91" s="1"/>
  <c r="H2109" i="91" s="1"/>
  <c r="H2110" i="91" s="1"/>
  <c r="H2111" i="91" s="1"/>
  <c r="H2112" i="91" s="1"/>
  <c r="H2113" i="91" s="1"/>
  <c r="H2114" i="91" s="1"/>
  <c r="H2115" i="91" s="1"/>
  <c r="H2116" i="91" s="1"/>
  <c r="H2117" i="91" s="1"/>
  <c r="H2118" i="91" s="1"/>
  <c r="H2119" i="91" s="1"/>
  <c r="H2120" i="91" s="1"/>
  <c r="H2121" i="91" s="1"/>
  <c r="H2122" i="91" s="1"/>
  <c r="H2123" i="91" s="1"/>
  <c r="H2124" i="91" s="1"/>
  <c r="H2125" i="91" s="1"/>
  <c r="H2126" i="91" s="1"/>
  <c r="H2127" i="91" s="1"/>
  <c r="H2128" i="91" s="1"/>
  <c r="H2129" i="91" s="1"/>
  <c r="H2130" i="91" s="1"/>
  <c r="H2131" i="91" s="1"/>
  <c r="H2132" i="91" s="1"/>
  <c r="H2133" i="91" s="1"/>
  <c r="H2134" i="91" s="1"/>
  <c r="H2135" i="91" s="1"/>
  <c r="H2136" i="91" s="1"/>
  <c r="H2137" i="91" s="1"/>
  <c r="H2138" i="91" s="1"/>
  <c r="H2139" i="91" s="1"/>
  <c r="H2140" i="91" s="1"/>
  <c r="H2141" i="91" s="1"/>
  <c r="H2142" i="91" s="1"/>
  <c r="H2143" i="91" s="1"/>
  <c r="H2144" i="91" s="1"/>
  <c r="H2145" i="91" s="1"/>
  <c r="H2146" i="91" s="1"/>
  <c r="H2147" i="91" s="1"/>
  <c r="H2148" i="91" s="1"/>
  <c r="H2149" i="91" s="1"/>
  <c r="H2150" i="91" s="1"/>
  <c r="H2151" i="91" s="1"/>
  <c r="H2152" i="91" s="1"/>
  <c r="H2153" i="91" s="1"/>
  <c r="H2154" i="91" s="1"/>
  <c r="H2155" i="91" s="1"/>
  <c r="H2156" i="91" s="1"/>
  <c r="H2157" i="91" s="1"/>
  <c r="H2158" i="91" s="1"/>
  <c r="H2159" i="91" s="1"/>
  <c r="H2160" i="91" s="1"/>
  <c r="H2161" i="91" s="1"/>
  <c r="H2162" i="91" s="1"/>
  <c r="H2163" i="91" s="1"/>
  <c r="H2164" i="91" s="1"/>
  <c r="H2165" i="91" s="1"/>
  <c r="H2166" i="91" s="1"/>
  <c r="H2167" i="91" s="1"/>
  <c r="H2168" i="91" s="1"/>
  <c r="H2169" i="91" s="1"/>
  <c r="E2266" i="91"/>
  <c r="E2238" i="91"/>
  <c r="E2204" i="91"/>
  <c r="E2131" i="91"/>
  <c r="J2130" i="91" s="1"/>
  <c r="E2125" i="91"/>
  <c r="E2034" i="91"/>
  <c r="E2014" i="91"/>
  <c r="E1890" i="91"/>
  <c r="E1820" i="91"/>
  <c r="E1772" i="91"/>
  <c r="E1759" i="91"/>
  <c r="E1689" i="91"/>
  <c r="J1688" i="91" s="1"/>
  <c r="E1476" i="91"/>
  <c r="E1475" i="91"/>
  <c r="E1366" i="91"/>
  <c r="E1352" i="91"/>
  <c r="J1351" i="91" s="1"/>
  <c r="E1120" i="91"/>
  <c r="E1117" i="91"/>
  <c r="E1075" i="91"/>
  <c r="B2193" i="91"/>
  <c r="B2006" i="91"/>
  <c r="B1896" i="91"/>
  <c r="B1801" i="91"/>
  <c r="B1709" i="91"/>
  <c r="B1706" i="91"/>
  <c r="B1697" i="91"/>
  <c r="B1648" i="91"/>
  <c r="B1555" i="91"/>
  <c r="B1280" i="91"/>
  <c r="B1274" i="91"/>
  <c r="B1053" i="91"/>
  <c r="A88" i="91"/>
  <c r="A90" i="91" s="1"/>
  <c r="J6" i="91"/>
  <c r="J7" i="91"/>
  <c r="J8" i="91"/>
  <c r="J9" i="91"/>
  <c r="J10" i="91"/>
  <c r="J11" i="91"/>
  <c r="J12" i="91"/>
  <c r="J13" i="91"/>
  <c r="J14" i="91"/>
  <c r="J15" i="91"/>
  <c r="J16" i="91"/>
  <c r="J17" i="91"/>
  <c r="J18" i="91"/>
  <c r="J19" i="91"/>
  <c r="J20" i="91"/>
  <c r="J21" i="91"/>
  <c r="J22" i="91"/>
  <c r="J23" i="91"/>
  <c r="J24" i="91"/>
  <c r="J25" i="91"/>
  <c r="J26" i="91"/>
  <c r="J27" i="91"/>
  <c r="J28" i="91"/>
  <c r="J29" i="91"/>
  <c r="J30" i="91"/>
  <c r="J31" i="91"/>
  <c r="J32" i="91"/>
  <c r="J33" i="91"/>
  <c r="J34" i="91"/>
  <c r="J35" i="91"/>
  <c r="J36" i="91"/>
  <c r="J37" i="91"/>
  <c r="J38" i="91"/>
  <c r="J39" i="91"/>
  <c r="J40" i="91"/>
  <c r="J41" i="91"/>
  <c r="J42" i="91"/>
  <c r="J43" i="91"/>
  <c r="J44" i="91"/>
  <c r="J45" i="91"/>
  <c r="J46" i="91"/>
  <c r="J47" i="91"/>
  <c r="J48" i="91"/>
  <c r="J49" i="91"/>
  <c r="J50" i="91"/>
  <c r="J51" i="91"/>
  <c r="J52" i="91"/>
  <c r="J53" i="91"/>
  <c r="J54" i="91"/>
  <c r="J55" i="91"/>
  <c r="J56" i="91"/>
  <c r="J57" i="91"/>
  <c r="J58" i="91"/>
  <c r="J59" i="91"/>
  <c r="J60" i="91"/>
  <c r="J61" i="91"/>
  <c r="J62" i="91"/>
  <c r="J63" i="91"/>
  <c r="J64" i="91"/>
  <c r="J65" i="91"/>
  <c r="J66" i="91"/>
  <c r="J67" i="91"/>
  <c r="J68" i="91"/>
  <c r="J69" i="91"/>
  <c r="J70" i="91"/>
  <c r="J71" i="91"/>
  <c r="J72" i="91"/>
  <c r="J73" i="91"/>
  <c r="J74" i="91"/>
  <c r="J75" i="91"/>
  <c r="J76" i="91"/>
  <c r="J77" i="91"/>
  <c r="J78" i="91"/>
  <c r="J79" i="91"/>
  <c r="J80" i="91"/>
  <c r="J81" i="91"/>
  <c r="J82" i="91"/>
  <c r="J83" i="91"/>
  <c r="J84" i="91"/>
  <c r="J85" i="91"/>
  <c r="J86" i="91"/>
  <c r="J87" i="91"/>
  <c r="J88" i="91"/>
  <c r="J89" i="91"/>
  <c r="J90" i="91"/>
  <c r="J91" i="91"/>
  <c r="J92" i="91"/>
  <c r="J93" i="91"/>
  <c r="J94" i="91"/>
  <c r="J95" i="91"/>
  <c r="J96" i="91"/>
  <c r="J97" i="91"/>
  <c r="J98" i="91"/>
  <c r="J99" i="91"/>
  <c r="J100" i="91"/>
  <c r="J101" i="91"/>
  <c r="J102" i="91"/>
  <c r="J103" i="91"/>
  <c r="J104" i="91"/>
  <c r="J105" i="91"/>
  <c r="J106" i="91"/>
  <c r="J107" i="91"/>
  <c r="J108" i="91"/>
  <c r="J109" i="91"/>
  <c r="J110" i="91"/>
  <c r="J111" i="91"/>
  <c r="J112" i="91"/>
  <c r="J113" i="91"/>
  <c r="J114" i="91"/>
  <c r="J115" i="91"/>
  <c r="J116" i="91"/>
  <c r="J117" i="91"/>
  <c r="J118" i="91"/>
  <c r="J119" i="91"/>
  <c r="J120" i="91"/>
  <c r="J121" i="91"/>
  <c r="J122" i="91"/>
  <c r="J123" i="91"/>
  <c r="J124" i="91"/>
  <c r="J125" i="91"/>
  <c r="J126" i="91"/>
  <c r="J127" i="91"/>
  <c r="J128" i="91"/>
  <c r="J129" i="91"/>
  <c r="J130" i="91"/>
  <c r="J131" i="91"/>
  <c r="J132" i="91"/>
  <c r="J133" i="91"/>
  <c r="J134" i="91"/>
  <c r="J135" i="91"/>
  <c r="J136" i="91"/>
  <c r="J137" i="91"/>
  <c r="J138" i="91"/>
  <c r="J139" i="91"/>
  <c r="J140" i="91"/>
  <c r="J141" i="91"/>
  <c r="J142" i="91"/>
  <c r="J143" i="91"/>
  <c r="J144" i="91"/>
  <c r="J145" i="91"/>
  <c r="J146" i="91"/>
  <c r="J147" i="91"/>
  <c r="J148" i="91"/>
  <c r="J149" i="91"/>
  <c r="J150" i="91"/>
  <c r="J151" i="91"/>
  <c r="J152" i="91"/>
  <c r="J153" i="91"/>
  <c r="J154" i="91"/>
  <c r="J155" i="91"/>
  <c r="J156" i="91"/>
  <c r="J157" i="91"/>
  <c r="J158" i="91"/>
  <c r="J159" i="91"/>
  <c r="J160" i="91"/>
  <c r="J161" i="91"/>
  <c r="J162" i="91"/>
  <c r="J163" i="91"/>
  <c r="J164" i="91"/>
  <c r="J165" i="91"/>
  <c r="J166" i="91"/>
  <c r="J167" i="91"/>
  <c r="J168" i="91"/>
  <c r="J169" i="91"/>
  <c r="J170" i="91"/>
  <c r="J171" i="91"/>
  <c r="J172" i="91"/>
  <c r="J173" i="91"/>
  <c r="J174" i="91"/>
  <c r="J175" i="91"/>
  <c r="J176" i="91"/>
  <c r="J177" i="91"/>
  <c r="J178" i="91"/>
  <c r="J179" i="91"/>
  <c r="J180" i="91"/>
  <c r="J181" i="91"/>
  <c r="J182" i="91"/>
  <c r="J183" i="91"/>
  <c r="J184" i="91"/>
  <c r="J185" i="91"/>
  <c r="J186" i="91"/>
  <c r="J187" i="91"/>
  <c r="J188" i="91"/>
  <c r="J189" i="91"/>
  <c r="J190" i="91"/>
  <c r="J191" i="91"/>
  <c r="J192" i="91"/>
  <c r="J193" i="91"/>
  <c r="J194" i="91"/>
  <c r="J195" i="91"/>
  <c r="J196" i="91"/>
  <c r="J197" i="91"/>
  <c r="J198" i="91"/>
  <c r="J199" i="91"/>
  <c r="J200" i="91"/>
  <c r="J201" i="91"/>
  <c r="J202" i="91"/>
  <c r="J203" i="91"/>
  <c r="J204" i="91"/>
  <c r="J205" i="91"/>
  <c r="J206" i="91"/>
  <c r="J207" i="91"/>
  <c r="J208" i="91"/>
  <c r="J209" i="91"/>
  <c r="J210" i="91"/>
  <c r="J211" i="91"/>
  <c r="J212" i="91"/>
  <c r="J213" i="91"/>
  <c r="J214" i="91"/>
  <c r="J215" i="91"/>
  <c r="J216" i="91"/>
  <c r="J217" i="91"/>
  <c r="J218" i="91"/>
  <c r="J219" i="91"/>
  <c r="J220" i="91"/>
  <c r="J221" i="91"/>
  <c r="J222" i="91"/>
  <c r="J223" i="91"/>
  <c r="J224" i="91"/>
  <c r="J225" i="91"/>
  <c r="J226" i="91"/>
  <c r="J227" i="91"/>
  <c r="J228" i="91"/>
  <c r="J229" i="91"/>
  <c r="J230" i="91"/>
  <c r="J231" i="91"/>
  <c r="J232" i="91"/>
  <c r="J233" i="91"/>
  <c r="J234" i="91"/>
  <c r="J235" i="91"/>
  <c r="J236" i="91"/>
  <c r="J237" i="91"/>
  <c r="J238" i="91"/>
  <c r="J239" i="91"/>
  <c r="J240" i="91"/>
  <c r="J241" i="91"/>
  <c r="J242" i="91"/>
  <c r="J243" i="91"/>
  <c r="J244" i="91"/>
  <c r="J245" i="91"/>
  <c r="J246" i="91"/>
  <c r="J247" i="91"/>
  <c r="J248" i="91"/>
  <c r="J249" i="91"/>
  <c r="J250" i="91"/>
  <c r="J251" i="91"/>
  <c r="J252" i="91"/>
  <c r="J253" i="91"/>
  <c r="J254" i="91"/>
  <c r="J255" i="91"/>
  <c r="J256" i="91"/>
  <c r="J257" i="91"/>
  <c r="J258" i="91"/>
  <c r="J259" i="91"/>
  <c r="J260" i="91"/>
  <c r="J261" i="91"/>
  <c r="J262" i="91"/>
  <c r="J263" i="91"/>
  <c r="J264" i="91"/>
  <c r="J265" i="91"/>
  <c r="J266" i="91"/>
  <c r="J267" i="91"/>
  <c r="J268" i="91"/>
  <c r="J269" i="91"/>
  <c r="J270" i="91"/>
  <c r="J271" i="91"/>
  <c r="J272" i="91"/>
  <c r="J273" i="91"/>
  <c r="J274" i="91"/>
  <c r="J275" i="91"/>
  <c r="J276" i="91"/>
  <c r="J277" i="91"/>
  <c r="J278" i="91"/>
  <c r="J279" i="91"/>
  <c r="J280" i="91"/>
  <c r="J281" i="91"/>
  <c r="J282" i="91"/>
  <c r="J283" i="91"/>
  <c r="J284" i="91"/>
  <c r="J285" i="91"/>
  <c r="J286" i="91"/>
  <c r="J287" i="91"/>
  <c r="J288" i="91"/>
  <c r="J289" i="91"/>
  <c r="J290" i="91"/>
  <c r="J291" i="91"/>
  <c r="J292" i="91"/>
  <c r="J293" i="91"/>
  <c r="J294" i="91"/>
  <c r="J295" i="91"/>
  <c r="J296" i="91"/>
  <c r="J297" i="91"/>
  <c r="J298" i="91"/>
  <c r="J299" i="91"/>
  <c r="J300" i="91"/>
  <c r="J301" i="91"/>
  <c r="J302" i="91"/>
  <c r="J303" i="91"/>
  <c r="J304" i="91"/>
  <c r="J305" i="91"/>
  <c r="J306" i="91"/>
  <c r="J307" i="91"/>
  <c r="J308" i="91"/>
  <c r="J309" i="91"/>
  <c r="J310" i="91"/>
  <c r="J311" i="91"/>
  <c r="J312" i="91"/>
  <c r="J313" i="91"/>
  <c r="J314" i="91"/>
  <c r="J315" i="91"/>
  <c r="J316" i="91"/>
  <c r="J317" i="91"/>
  <c r="J318" i="91"/>
  <c r="J319" i="91"/>
  <c r="J320" i="91"/>
  <c r="J321" i="91"/>
  <c r="J322" i="91"/>
  <c r="J323" i="91"/>
  <c r="J324" i="91"/>
  <c r="J325" i="91"/>
  <c r="J326" i="91"/>
  <c r="J327" i="91"/>
  <c r="J328" i="91"/>
  <c r="J329" i="91"/>
  <c r="J330" i="91"/>
  <c r="J331" i="91"/>
  <c r="J332" i="91"/>
  <c r="J333" i="91"/>
  <c r="J334" i="91"/>
  <c r="J335" i="91"/>
  <c r="J336" i="91"/>
  <c r="J337" i="91"/>
  <c r="J338" i="91"/>
  <c r="J339" i="91"/>
  <c r="J340" i="91"/>
  <c r="J341" i="91"/>
  <c r="J342" i="91"/>
  <c r="J343" i="91"/>
  <c r="J344" i="91"/>
  <c r="J345" i="91"/>
  <c r="J346" i="91"/>
  <c r="J347" i="91"/>
  <c r="J348" i="91"/>
  <c r="J349" i="91"/>
  <c r="J350" i="91"/>
  <c r="J351" i="91"/>
  <c r="J352" i="91"/>
  <c r="J353" i="91"/>
  <c r="J354" i="91"/>
  <c r="J355" i="91"/>
  <c r="J356" i="91"/>
  <c r="J357" i="91"/>
  <c r="J358" i="91"/>
  <c r="J359" i="91"/>
  <c r="J360" i="91"/>
  <c r="J361" i="91"/>
  <c r="J362" i="91"/>
  <c r="J363" i="91"/>
  <c r="J364" i="91"/>
  <c r="J365" i="91"/>
  <c r="J366" i="91"/>
  <c r="J367" i="91"/>
  <c r="J368" i="91"/>
  <c r="J369" i="91"/>
  <c r="J370" i="91"/>
  <c r="J371" i="91"/>
  <c r="J372" i="91"/>
  <c r="J373" i="91"/>
  <c r="J374" i="91"/>
  <c r="J375" i="91"/>
  <c r="J376" i="91"/>
  <c r="J377" i="91"/>
  <c r="J378" i="91"/>
  <c r="J379" i="91"/>
  <c r="J380" i="91"/>
  <c r="J381" i="91"/>
  <c r="J382" i="91"/>
  <c r="J383" i="91"/>
  <c r="J384" i="91"/>
  <c r="J385" i="91"/>
  <c r="J386" i="91"/>
  <c r="J387" i="91"/>
  <c r="J388" i="91"/>
  <c r="J389" i="91"/>
  <c r="J390" i="91"/>
  <c r="J391" i="91"/>
  <c r="J392" i="91"/>
  <c r="J393" i="91"/>
  <c r="J394" i="91"/>
  <c r="J395" i="91"/>
  <c r="J396" i="91"/>
  <c r="J397" i="91"/>
  <c r="J398" i="91"/>
  <c r="J399" i="91"/>
  <c r="J400" i="91"/>
  <c r="J401" i="91"/>
  <c r="J402" i="91"/>
  <c r="J403" i="91"/>
  <c r="J404" i="91"/>
  <c r="J405" i="91"/>
  <c r="J406" i="91"/>
  <c r="J407" i="91"/>
  <c r="J408" i="91"/>
  <c r="J409" i="91"/>
  <c r="J410" i="91"/>
  <c r="J411" i="91"/>
  <c r="J412" i="91"/>
  <c r="J413" i="91"/>
  <c r="J414" i="91"/>
  <c r="J415" i="91"/>
  <c r="J416" i="91"/>
  <c r="J417" i="91"/>
  <c r="J418" i="91"/>
  <c r="J419" i="91"/>
  <c r="J420" i="91"/>
  <c r="J421" i="91"/>
  <c r="J422" i="91"/>
  <c r="J423" i="91"/>
  <c r="J424" i="91"/>
  <c r="J425" i="91"/>
  <c r="J426" i="91"/>
  <c r="J427" i="91"/>
  <c r="J428" i="91"/>
  <c r="J429" i="91"/>
  <c r="J430" i="91"/>
  <c r="J431" i="91"/>
  <c r="J432" i="91"/>
  <c r="J433" i="91"/>
  <c r="J434" i="91"/>
  <c r="J435" i="91"/>
  <c r="J436" i="91"/>
  <c r="J437" i="91"/>
  <c r="J438" i="91"/>
  <c r="J439" i="91"/>
  <c r="J440" i="91"/>
  <c r="J441" i="91"/>
  <c r="J442" i="91"/>
  <c r="J443" i="91"/>
  <c r="J444" i="91"/>
  <c r="J445" i="91"/>
  <c r="J446" i="91"/>
  <c r="J447" i="91"/>
  <c r="J448" i="91"/>
  <c r="J449" i="91"/>
  <c r="J450" i="91"/>
  <c r="J451" i="91"/>
  <c r="J452" i="91"/>
  <c r="J453" i="91"/>
  <c r="J454" i="91"/>
  <c r="J455" i="91"/>
  <c r="J456" i="91"/>
  <c r="J457" i="91"/>
  <c r="J458" i="91"/>
  <c r="J459" i="91"/>
  <c r="J460" i="91"/>
  <c r="J461" i="91"/>
  <c r="J462" i="91"/>
  <c r="J463" i="91"/>
  <c r="J464" i="91"/>
  <c r="J465" i="91"/>
  <c r="J466" i="91"/>
  <c r="J467" i="91"/>
  <c r="J468" i="91"/>
  <c r="J469" i="91"/>
  <c r="J470" i="91"/>
  <c r="J471" i="91"/>
  <c r="J472" i="91"/>
  <c r="J473" i="91"/>
  <c r="J474" i="91"/>
  <c r="J475" i="91"/>
  <c r="J476" i="91"/>
  <c r="J477" i="91"/>
  <c r="J478" i="91"/>
  <c r="J479" i="91"/>
  <c r="J480" i="91"/>
  <c r="J481" i="91"/>
  <c r="J482" i="91"/>
  <c r="J483" i="91"/>
  <c r="J484" i="91"/>
  <c r="J485" i="91"/>
  <c r="J486" i="91"/>
  <c r="J487" i="91"/>
  <c r="J488" i="91"/>
  <c r="J489" i="91"/>
  <c r="J490" i="91"/>
  <c r="J491" i="91"/>
  <c r="J492" i="91"/>
  <c r="J493" i="91"/>
  <c r="J494" i="91"/>
  <c r="J495" i="91"/>
  <c r="J496" i="91"/>
  <c r="J497" i="91"/>
  <c r="J498" i="91"/>
  <c r="J499" i="91"/>
  <c r="J500" i="91"/>
  <c r="J501" i="91"/>
  <c r="J502" i="91"/>
  <c r="J503" i="91"/>
  <c r="J504" i="91"/>
  <c r="J505" i="91"/>
  <c r="J506" i="91"/>
  <c r="J507" i="91"/>
  <c r="J508" i="91"/>
  <c r="J509" i="91"/>
  <c r="J510" i="91"/>
  <c r="J511" i="91"/>
  <c r="J512" i="91"/>
  <c r="J513" i="91"/>
  <c r="J514" i="91"/>
  <c r="J515" i="91"/>
  <c r="J516" i="91"/>
  <c r="J517" i="91"/>
  <c r="J518" i="91"/>
  <c r="J519" i="91"/>
  <c r="J520" i="91"/>
  <c r="J521" i="91"/>
  <c r="J522" i="91"/>
  <c r="J523" i="91"/>
  <c r="J524" i="91"/>
  <c r="J525" i="91"/>
  <c r="J526" i="91"/>
  <c r="J527" i="91"/>
  <c r="J528" i="91"/>
  <c r="J529" i="91"/>
  <c r="J530" i="91"/>
  <c r="J531" i="91"/>
  <c r="J532" i="91"/>
  <c r="J533" i="91"/>
  <c r="J534" i="91"/>
  <c r="J535" i="91"/>
  <c r="J536" i="91"/>
  <c r="J537" i="91"/>
  <c r="J538" i="91"/>
  <c r="J539" i="91"/>
  <c r="J540" i="91"/>
  <c r="J541" i="91"/>
  <c r="J542" i="91"/>
  <c r="J543" i="91"/>
  <c r="J544" i="91"/>
  <c r="J545" i="91"/>
  <c r="J546" i="91"/>
  <c r="J547" i="91"/>
  <c r="J548" i="91"/>
  <c r="J549" i="91"/>
  <c r="J550" i="91"/>
  <c r="J551" i="91"/>
  <c r="J552" i="91"/>
  <c r="J553" i="91"/>
  <c r="J554" i="91"/>
  <c r="J555" i="91"/>
  <c r="J556" i="91"/>
  <c r="J557" i="91"/>
  <c r="J558" i="91"/>
  <c r="J559" i="91"/>
  <c r="J560" i="91"/>
  <c r="J561" i="91"/>
  <c r="J562" i="91"/>
  <c r="J563" i="91"/>
  <c r="J564" i="91"/>
  <c r="J565" i="91"/>
  <c r="J566" i="91"/>
  <c r="J567" i="91"/>
  <c r="J568" i="91"/>
  <c r="J569" i="91"/>
  <c r="J570" i="91"/>
  <c r="J571" i="91"/>
  <c r="J572" i="91"/>
  <c r="J573" i="91"/>
  <c r="J574" i="91"/>
  <c r="J575" i="91"/>
  <c r="J576" i="91"/>
  <c r="J577" i="91"/>
  <c r="J578" i="91"/>
  <c r="J579" i="91"/>
  <c r="J580" i="91"/>
  <c r="J581" i="91"/>
  <c r="J582" i="91"/>
  <c r="J583" i="91"/>
  <c r="J584" i="91"/>
  <c r="J585" i="91"/>
  <c r="J586" i="91"/>
  <c r="J587" i="91"/>
  <c r="J588" i="91"/>
  <c r="J589" i="91"/>
  <c r="J590" i="91"/>
  <c r="J591" i="91"/>
  <c r="J592" i="91"/>
  <c r="J593" i="91"/>
  <c r="J594" i="91"/>
  <c r="J595" i="91"/>
  <c r="J596" i="91"/>
  <c r="J597" i="91"/>
  <c r="J598" i="91"/>
  <c r="J599" i="91"/>
  <c r="J600" i="91"/>
  <c r="J601" i="91"/>
  <c r="J602" i="91"/>
  <c r="J603" i="91"/>
  <c r="J604" i="91"/>
  <c r="J605" i="91"/>
  <c r="J606" i="91"/>
  <c r="J607" i="91"/>
  <c r="J608" i="91"/>
  <c r="J609" i="91"/>
  <c r="J610" i="91"/>
  <c r="J611" i="91"/>
  <c r="J612" i="91"/>
  <c r="J613" i="91"/>
  <c r="J614" i="91"/>
  <c r="J615" i="91"/>
  <c r="J616" i="91"/>
  <c r="J617" i="91"/>
  <c r="J618" i="91"/>
  <c r="J619" i="91"/>
  <c r="J620" i="91"/>
  <c r="J621" i="91"/>
  <c r="J622" i="91"/>
  <c r="J623" i="91"/>
  <c r="J624" i="91"/>
  <c r="J625" i="91"/>
  <c r="J626" i="91"/>
  <c r="J627" i="91"/>
  <c r="J628" i="91"/>
  <c r="J629" i="91"/>
  <c r="J630" i="91"/>
  <c r="J631" i="91"/>
  <c r="J632" i="91"/>
  <c r="J633" i="91"/>
  <c r="J634" i="91"/>
  <c r="J635" i="91"/>
  <c r="J636" i="91"/>
  <c r="J637" i="91"/>
  <c r="J638" i="91"/>
  <c r="J639" i="91"/>
  <c r="J640" i="91"/>
  <c r="J641" i="91"/>
  <c r="J642" i="91"/>
  <c r="J643" i="91"/>
  <c r="J644" i="91"/>
  <c r="J645" i="91"/>
  <c r="J646" i="91"/>
  <c r="J647" i="91"/>
  <c r="J648" i="91"/>
  <c r="J649" i="91"/>
  <c r="J650" i="91"/>
  <c r="J651" i="91"/>
  <c r="J652" i="91"/>
  <c r="J653" i="91"/>
  <c r="J654" i="91"/>
  <c r="J655" i="91"/>
  <c r="J656" i="91"/>
  <c r="J657" i="91"/>
  <c r="J658" i="91"/>
  <c r="J659" i="91"/>
  <c r="J660" i="91"/>
  <c r="J661" i="91"/>
  <c r="J662" i="91"/>
  <c r="J663" i="91"/>
  <c r="J664" i="91"/>
  <c r="J665" i="91"/>
  <c r="J666" i="91"/>
  <c r="J667" i="91"/>
  <c r="J668" i="91"/>
  <c r="J669" i="91"/>
  <c r="J670" i="91"/>
  <c r="J671" i="91"/>
  <c r="J672" i="91"/>
  <c r="J673" i="91"/>
  <c r="J674" i="91"/>
  <c r="J675" i="91"/>
  <c r="J676" i="91"/>
  <c r="J677" i="91"/>
  <c r="J678" i="91"/>
  <c r="J679" i="91"/>
  <c r="J680" i="91"/>
  <c r="J681" i="91"/>
  <c r="J682" i="91"/>
  <c r="J683" i="91"/>
  <c r="J684" i="91"/>
  <c r="J685" i="91"/>
  <c r="J686" i="91"/>
  <c r="J687" i="91"/>
  <c r="J688" i="91"/>
  <c r="J689" i="91"/>
  <c r="J690" i="91"/>
  <c r="J691" i="91"/>
  <c r="J692" i="91"/>
  <c r="J693" i="91"/>
  <c r="J694" i="91"/>
  <c r="J695" i="91"/>
  <c r="J696" i="91"/>
  <c r="J697" i="91"/>
  <c r="J698" i="91"/>
  <c r="J699" i="91"/>
  <c r="J700" i="91"/>
  <c r="J701" i="91"/>
  <c r="J702" i="91"/>
  <c r="J703" i="91"/>
  <c r="J704" i="91"/>
  <c r="J705" i="91"/>
  <c r="J706" i="91"/>
  <c r="J707" i="91"/>
  <c r="J708" i="91"/>
  <c r="J709" i="91"/>
  <c r="J710" i="91"/>
  <c r="J711" i="91"/>
  <c r="J712" i="91"/>
  <c r="J713" i="91"/>
  <c r="J714" i="91"/>
  <c r="J715" i="91"/>
  <c r="J716" i="91"/>
  <c r="J717" i="91"/>
  <c r="J718" i="91"/>
  <c r="J719" i="91"/>
  <c r="J720" i="91"/>
  <c r="J721" i="91"/>
  <c r="J722" i="91"/>
  <c r="J723" i="91"/>
  <c r="J724" i="91"/>
  <c r="J725" i="91"/>
  <c r="J726" i="91"/>
  <c r="J727" i="91"/>
  <c r="J728" i="91"/>
  <c r="J729" i="91"/>
  <c r="J730" i="91"/>
  <c r="J731" i="91"/>
  <c r="J732" i="91"/>
  <c r="J733" i="91"/>
  <c r="J734" i="91"/>
  <c r="J735" i="91"/>
  <c r="J736" i="91"/>
  <c r="J737" i="91"/>
  <c r="J738" i="91"/>
  <c r="J739" i="91"/>
  <c r="J740" i="91"/>
  <c r="J741" i="91"/>
  <c r="J742" i="91"/>
  <c r="J743" i="91"/>
  <c r="J744" i="91"/>
  <c r="J745" i="91"/>
  <c r="J746" i="91"/>
  <c r="J747" i="91"/>
  <c r="J748" i="91"/>
  <c r="J749" i="91"/>
  <c r="J750" i="91"/>
  <c r="J751" i="91"/>
  <c r="J752" i="91"/>
  <c r="J753" i="91"/>
  <c r="J754" i="91"/>
  <c r="J755" i="91"/>
  <c r="J756" i="91"/>
  <c r="J757" i="91"/>
  <c r="J758" i="91"/>
  <c r="J759" i="91"/>
  <c r="J760" i="91"/>
  <c r="J761" i="91"/>
  <c r="J762" i="91"/>
  <c r="J763" i="91"/>
  <c r="J764" i="91"/>
  <c r="J765" i="91"/>
  <c r="J766" i="91"/>
  <c r="J767" i="91"/>
  <c r="J768" i="91"/>
  <c r="J769" i="91"/>
  <c r="J770" i="91"/>
  <c r="J771" i="91"/>
  <c r="J772" i="91"/>
  <c r="J773" i="91"/>
  <c r="J774" i="91"/>
  <c r="J775" i="91"/>
  <c r="J776" i="91"/>
  <c r="J777" i="91"/>
  <c r="J778" i="91"/>
  <c r="J779" i="91"/>
  <c r="J780" i="91"/>
  <c r="J781" i="91"/>
  <c r="J782" i="91"/>
  <c r="J783" i="91"/>
  <c r="J784" i="91"/>
  <c r="J785" i="91"/>
  <c r="J786" i="91"/>
  <c r="J787" i="91"/>
  <c r="J788" i="91"/>
  <c r="J789" i="91"/>
  <c r="J790" i="91"/>
  <c r="J791" i="91"/>
  <c r="J792" i="91"/>
  <c r="J793" i="91"/>
  <c r="J794" i="91"/>
  <c r="J795" i="91"/>
  <c r="J796" i="91"/>
  <c r="J797" i="91"/>
  <c r="J798" i="91"/>
  <c r="J799" i="91"/>
  <c r="J800" i="91"/>
  <c r="J801" i="91"/>
  <c r="J802" i="91"/>
  <c r="J803" i="91"/>
  <c r="J804" i="91"/>
  <c r="J805" i="91"/>
  <c r="J806" i="91"/>
  <c r="J807" i="91"/>
  <c r="J808" i="91"/>
  <c r="J809" i="91"/>
  <c r="J810" i="91"/>
  <c r="J811" i="91"/>
  <c r="J812" i="91"/>
  <c r="J813" i="91"/>
  <c r="J814" i="91"/>
  <c r="J815" i="91"/>
  <c r="J816" i="91"/>
  <c r="J817" i="91"/>
  <c r="J818" i="91"/>
  <c r="J819" i="91"/>
  <c r="J820" i="91"/>
  <c r="J821" i="91"/>
  <c r="J822" i="91"/>
  <c r="J823" i="91"/>
  <c r="J824" i="91"/>
  <c r="J825" i="91"/>
  <c r="J826" i="91"/>
  <c r="J827" i="91"/>
  <c r="J828" i="91"/>
  <c r="J829" i="91"/>
  <c r="J830" i="91"/>
  <c r="J831" i="91"/>
  <c r="J832" i="91"/>
  <c r="J833" i="91"/>
  <c r="J834" i="91"/>
  <c r="J835" i="91"/>
  <c r="J836" i="91"/>
  <c r="J837" i="91"/>
  <c r="J838" i="91"/>
  <c r="J839" i="91"/>
  <c r="J840" i="91"/>
  <c r="J841" i="91"/>
  <c r="J842" i="91"/>
  <c r="J843" i="91"/>
  <c r="J844" i="91"/>
  <c r="J845" i="91"/>
  <c r="J846" i="91"/>
  <c r="J847" i="91"/>
  <c r="J848" i="91"/>
  <c r="J849" i="91"/>
  <c r="J850" i="91"/>
  <c r="J851" i="91"/>
  <c r="J852" i="91"/>
  <c r="J853" i="91"/>
  <c r="J854" i="91"/>
  <c r="J855" i="91"/>
  <c r="J856" i="91"/>
  <c r="J857" i="91"/>
  <c r="J858" i="91"/>
  <c r="J859" i="91"/>
  <c r="J860" i="91"/>
  <c r="J861" i="91"/>
  <c r="J862" i="91"/>
  <c r="J863" i="91"/>
  <c r="J864" i="91"/>
  <c r="J865" i="91"/>
  <c r="J866" i="91"/>
  <c r="J867" i="91"/>
  <c r="J868" i="91"/>
  <c r="J869" i="91"/>
  <c r="J870" i="91"/>
  <c r="J871" i="91"/>
  <c r="J872" i="91"/>
  <c r="J873" i="91"/>
  <c r="J874" i="91"/>
  <c r="J875" i="91"/>
  <c r="J876" i="91"/>
  <c r="J877" i="91"/>
  <c r="J878" i="91"/>
  <c r="J879" i="91"/>
  <c r="J880" i="91"/>
  <c r="J881" i="91"/>
  <c r="J882" i="91"/>
  <c r="J883" i="91"/>
  <c r="J884" i="91"/>
  <c r="J885" i="91"/>
  <c r="J886" i="91"/>
  <c r="J887" i="91"/>
  <c r="J888" i="91"/>
  <c r="J889" i="91"/>
  <c r="J890" i="91"/>
  <c r="J891" i="91"/>
  <c r="J892" i="91"/>
  <c r="J893" i="91"/>
  <c r="J894" i="91"/>
  <c r="J895" i="91"/>
  <c r="J896" i="91"/>
  <c r="J897" i="91"/>
  <c r="J898" i="91"/>
  <c r="J899" i="91"/>
  <c r="J900" i="91"/>
  <c r="J901" i="91"/>
  <c r="J902" i="91"/>
  <c r="J903" i="91"/>
  <c r="J904" i="91"/>
  <c r="J905" i="91"/>
  <c r="J906" i="91"/>
  <c r="J907" i="91"/>
  <c r="J908" i="91"/>
  <c r="J909" i="91"/>
  <c r="J910" i="91"/>
  <c r="J911" i="91"/>
  <c r="J912" i="91"/>
  <c r="J913" i="91"/>
  <c r="J914" i="91"/>
  <c r="J915" i="91"/>
  <c r="J916" i="91"/>
  <c r="J917" i="91"/>
  <c r="J918" i="91"/>
  <c r="J919" i="91"/>
  <c r="J920" i="91"/>
  <c r="J921" i="91"/>
  <c r="J922" i="91"/>
  <c r="J923" i="91"/>
  <c r="J924" i="91"/>
  <c r="J925" i="91"/>
  <c r="J926" i="91"/>
  <c r="J927" i="91"/>
  <c r="J928" i="91"/>
  <c r="J929" i="91"/>
  <c r="J930" i="91"/>
  <c r="J931" i="91"/>
  <c r="J932" i="91"/>
  <c r="J933" i="91"/>
  <c r="J934" i="91"/>
  <c r="J935" i="91"/>
  <c r="J936" i="91"/>
  <c r="J937" i="91"/>
  <c r="J938" i="91"/>
  <c r="J939" i="91"/>
  <c r="J940" i="91"/>
  <c r="J941" i="91"/>
  <c r="J942" i="91"/>
  <c r="J943" i="91"/>
  <c r="J944" i="91"/>
  <c r="J945" i="91"/>
  <c r="J946" i="91"/>
  <c r="J947" i="91"/>
  <c r="J948" i="91"/>
  <c r="J949" i="91"/>
  <c r="J950" i="91"/>
  <c r="J951" i="91"/>
  <c r="J952" i="91"/>
  <c r="J953" i="91"/>
  <c r="J954" i="91"/>
  <c r="J955" i="91"/>
  <c r="J956" i="91"/>
  <c r="J957" i="91"/>
  <c r="J958" i="91"/>
  <c r="J959" i="91"/>
  <c r="J960" i="91"/>
  <c r="J961" i="91"/>
  <c r="J962" i="91"/>
  <c r="J963" i="91"/>
  <c r="J964" i="91"/>
  <c r="J965" i="91"/>
  <c r="J966" i="91"/>
  <c r="J967" i="91"/>
  <c r="J968" i="91"/>
  <c r="J969" i="91"/>
  <c r="J970" i="91"/>
  <c r="J971" i="91"/>
  <c r="J972" i="91"/>
  <c r="J973" i="91"/>
  <c r="J974" i="91"/>
  <c r="J975" i="91"/>
  <c r="J976" i="91"/>
  <c r="J977" i="91"/>
  <c r="J978" i="91"/>
  <c r="J979" i="91"/>
  <c r="J980" i="91"/>
  <c r="J981" i="91"/>
  <c r="J982" i="91"/>
  <c r="J983" i="91"/>
  <c r="J984" i="91"/>
  <c r="J985" i="91"/>
  <c r="J986" i="91"/>
  <c r="J987" i="91"/>
  <c r="J988" i="91"/>
  <c r="J989" i="91"/>
  <c r="J990" i="91"/>
  <c r="J991" i="91"/>
  <c r="J992" i="91"/>
  <c r="J993" i="91"/>
  <c r="J994" i="91"/>
  <c r="J995" i="91"/>
  <c r="J996" i="91"/>
  <c r="J997" i="91"/>
  <c r="J998" i="91"/>
  <c r="J999" i="91"/>
  <c r="J1000" i="91"/>
  <c r="J1001" i="91"/>
  <c r="J1002" i="91"/>
  <c r="J1003" i="91"/>
  <c r="J1004" i="91"/>
  <c r="J1005" i="91"/>
  <c r="J1006" i="91"/>
  <c r="J1007" i="91"/>
  <c r="J1008" i="91"/>
  <c r="J1009" i="91"/>
  <c r="J1010" i="91"/>
  <c r="J1011" i="91"/>
  <c r="J1012" i="91"/>
  <c r="J1013" i="91"/>
  <c r="J1014" i="91"/>
  <c r="J1015" i="91"/>
  <c r="J1016" i="91"/>
  <c r="J1017" i="91"/>
  <c r="J1018" i="91"/>
  <c r="J1019" i="91"/>
  <c r="J1020" i="91"/>
  <c r="J1021" i="91"/>
  <c r="J1022" i="91"/>
  <c r="J1023" i="91"/>
  <c r="J1024" i="91"/>
  <c r="J1025" i="91"/>
  <c r="J1026" i="91"/>
  <c r="J1027" i="91"/>
  <c r="J1028" i="91"/>
  <c r="J1029" i="91"/>
  <c r="J1030" i="91"/>
  <c r="J1031" i="91"/>
  <c r="J1032" i="91"/>
  <c r="J1033" i="91"/>
  <c r="J1034" i="91"/>
  <c r="J1035" i="91"/>
  <c r="J1036" i="91"/>
  <c r="J1037" i="91"/>
  <c r="J1038" i="91"/>
  <c r="J1039" i="91"/>
  <c r="J1040" i="91"/>
  <c r="J1041" i="91"/>
  <c r="J1042" i="91"/>
  <c r="J1043" i="91"/>
  <c r="J1044" i="91"/>
  <c r="J1045" i="91"/>
  <c r="J1046" i="91"/>
  <c r="J1047" i="91"/>
  <c r="J1048" i="91"/>
  <c r="J1049" i="91"/>
  <c r="J1050" i="91"/>
  <c r="J1051" i="91"/>
  <c r="J1052" i="91"/>
  <c r="J1053" i="91"/>
  <c r="J1054" i="91"/>
  <c r="J1055" i="91"/>
  <c r="J1056" i="91"/>
  <c r="J1057" i="91"/>
  <c r="J1058" i="91"/>
  <c r="J1059" i="91"/>
  <c r="J1060" i="91"/>
  <c r="J1061" i="91"/>
  <c r="J1062" i="91"/>
  <c r="J1063" i="91"/>
  <c r="J1064" i="91"/>
  <c r="J1065" i="91"/>
  <c r="J1066" i="91"/>
  <c r="J1067" i="91"/>
  <c r="J1068" i="91"/>
  <c r="J1069" i="91"/>
  <c r="J1070" i="91"/>
  <c r="J1071" i="91"/>
  <c r="J1072" i="91"/>
  <c r="J1073" i="91"/>
  <c r="J1074" i="91"/>
  <c r="J1075" i="91"/>
  <c r="J1076" i="91"/>
  <c r="J1077" i="91"/>
  <c r="J1078" i="91"/>
  <c r="J1079" i="91"/>
  <c r="J1080" i="91"/>
  <c r="J1081" i="91"/>
  <c r="J1082" i="91"/>
  <c r="J1083" i="91"/>
  <c r="J1084" i="91"/>
  <c r="J1085" i="91"/>
  <c r="J1086" i="91"/>
  <c r="J1087" i="91"/>
  <c r="J1088" i="91"/>
  <c r="J1089" i="91"/>
  <c r="J1090" i="91"/>
  <c r="J1091" i="91"/>
  <c r="J1092" i="91"/>
  <c r="J1093" i="91"/>
  <c r="J1094" i="91"/>
  <c r="J1095" i="91"/>
  <c r="J1096" i="91"/>
  <c r="J1097" i="91"/>
  <c r="J1098" i="91"/>
  <c r="J1099" i="91"/>
  <c r="J1100" i="91"/>
  <c r="J1101" i="91"/>
  <c r="J1102" i="91"/>
  <c r="J1103" i="91"/>
  <c r="J1104" i="91"/>
  <c r="J1105" i="91"/>
  <c r="J1106" i="91"/>
  <c r="J1107" i="91"/>
  <c r="J1108" i="91"/>
  <c r="J1109" i="91"/>
  <c r="J1110" i="91"/>
  <c r="J1111" i="91"/>
  <c r="J1112" i="91"/>
  <c r="J1113" i="91"/>
  <c r="J1114" i="91"/>
  <c r="J1115" i="91"/>
  <c r="J1116" i="91"/>
  <c r="J1117" i="91"/>
  <c r="J1118" i="91"/>
  <c r="J1119" i="91"/>
  <c r="J1120" i="91"/>
  <c r="J1121" i="91"/>
  <c r="J1122" i="91"/>
  <c r="J1123" i="91"/>
  <c r="J1124" i="91"/>
  <c r="J1125" i="91"/>
  <c r="J1126" i="91"/>
  <c r="J1127" i="91"/>
  <c r="J1128" i="91"/>
  <c r="J1129" i="91"/>
  <c r="J1130" i="91"/>
  <c r="J1131" i="91"/>
  <c r="J1132" i="91"/>
  <c r="J1133" i="91"/>
  <c r="J1134" i="91"/>
  <c r="J1135" i="91"/>
  <c r="J1136" i="91"/>
  <c r="J1137" i="91"/>
  <c r="J1138" i="91"/>
  <c r="J1139" i="91"/>
  <c r="J1140" i="91"/>
  <c r="J1141" i="91"/>
  <c r="J1142" i="91"/>
  <c r="J1143" i="91"/>
  <c r="J1144" i="91"/>
  <c r="J1145" i="91"/>
  <c r="J1146" i="91"/>
  <c r="J1147" i="91"/>
  <c r="J1148" i="91"/>
  <c r="J1149" i="91"/>
  <c r="J1150" i="91"/>
  <c r="J1151" i="91"/>
  <c r="J1152" i="91"/>
  <c r="J1153" i="91"/>
  <c r="J1154" i="91"/>
  <c r="J1155" i="91"/>
  <c r="J1156" i="91"/>
  <c r="J1157" i="91"/>
  <c r="J1158" i="91"/>
  <c r="J1159" i="91"/>
  <c r="J1160" i="91"/>
  <c r="J1161" i="91"/>
  <c r="J1162" i="91"/>
  <c r="J1163" i="91"/>
  <c r="J1164" i="91"/>
  <c r="J1165" i="91"/>
  <c r="J1166" i="91"/>
  <c r="J1167" i="91"/>
  <c r="J1168" i="91"/>
  <c r="J1169" i="91"/>
  <c r="J1170" i="91"/>
  <c r="J1171" i="91"/>
  <c r="J1172" i="91"/>
  <c r="J1173" i="91"/>
  <c r="J1174" i="91"/>
  <c r="J1175" i="91"/>
  <c r="J1176" i="91"/>
  <c r="J1177" i="91"/>
  <c r="J1178" i="91"/>
  <c r="J1179" i="91"/>
  <c r="J1180" i="91"/>
  <c r="J1181" i="91"/>
  <c r="J1182" i="91"/>
  <c r="J1183" i="91"/>
  <c r="J1184" i="91"/>
  <c r="J1185" i="91"/>
  <c r="J1186" i="91"/>
  <c r="J1187" i="91"/>
  <c r="J1188" i="91"/>
  <c r="J1189" i="91"/>
  <c r="J1190" i="91"/>
  <c r="J1191" i="91"/>
  <c r="J1192" i="91"/>
  <c r="J1193" i="91"/>
  <c r="J1194" i="91"/>
  <c r="J1195" i="91"/>
  <c r="J1196" i="91"/>
  <c r="J1197" i="91"/>
  <c r="J1198" i="91"/>
  <c r="J1199" i="91"/>
  <c r="J1200" i="91"/>
  <c r="J1201" i="91"/>
  <c r="J1202" i="91"/>
  <c r="J1203" i="91"/>
  <c r="J1204" i="91"/>
  <c r="J1205" i="91"/>
  <c r="J1206" i="91"/>
  <c r="J1207" i="91"/>
  <c r="J1208" i="91"/>
  <c r="J1209" i="91"/>
  <c r="J1210" i="91"/>
  <c r="J1211" i="91"/>
  <c r="J1212" i="91"/>
  <c r="J1213" i="91"/>
  <c r="J1214" i="91"/>
  <c r="J1215" i="91"/>
  <c r="J1216" i="91"/>
  <c r="J1217" i="91"/>
  <c r="J1218" i="91"/>
  <c r="J1219" i="91"/>
  <c r="J1220" i="91"/>
  <c r="J1221" i="91"/>
  <c r="J1222" i="91"/>
  <c r="J1223" i="91"/>
  <c r="J1224" i="91"/>
  <c r="J1225" i="91"/>
  <c r="J1226" i="91"/>
  <c r="J1227" i="91"/>
  <c r="J1228" i="91"/>
  <c r="J1229" i="91"/>
  <c r="J1230" i="91"/>
  <c r="J1231" i="91"/>
  <c r="J1232" i="91"/>
  <c r="J1233" i="91"/>
  <c r="J1234" i="91"/>
  <c r="J1235" i="91"/>
  <c r="J1236" i="91"/>
  <c r="J1237" i="91"/>
  <c r="J1238" i="91"/>
  <c r="J1239" i="91"/>
  <c r="J1240" i="91"/>
  <c r="J1241" i="91"/>
  <c r="J1242" i="91"/>
  <c r="J1243" i="91"/>
  <c r="J1244" i="91"/>
  <c r="J1245" i="91"/>
  <c r="J1246" i="91"/>
  <c r="J1247" i="91"/>
  <c r="J1248" i="91"/>
  <c r="J1249" i="91"/>
  <c r="J1250" i="91"/>
  <c r="J1251" i="91"/>
  <c r="J1252" i="91"/>
  <c r="J1253" i="91"/>
  <c r="J1254" i="91"/>
  <c r="J1255" i="91"/>
  <c r="J1256" i="91"/>
  <c r="J1257" i="91"/>
  <c r="J1258" i="91"/>
  <c r="J1259" i="91"/>
  <c r="J1260" i="91"/>
  <c r="J1261" i="91"/>
  <c r="J1262" i="91"/>
  <c r="J1263" i="91"/>
  <c r="J1264" i="91"/>
  <c r="J1265" i="91"/>
  <c r="J1266" i="91"/>
  <c r="J1267" i="91"/>
  <c r="J1268" i="91"/>
  <c r="J1269" i="91"/>
  <c r="J1270" i="91"/>
  <c r="J1271" i="91"/>
  <c r="J1272" i="91"/>
  <c r="J1273" i="91"/>
  <c r="J1274" i="91"/>
  <c r="J1275" i="91"/>
  <c r="J1276" i="91"/>
  <c r="J1277" i="91"/>
  <c r="J1278" i="91"/>
  <c r="J1279" i="91"/>
  <c r="J1280" i="91"/>
  <c r="J1281" i="91"/>
  <c r="J1282" i="91"/>
  <c r="J1283" i="91"/>
  <c r="J1284" i="91"/>
  <c r="J1285" i="91"/>
  <c r="J1286" i="91"/>
  <c r="J1287" i="91"/>
  <c r="J1288" i="91"/>
  <c r="J1289" i="91"/>
  <c r="J1290" i="91"/>
  <c r="J1291" i="91"/>
  <c r="J1292" i="91"/>
  <c r="J1293" i="91"/>
  <c r="J1294" i="91"/>
  <c r="J1295" i="91"/>
  <c r="J1296" i="91"/>
  <c r="J1297" i="91"/>
  <c r="J1298" i="91"/>
  <c r="J1299" i="91"/>
  <c r="J1300" i="91"/>
  <c r="J1301" i="91"/>
  <c r="J1302" i="91"/>
  <c r="J1303" i="91"/>
  <c r="J1304" i="91"/>
  <c r="J1305" i="91"/>
  <c r="J1306" i="91"/>
  <c r="J1307" i="91"/>
  <c r="J1308" i="91"/>
  <c r="J1309" i="91"/>
  <c r="J1310" i="91"/>
  <c r="J1311" i="91"/>
  <c r="J1312" i="91"/>
  <c r="J1313" i="91"/>
  <c r="J1314" i="91"/>
  <c r="J1315" i="91"/>
  <c r="J1316" i="91"/>
  <c r="J1317" i="91"/>
  <c r="J1318" i="91"/>
  <c r="J1319" i="91"/>
  <c r="J1320" i="91"/>
  <c r="J1321" i="91"/>
  <c r="J1322" i="91"/>
  <c r="J1323" i="91"/>
  <c r="J1324" i="91"/>
  <c r="J1325" i="91"/>
  <c r="J1326" i="91"/>
  <c r="J1327" i="91"/>
  <c r="J1328" i="91"/>
  <c r="J1329" i="91"/>
  <c r="J1330" i="91"/>
  <c r="J1331" i="91"/>
  <c r="J1332" i="91"/>
  <c r="J1333" i="91"/>
  <c r="J1334" i="91"/>
  <c r="J1335" i="91"/>
  <c r="J1336" i="91"/>
  <c r="J1337" i="91"/>
  <c r="J1338" i="91"/>
  <c r="J1339" i="91"/>
  <c r="J1340" i="91"/>
  <c r="J1341" i="91"/>
  <c r="J1342" i="91"/>
  <c r="J1343" i="91"/>
  <c r="J1344" i="91"/>
  <c r="J1345" i="91"/>
  <c r="J1346" i="91"/>
  <c r="J1347" i="91"/>
  <c r="J1348" i="91"/>
  <c r="J1349" i="91"/>
  <c r="J1350" i="91"/>
  <c r="J1352" i="91"/>
  <c r="J1353" i="91"/>
  <c r="J1354" i="91"/>
  <c r="J1355" i="91"/>
  <c r="J1356" i="91"/>
  <c r="J1357" i="91"/>
  <c r="J1358" i="91"/>
  <c r="J1359" i="91"/>
  <c r="J1360" i="91"/>
  <c r="J1361" i="91"/>
  <c r="J1362" i="91"/>
  <c r="J1363" i="91"/>
  <c r="J1364" i="91"/>
  <c r="J1365" i="91"/>
  <c r="J1366" i="91"/>
  <c r="J1367" i="91"/>
  <c r="J1368" i="91"/>
  <c r="J1369" i="91"/>
  <c r="J1370" i="91"/>
  <c r="J1371" i="91"/>
  <c r="J1372" i="91"/>
  <c r="J1373" i="91"/>
  <c r="J1374" i="91"/>
  <c r="J1375" i="91"/>
  <c r="J1376" i="91"/>
  <c r="J1377" i="91"/>
  <c r="J1378" i="91"/>
  <c r="J1379" i="91"/>
  <c r="J1380" i="91"/>
  <c r="J1381" i="91"/>
  <c r="J1382" i="91"/>
  <c r="J1383" i="91"/>
  <c r="J1384" i="91"/>
  <c r="J1385" i="91"/>
  <c r="J1386" i="91"/>
  <c r="J1387" i="91"/>
  <c r="J1388" i="91"/>
  <c r="J1389" i="91"/>
  <c r="J1390" i="91"/>
  <c r="J1391" i="91"/>
  <c r="J1392" i="91"/>
  <c r="J1393" i="91"/>
  <c r="J1394" i="91"/>
  <c r="J1395" i="91"/>
  <c r="J1396" i="91"/>
  <c r="J1397" i="91"/>
  <c r="J1398" i="91"/>
  <c r="J1399" i="91"/>
  <c r="J1400" i="91"/>
  <c r="J1401" i="91"/>
  <c r="J1402" i="91"/>
  <c r="J1403" i="91"/>
  <c r="J1404" i="91"/>
  <c r="J1405" i="91"/>
  <c r="J1406" i="91"/>
  <c r="J1407" i="91"/>
  <c r="J1408" i="91"/>
  <c r="J1409" i="91"/>
  <c r="J1410" i="91"/>
  <c r="J1411" i="91"/>
  <c r="J1412" i="91"/>
  <c r="J1413" i="91"/>
  <c r="J1414" i="91"/>
  <c r="J1415" i="91"/>
  <c r="J1416" i="91"/>
  <c r="J1417" i="91"/>
  <c r="J1418" i="91"/>
  <c r="J1419" i="91"/>
  <c r="J1420" i="91"/>
  <c r="J1421" i="91"/>
  <c r="J1422" i="91"/>
  <c r="J1423" i="91"/>
  <c r="J1424" i="91"/>
  <c r="J1425" i="91"/>
  <c r="J1426" i="91"/>
  <c r="J1427" i="91"/>
  <c r="J1428" i="91"/>
  <c r="J1429" i="91"/>
  <c r="J1430" i="91"/>
  <c r="J1431" i="91"/>
  <c r="J1432" i="91"/>
  <c r="J1433" i="91"/>
  <c r="J1434" i="91"/>
  <c r="J1435" i="91"/>
  <c r="J1436" i="91"/>
  <c r="J1437" i="91"/>
  <c r="J1438" i="91"/>
  <c r="J1439" i="91"/>
  <c r="J1440" i="91"/>
  <c r="J1441" i="91"/>
  <c r="J1442" i="91"/>
  <c r="J1443" i="91"/>
  <c r="J1444" i="91"/>
  <c r="J1445" i="91"/>
  <c r="J1446" i="91"/>
  <c r="J1447" i="91"/>
  <c r="J1448" i="91"/>
  <c r="J1449" i="91"/>
  <c r="J1450" i="91"/>
  <c r="J1451" i="91"/>
  <c r="J1452" i="91"/>
  <c r="J1453" i="91"/>
  <c r="J1454" i="91"/>
  <c r="J1455" i="91"/>
  <c r="J1456" i="91"/>
  <c r="J1457" i="91"/>
  <c r="J1458" i="91"/>
  <c r="J1459" i="91"/>
  <c r="J1460" i="91"/>
  <c r="J1461" i="91"/>
  <c r="J1462" i="91"/>
  <c r="J1463" i="91"/>
  <c r="J1464" i="91"/>
  <c r="J1465" i="91"/>
  <c r="J1466" i="91"/>
  <c r="J1467" i="91"/>
  <c r="J1468" i="91"/>
  <c r="J1469" i="91"/>
  <c r="J1470" i="91"/>
  <c r="J1471" i="91"/>
  <c r="J1472" i="91"/>
  <c r="J1473" i="91"/>
  <c r="J1474" i="91"/>
  <c r="J1475" i="91"/>
  <c r="J1476" i="91"/>
  <c r="J1477" i="91"/>
  <c r="J1478" i="91"/>
  <c r="J1479" i="91"/>
  <c r="J1480" i="91"/>
  <c r="J1481" i="91"/>
  <c r="J1482" i="91"/>
  <c r="J1483" i="91"/>
  <c r="J1484" i="91"/>
  <c r="J1485" i="91"/>
  <c r="J1486" i="91"/>
  <c r="J1487" i="91"/>
  <c r="J1488" i="91"/>
  <c r="J1489" i="91"/>
  <c r="J1490" i="91"/>
  <c r="J1491" i="91"/>
  <c r="J1492" i="91"/>
  <c r="J1493" i="91"/>
  <c r="J1494" i="91"/>
  <c r="J1495" i="91"/>
  <c r="J1496" i="91"/>
  <c r="J1497" i="91"/>
  <c r="J1498" i="91"/>
  <c r="J1499" i="91"/>
  <c r="J1500" i="91"/>
  <c r="J1501" i="91"/>
  <c r="J1502" i="91"/>
  <c r="J1503" i="91"/>
  <c r="J1504" i="91"/>
  <c r="J1505" i="91"/>
  <c r="J1506" i="91"/>
  <c r="J1507" i="91"/>
  <c r="J1508" i="91"/>
  <c r="J1509" i="91"/>
  <c r="J1510" i="91"/>
  <c r="J1511" i="91"/>
  <c r="J1512" i="91"/>
  <c r="J1513" i="91"/>
  <c r="J1514" i="91"/>
  <c r="J1515" i="91"/>
  <c r="J1516" i="91"/>
  <c r="J1517" i="91"/>
  <c r="J1518" i="91"/>
  <c r="J1519" i="91"/>
  <c r="J1520" i="91"/>
  <c r="J1521" i="91"/>
  <c r="J1522" i="91"/>
  <c r="J1523" i="91"/>
  <c r="J1524" i="91"/>
  <c r="J1525" i="91"/>
  <c r="J1526" i="91"/>
  <c r="J1527" i="91"/>
  <c r="J1528" i="91"/>
  <c r="J1529" i="91"/>
  <c r="J1530" i="91"/>
  <c r="J1531" i="91"/>
  <c r="J1532" i="91"/>
  <c r="J1533" i="91"/>
  <c r="J1534" i="91"/>
  <c r="J1535" i="91"/>
  <c r="J1536" i="91"/>
  <c r="J1537" i="91"/>
  <c r="J1538" i="91"/>
  <c r="J1539" i="91"/>
  <c r="J1540" i="91"/>
  <c r="J1541" i="91"/>
  <c r="J1542" i="91"/>
  <c r="J1543" i="91"/>
  <c r="J1544" i="91"/>
  <c r="J1545" i="91"/>
  <c r="J1546" i="91"/>
  <c r="J1547" i="91"/>
  <c r="J1548" i="91"/>
  <c r="J1549" i="91"/>
  <c r="J1550" i="91"/>
  <c r="J1551" i="91"/>
  <c r="J1552" i="91"/>
  <c r="J1553" i="91"/>
  <c r="J1554" i="91"/>
  <c r="J1555" i="91"/>
  <c r="J1556" i="91"/>
  <c r="J1557" i="91"/>
  <c r="J1558" i="91"/>
  <c r="J1559" i="91"/>
  <c r="J1560" i="91"/>
  <c r="J1561" i="91"/>
  <c r="J1562" i="91"/>
  <c r="J1563" i="91"/>
  <c r="J1564" i="91"/>
  <c r="J1565" i="91"/>
  <c r="J1566" i="91"/>
  <c r="J1567" i="91"/>
  <c r="J1568" i="91"/>
  <c r="J1569" i="91"/>
  <c r="J1570" i="91"/>
  <c r="J1571" i="91"/>
  <c r="J1572" i="91"/>
  <c r="J1573" i="91"/>
  <c r="J1574" i="91"/>
  <c r="J1575" i="91"/>
  <c r="J1576" i="91"/>
  <c r="J1577" i="91"/>
  <c r="J1578" i="91"/>
  <c r="J1579" i="91"/>
  <c r="J1580" i="91"/>
  <c r="J1581" i="91"/>
  <c r="J1582" i="91"/>
  <c r="J1583" i="91"/>
  <c r="J1584" i="91"/>
  <c r="J1585" i="91"/>
  <c r="J1586" i="91"/>
  <c r="J1587" i="91"/>
  <c r="J1588" i="91"/>
  <c r="J1589" i="91"/>
  <c r="J1590" i="91"/>
  <c r="J1591" i="91"/>
  <c r="J1592" i="91"/>
  <c r="J1593" i="91"/>
  <c r="J1594" i="91"/>
  <c r="J1595" i="91"/>
  <c r="J1596" i="91"/>
  <c r="J1597" i="91"/>
  <c r="J1598" i="91"/>
  <c r="J1599" i="91"/>
  <c r="J1600" i="91"/>
  <c r="J1601" i="91"/>
  <c r="J1602" i="91"/>
  <c r="J1603" i="91"/>
  <c r="J1604" i="91"/>
  <c r="J1605" i="91"/>
  <c r="J1606" i="91"/>
  <c r="J1607" i="91"/>
  <c r="J1608" i="91"/>
  <c r="J1609" i="91"/>
  <c r="J1610" i="91"/>
  <c r="J1611" i="91"/>
  <c r="J1612" i="91"/>
  <c r="J1613" i="91"/>
  <c r="J1614" i="91"/>
  <c r="J1615" i="91"/>
  <c r="J1616" i="91"/>
  <c r="J1617" i="91"/>
  <c r="J1618" i="91"/>
  <c r="J1619" i="91"/>
  <c r="J1620" i="91"/>
  <c r="J1621" i="91"/>
  <c r="J1622" i="91"/>
  <c r="J1623" i="91"/>
  <c r="J1624" i="91"/>
  <c r="J1625" i="91"/>
  <c r="J1626" i="91"/>
  <c r="J1627" i="91"/>
  <c r="J1628" i="91"/>
  <c r="J1629" i="91"/>
  <c r="J1630" i="91"/>
  <c r="J1631" i="91"/>
  <c r="J1632" i="91"/>
  <c r="J1633" i="91"/>
  <c r="J1634" i="91"/>
  <c r="J1635" i="91"/>
  <c r="J1636" i="91"/>
  <c r="J1637" i="91"/>
  <c r="J1638" i="91"/>
  <c r="J1639" i="91"/>
  <c r="J1640" i="91"/>
  <c r="J1641" i="91"/>
  <c r="J1642" i="91"/>
  <c r="J1643" i="91"/>
  <c r="J1644" i="91"/>
  <c r="J1645" i="91"/>
  <c r="J1646" i="91"/>
  <c r="J1647" i="91"/>
  <c r="J1648" i="91"/>
  <c r="J1649" i="91"/>
  <c r="J1650" i="91"/>
  <c r="J1651" i="91"/>
  <c r="J1652" i="91"/>
  <c r="J1653" i="91"/>
  <c r="J1654" i="91"/>
  <c r="J1655" i="91"/>
  <c r="J1656" i="91"/>
  <c r="J1657" i="91"/>
  <c r="J1658" i="91"/>
  <c r="J1659" i="91"/>
  <c r="J1660" i="91"/>
  <c r="J1661" i="91"/>
  <c r="J1662" i="91"/>
  <c r="J1663" i="91"/>
  <c r="J1664" i="91"/>
  <c r="J1665" i="91"/>
  <c r="J1666" i="91"/>
  <c r="J1667" i="91"/>
  <c r="J1668" i="91"/>
  <c r="J1669" i="91"/>
  <c r="J1670" i="91"/>
  <c r="J1671" i="91"/>
  <c r="J1672" i="91"/>
  <c r="J1673" i="91"/>
  <c r="J1674" i="91"/>
  <c r="J1675" i="91"/>
  <c r="J1676" i="91"/>
  <c r="J1677" i="91"/>
  <c r="J1678" i="91"/>
  <c r="J1679" i="91"/>
  <c r="J1680" i="91"/>
  <c r="J1681" i="91"/>
  <c r="J1682" i="91"/>
  <c r="J1683" i="91"/>
  <c r="J1684" i="91"/>
  <c r="J1685" i="91"/>
  <c r="J1686" i="91"/>
  <c r="J1687" i="91"/>
  <c r="J1689" i="91"/>
  <c r="J1690" i="91"/>
  <c r="J1691" i="91"/>
  <c r="J1692" i="91"/>
  <c r="J1693" i="91"/>
  <c r="J1694" i="91"/>
  <c r="J1695" i="91"/>
  <c r="J1696" i="91"/>
  <c r="J1697" i="91"/>
  <c r="J1698" i="91"/>
  <c r="J1699" i="91"/>
  <c r="J1700" i="91"/>
  <c r="J1701" i="91"/>
  <c r="J1702" i="91"/>
  <c r="J1703" i="91"/>
  <c r="J1704" i="91"/>
  <c r="J1705" i="91"/>
  <c r="J1706" i="91"/>
  <c r="J1707" i="91"/>
  <c r="J1708" i="91"/>
  <c r="J1709" i="91"/>
  <c r="J1710" i="91"/>
  <c r="J1711" i="91"/>
  <c r="J1712" i="91"/>
  <c r="J1713" i="91"/>
  <c r="J1714" i="91"/>
  <c r="J1715" i="91"/>
  <c r="J1716" i="91"/>
  <c r="J1717" i="91"/>
  <c r="J1718" i="91"/>
  <c r="J1719" i="91"/>
  <c r="J1720" i="91"/>
  <c r="J1721" i="91"/>
  <c r="J1722" i="91"/>
  <c r="J1723" i="91"/>
  <c r="J1724" i="91"/>
  <c r="J1725" i="91"/>
  <c r="J1726" i="91"/>
  <c r="J1727" i="91"/>
  <c r="J1728" i="91"/>
  <c r="J1729" i="91"/>
  <c r="J1730" i="91"/>
  <c r="J1731" i="91"/>
  <c r="J1732" i="91"/>
  <c r="J1733" i="91"/>
  <c r="J1734" i="91"/>
  <c r="J1735" i="91"/>
  <c r="J1736" i="91"/>
  <c r="J1737" i="91"/>
  <c r="J1738" i="91"/>
  <c r="J1739" i="91"/>
  <c r="J1740" i="91"/>
  <c r="J1741" i="91"/>
  <c r="J1742" i="91"/>
  <c r="J1743" i="91"/>
  <c r="J1744" i="91"/>
  <c r="J1745" i="91"/>
  <c r="J1746" i="91"/>
  <c r="J1747" i="91"/>
  <c r="J1748" i="91"/>
  <c r="J1749" i="91"/>
  <c r="J1750" i="91"/>
  <c r="J1751" i="91"/>
  <c r="J1752" i="91"/>
  <c r="J1753" i="91"/>
  <c r="J1754" i="91"/>
  <c r="J1755" i="91"/>
  <c r="J1756" i="91"/>
  <c r="J1757" i="91"/>
  <c r="J1758" i="91"/>
  <c r="J1759" i="91"/>
  <c r="J1760" i="91"/>
  <c r="J1761" i="91"/>
  <c r="J1762" i="91"/>
  <c r="J1763" i="91"/>
  <c r="J1764" i="91"/>
  <c r="J1765" i="91"/>
  <c r="J1766" i="91"/>
  <c r="J1767" i="91"/>
  <c r="J1768" i="91"/>
  <c r="J1769" i="91"/>
  <c r="J1770" i="91"/>
  <c r="J1771" i="91"/>
  <c r="J1772" i="91"/>
  <c r="J1773" i="91"/>
  <c r="J1774" i="91"/>
  <c r="J1775" i="91"/>
  <c r="J1776" i="91"/>
  <c r="J1777" i="91"/>
  <c r="J1778" i="91"/>
  <c r="J1779" i="91"/>
  <c r="J1780" i="91"/>
  <c r="J1781" i="91"/>
  <c r="J1782" i="91"/>
  <c r="J1783" i="91"/>
  <c r="J1784" i="91"/>
  <c r="J1785" i="91"/>
  <c r="J1786" i="91"/>
  <c r="J1787" i="91"/>
  <c r="J1788" i="91"/>
  <c r="J1789" i="91"/>
  <c r="J1790" i="91"/>
  <c r="J1791" i="91"/>
  <c r="J1792" i="91"/>
  <c r="J1793" i="91"/>
  <c r="J1794" i="91"/>
  <c r="J1795" i="91"/>
  <c r="J1796" i="91"/>
  <c r="J1797" i="91"/>
  <c r="J1798" i="91"/>
  <c r="J1799" i="91"/>
  <c r="J1800" i="91"/>
  <c r="J1801" i="91"/>
  <c r="J1802" i="91"/>
  <c r="J1803" i="91"/>
  <c r="J1804" i="91"/>
  <c r="J1805" i="91"/>
  <c r="J1806" i="91"/>
  <c r="J1807" i="91"/>
  <c r="J1808" i="91"/>
  <c r="J1809" i="91"/>
  <c r="J1810" i="91"/>
  <c r="J1811" i="91"/>
  <c r="J1812" i="91"/>
  <c r="J1813" i="91"/>
  <c r="J1814" i="91"/>
  <c r="J1815" i="91"/>
  <c r="J1816" i="91"/>
  <c r="J1817" i="91"/>
  <c r="J1818" i="91"/>
  <c r="J1819" i="91"/>
  <c r="J1820" i="91"/>
  <c r="J1821" i="91"/>
  <c r="J1822" i="91"/>
  <c r="J1823" i="91"/>
  <c r="J1824" i="91"/>
  <c r="J1825" i="91"/>
  <c r="J1826" i="91"/>
  <c r="J1827" i="91"/>
  <c r="J1828" i="91"/>
  <c r="J1829" i="91"/>
  <c r="J1830" i="91"/>
  <c r="J1831" i="91"/>
  <c r="J1832" i="91"/>
  <c r="J1833" i="91"/>
  <c r="J1834" i="91"/>
  <c r="J1835" i="91"/>
  <c r="J1836" i="91"/>
  <c r="J1837" i="91"/>
  <c r="J1838" i="91"/>
  <c r="J1839" i="91"/>
  <c r="J1840" i="91"/>
  <c r="J1841" i="91"/>
  <c r="J1842" i="91"/>
  <c r="J1843" i="91"/>
  <c r="J1844" i="91"/>
  <c r="J1845" i="91"/>
  <c r="J1846" i="91"/>
  <c r="J1847" i="91"/>
  <c r="J1848" i="91"/>
  <c r="J1849" i="91"/>
  <c r="J1850" i="91"/>
  <c r="J1851" i="91"/>
  <c r="J1852" i="91"/>
  <c r="J1853" i="91"/>
  <c r="J1854" i="91"/>
  <c r="J1855" i="91"/>
  <c r="J1856" i="91"/>
  <c r="J1857" i="91"/>
  <c r="J1858" i="91"/>
  <c r="J1859" i="91"/>
  <c r="J1860" i="91"/>
  <c r="J1861" i="91"/>
  <c r="J1862" i="91"/>
  <c r="J1863" i="91"/>
  <c r="J1864" i="91"/>
  <c r="J1865" i="91"/>
  <c r="J1866" i="91"/>
  <c r="J1867" i="91"/>
  <c r="J1868" i="91"/>
  <c r="J1869" i="91"/>
  <c r="J1870" i="91"/>
  <c r="J1871" i="91"/>
  <c r="J1872" i="91"/>
  <c r="J1873" i="91"/>
  <c r="J1874" i="91"/>
  <c r="J1875" i="91"/>
  <c r="J1876" i="91"/>
  <c r="J1877" i="91"/>
  <c r="J1878" i="91"/>
  <c r="J1879" i="91"/>
  <c r="J1880" i="91"/>
  <c r="J1881" i="91"/>
  <c r="J1882" i="91"/>
  <c r="J1883" i="91"/>
  <c r="J1884" i="91"/>
  <c r="J1885" i="91"/>
  <c r="J1886" i="91"/>
  <c r="J1887" i="91"/>
  <c r="J1888" i="91"/>
  <c r="J1889" i="91"/>
  <c r="J1890" i="91"/>
  <c r="J1891" i="91"/>
  <c r="J1892" i="91"/>
  <c r="J1893" i="91"/>
  <c r="J1894" i="91"/>
  <c r="J1895" i="91"/>
  <c r="J1896" i="91"/>
  <c r="J1897" i="91"/>
  <c r="J1898" i="91"/>
  <c r="J1899" i="91"/>
  <c r="J1900" i="91"/>
  <c r="J1901" i="91"/>
  <c r="J1902" i="91"/>
  <c r="J1903" i="91"/>
  <c r="J1904" i="91"/>
  <c r="J1905" i="91"/>
  <c r="J1906" i="91"/>
  <c r="J1907" i="91"/>
  <c r="J1908" i="91"/>
  <c r="J1909" i="91"/>
  <c r="J1910" i="91"/>
  <c r="J1911" i="91"/>
  <c r="J1912" i="91"/>
  <c r="J1913" i="91"/>
  <c r="J1914" i="91"/>
  <c r="J1915" i="91"/>
  <c r="J1916" i="91"/>
  <c r="J1917" i="91"/>
  <c r="J1918" i="91"/>
  <c r="J1919" i="91"/>
  <c r="J1920" i="91"/>
  <c r="J1921" i="91"/>
  <c r="J1922" i="91"/>
  <c r="J1923" i="91"/>
  <c r="J1924" i="91"/>
  <c r="J1925" i="91"/>
  <c r="J1926" i="91"/>
  <c r="J1927" i="91"/>
  <c r="J1928" i="91"/>
  <c r="J1929" i="91"/>
  <c r="J1930" i="91"/>
  <c r="J1931" i="91"/>
  <c r="J1932" i="91"/>
  <c r="J1933" i="91"/>
  <c r="J1934" i="91"/>
  <c r="J1935" i="91"/>
  <c r="J1936" i="91"/>
  <c r="J1937" i="91"/>
  <c r="J1938" i="91"/>
  <c r="J1939" i="91"/>
  <c r="J1940" i="91"/>
  <c r="J1941" i="91"/>
  <c r="J1942" i="91"/>
  <c r="J1943" i="91"/>
  <c r="J1944" i="91"/>
  <c r="J1945" i="91"/>
  <c r="J1946" i="91"/>
  <c r="J1947" i="91"/>
  <c r="J1948" i="91"/>
  <c r="J1949" i="91"/>
  <c r="J1950" i="91"/>
  <c r="J1951" i="91"/>
  <c r="J1952" i="91"/>
  <c r="J1953" i="91"/>
  <c r="J1954" i="91"/>
  <c r="J1955" i="91"/>
  <c r="J1956" i="91"/>
  <c r="J1957" i="91"/>
  <c r="J1958" i="91"/>
  <c r="J1959" i="91"/>
  <c r="J1960" i="91"/>
  <c r="J1961" i="91"/>
  <c r="J1962" i="91"/>
  <c r="J1963" i="91"/>
  <c r="J1964" i="91"/>
  <c r="J1965" i="91"/>
  <c r="J1966" i="91"/>
  <c r="J1967" i="91"/>
  <c r="J1968" i="91"/>
  <c r="J1969" i="91"/>
  <c r="J1970" i="91"/>
  <c r="J1971" i="91"/>
  <c r="J1972" i="91"/>
  <c r="J1973" i="91"/>
  <c r="J1974" i="91"/>
  <c r="J1975" i="91"/>
  <c r="J1976" i="91"/>
  <c r="J1977" i="91"/>
  <c r="J1978" i="91"/>
  <c r="J1979" i="91"/>
  <c r="J1980" i="91"/>
  <c r="J1981" i="91"/>
  <c r="J1982" i="91"/>
  <c r="J1983" i="91"/>
  <c r="J1984" i="91"/>
  <c r="J1985" i="91"/>
  <c r="J1986" i="91"/>
  <c r="J1987" i="91"/>
  <c r="J1988" i="91"/>
  <c r="J1989" i="91"/>
  <c r="J1990" i="91"/>
  <c r="J1991" i="91"/>
  <c r="J1992" i="91"/>
  <c r="J1993" i="91"/>
  <c r="J1994" i="91"/>
  <c r="J1995" i="91"/>
  <c r="J1996" i="91"/>
  <c r="J1997" i="91"/>
  <c r="J1998" i="91"/>
  <c r="J1999" i="91"/>
  <c r="J2000" i="91"/>
  <c r="J2001" i="91"/>
  <c r="J2002" i="91"/>
  <c r="J2003" i="91"/>
  <c r="J2004" i="91"/>
  <c r="J2005" i="91"/>
  <c r="J2006" i="91"/>
  <c r="J2007" i="91"/>
  <c r="J2008" i="91"/>
  <c r="J2009" i="91"/>
  <c r="J2010" i="91"/>
  <c r="J2011" i="91"/>
  <c r="J2012" i="91"/>
  <c r="J2013" i="91"/>
  <c r="J2014" i="91"/>
  <c r="J2015" i="91"/>
  <c r="J2016" i="91"/>
  <c r="J2017" i="91"/>
  <c r="J2018" i="91"/>
  <c r="J2019" i="91"/>
  <c r="J2020" i="91"/>
  <c r="J2021" i="91"/>
  <c r="J2022" i="91"/>
  <c r="J2023" i="91"/>
  <c r="J2024" i="91"/>
  <c r="J2025" i="91"/>
  <c r="J2026" i="91"/>
  <c r="J2027" i="91"/>
  <c r="J2028" i="91"/>
  <c r="J2029" i="91"/>
  <c r="J2030" i="91"/>
  <c r="J2031" i="91"/>
  <c r="J2032" i="91"/>
  <c r="J2033" i="91"/>
  <c r="J2034" i="91"/>
  <c r="J2035" i="91"/>
  <c r="J2036" i="91"/>
  <c r="J2037" i="91"/>
  <c r="J2038" i="91"/>
  <c r="J2039" i="91"/>
  <c r="J2040" i="91"/>
  <c r="J2041" i="91"/>
  <c r="J2042" i="91"/>
  <c r="J2043" i="91"/>
  <c r="J2044" i="91"/>
  <c r="J2045" i="91"/>
  <c r="J2046" i="91"/>
  <c r="J2047" i="91"/>
  <c r="J2048" i="91"/>
  <c r="J2049" i="91"/>
  <c r="J2050" i="91"/>
  <c r="J2051" i="91"/>
  <c r="J2052" i="91"/>
  <c r="J2053" i="91"/>
  <c r="J2054" i="91"/>
  <c r="J2055" i="91"/>
  <c r="J2056" i="91"/>
  <c r="J2057" i="91"/>
  <c r="J2058" i="91"/>
  <c r="J2059" i="91"/>
  <c r="J2060" i="91"/>
  <c r="J2061" i="91"/>
  <c r="J2062" i="91"/>
  <c r="J2063" i="91"/>
  <c r="J2064" i="91"/>
  <c r="J2065" i="91"/>
  <c r="J2066" i="91"/>
  <c r="J2067" i="91"/>
  <c r="J2068" i="91"/>
  <c r="J2069" i="91"/>
  <c r="J2070" i="91"/>
  <c r="J2071" i="91"/>
  <c r="J2072" i="91"/>
  <c r="J2073" i="91"/>
  <c r="J2074" i="91"/>
  <c r="J2075" i="91"/>
  <c r="J2076" i="91"/>
  <c r="J2077" i="91"/>
  <c r="J2078" i="91"/>
  <c r="J2079" i="91"/>
  <c r="J2080" i="91"/>
  <c r="J2081" i="91"/>
  <c r="J2082" i="91"/>
  <c r="J2083" i="91"/>
  <c r="J2084" i="91"/>
  <c r="J2085" i="91"/>
  <c r="J2086" i="91"/>
  <c r="J2087" i="91"/>
  <c r="J2088" i="91"/>
  <c r="J2089" i="91"/>
  <c r="J2090" i="91"/>
  <c r="J2091" i="91"/>
  <c r="J2092" i="91"/>
  <c r="J2093" i="91"/>
  <c r="J2094" i="91"/>
  <c r="J2095" i="91"/>
  <c r="J2096" i="91"/>
  <c r="J2097" i="91"/>
  <c r="J2098" i="91"/>
  <c r="J2099" i="91"/>
  <c r="J2100" i="91"/>
  <c r="J2101" i="91"/>
  <c r="J2102" i="91"/>
  <c r="J2103" i="91"/>
  <c r="J2104" i="91"/>
  <c r="J2105" i="91"/>
  <c r="J2106" i="91"/>
  <c r="J2107" i="91"/>
  <c r="J2108" i="91"/>
  <c r="J2109" i="91"/>
  <c r="J2110" i="91"/>
  <c r="J2111" i="91"/>
  <c r="J2112" i="91"/>
  <c r="J2113" i="91"/>
  <c r="J2114" i="91"/>
  <c r="J2115" i="91"/>
  <c r="J2116" i="91"/>
  <c r="J2117" i="91"/>
  <c r="J2118" i="91"/>
  <c r="J2119" i="91"/>
  <c r="J2120" i="91"/>
  <c r="J2121" i="91"/>
  <c r="J2122" i="91"/>
  <c r="J2123" i="91"/>
  <c r="J2124" i="91"/>
  <c r="J2125" i="91"/>
  <c r="J2126" i="91"/>
  <c r="J2127" i="91"/>
  <c r="J2128" i="91"/>
  <c r="J2129" i="91"/>
  <c r="J2131" i="91"/>
  <c r="J2132" i="91"/>
  <c r="J2133" i="91"/>
  <c r="J2134" i="91"/>
  <c r="J2135" i="91"/>
  <c r="J2136" i="91"/>
  <c r="J2137" i="91"/>
  <c r="J2138" i="91"/>
  <c r="J2139" i="91"/>
  <c r="J2140" i="91"/>
  <c r="J2141" i="91"/>
  <c r="J2142" i="91"/>
  <c r="J2143" i="91"/>
  <c r="J2144" i="91"/>
  <c r="J2145" i="91"/>
  <c r="J2146" i="91"/>
  <c r="J2147" i="91"/>
  <c r="J2148" i="91"/>
  <c r="J2149" i="91"/>
  <c r="J2150" i="91"/>
  <c r="J2151" i="91"/>
  <c r="J2152" i="91"/>
  <c r="J2153" i="91"/>
  <c r="J2154" i="91"/>
  <c r="J2155" i="91"/>
  <c r="J2156" i="91"/>
  <c r="J2157" i="91"/>
  <c r="J2158" i="91"/>
  <c r="J2159" i="91"/>
  <c r="J2160" i="91"/>
  <c r="J2161" i="91"/>
  <c r="J2162" i="91"/>
  <c r="J2163" i="91"/>
  <c r="J2164" i="91"/>
  <c r="J2165" i="91"/>
  <c r="J2166" i="91"/>
  <c r="J2167" i="91"/>
  <c r="J2168" i="91"/>
  <c r="J2169" i="91"/>
  <c r="J2170" i="91"/>
  <c r="J2171" i="91"/>
  <c r="J2172" i="91"/>
  <c r="J2173" i="91"/>
  <c r="J2174" i="91"/>
  <c r="J2175" i="91"/>
  <c r="J2176" i="91"/>
  <c r="J2177" i="91"/>
  <c r="J2178" i="91"/>
  <c r="J2179" i="91"/>
  <c r="J2180" i="91"/>
  <c r="J2181" i="91"/>
  <c r="J2182" i="91"/>
  <c r="J2183" i="91"/>
  <c r="J2184" i="91"/>
  <c r="J2185" i="91"/>
  <c r="J2186" i="91"/>
  <c r="J2187" i="91"/>
  <c r="J2188" i="91"/>
  <c r="J2189" i="91"/>
  <c r="J2190" i="91"/>
  <c r="J2191" i="91"/>
  <c r="J2192" i="91"/>
  <c r="J2193" i="91"/>
  <c r="J2194" i="91"/>
  <c r="J2195" i="91"/>
  <c r="J2196" i="91"/>
  <c r="J2197" i="91"/>
  <c r="J2198" i="91"/>
  <c r="J2199" i="91"/>
  <c r="J2200" i="91"/>
  <c r="J2201" i="91"/>
  <c r="J2202" i="91"/>
  <c r="J2203" i="91"/>
  <c r="J2204" i="91"/>
  <c r="J2205" i="91"/>
  <c r="J2206" i="91"/>
  <c r="J2207" i="91"/>
  <c r="J2208" i="91"/>
  <c r="J2209" i="91"/>
  <c r="J2210" i="91"/>
  <c r="J2211" i="91"/>
  <c r="J2212" i="91"/>
  <c r="J2213" i="91"/>
  <c r="J2214" i="91"/>
  <c r="J2215" i="91"/>
  <c r="J2216" i="91"/>
  <c r="J2217" i="91"/>
  <c r="J2218" i="91"/>
  <c r="J2219" i="91"/>
  <c r="J2220" i="91"/>
  <c r="J2221" i="91"/>
  <c r="J2222" i="91"/>
  <c r="J2223" i="91"/>
  <c r="J2224" i="91"/>
  <c r="J2225" i="91"/>
  <c r="J2226" i="91"/>
  <c r="J2227" i="91"/>
  <c r="J2228" i="91"/>
  <c r="J2229" i="91"/>
  <c r="J2230" i="91"/>
  <c r="J2231" i="91"/>
  <c r="J2232" i="91"/>
  <c r="J2233" i="91"/>
  <c r="J2234" i="91"/>
  <c r="J2235" i="91"/>
  <c r="J2236" i="91"/>
  <c r="J2237" i="91"/>
  <c r="J2238" i="91"/>
  <c r="J2239" i="91"/>
  <c r="J2240" i="91"/>
  <c r="J2241" i="91"/>
  <c r="J2242" i="91"/>
  <c r="J2243" i="91"/>
  <c r="J2244" i="91"/>
  <c r="J2245" i="91"/>
  <c r="J2246" i="91"/>
  <c r="J2247" i="91"/>
  <c r="J2248" i="91"/>
  <c r="J2249" i="91"/>
  <c r="J2250" i="91"/>
  <c r="J2251" i="91"/>
  <c r="J2252" i="91"/>
  <c r="J2253" i="91"/>
  <c r="J2254" i="91"/>
  <c r="J2255" i="91"/>
  <c r="J2256" i="91"/>
  <c r="J2257" i="91"/>
  <c r="J2258" i="91"/>
  <c r="J2259" i="91"/>
  <c r="J2260" i="91"/>
  <c r="J2261" i="91"/>
  <c r="J2262" i="91"/>
  <c r="J2263" i="91"/>
  <c r="J2264" i="91"/>
  <c r="J2265" i="91"/>
  <c r="J2266" i="91"/>
  <c r="J2267" i="91"/>
  <c r="J2268" i="91"/>
  <c r="J2269" i="91"/>
  <c r="J2270" i="91"/>
  <c r="J2271" i="91"/>
  <c r="J2272" i="91"/>
  <c r="J2273" i="91"/>
  <c r="J2274" i="91"/>
  <c r="J2275" i="91"/>
  <c r="J2276" i="91"/>
  <c r="J2277" i="91"/>
  <c r="J2278" i="91"/>
  <c r="J2279" i="91"/>
  <c r="J2280" i="91"/>
  <c r="J2281" i="91"/>
  <c r="J2282" i="91"/>
  <c r="J2283" i="91"/>
  <c r="J2284" i="91"/>
  <c r="J2285" i="91"/>
  <c r="J2286" i="91"/>
  <c r="J2287" i="91"/>
  <c r="J2288" i="91"/>
  <c r="J2289" i="91"/>
  <c r="J2290" i="91"/>
  <c r="J2291" i="91"/>
  <c r="J2292" i="91"/>
  <c r="J2293" i="91"/>
  <c r="J2294" i="91"/>
  <c r="J2295" i="91"/>
  <c r="J2296" i="91"/>
  <c r="J2297" i="91"/>
  <c r="J2298" i="91"/>
  <c r="J2299" i="91"/>
  <c r="J2300" i="91"/>
  <c r="J2301" i="91"/>
  <c r="J2302" i="91"/>
  <c r="J2303" i="91"/>
  <c r="J2304" i="91"/>
  <c r="J2305" i="91"/>
  <c r="J2306" i="91"/>
  <c r="J2307" i="91"/>
  <c r="J2308" i="91"/>
  <c r="J2309" i="91"/>
  <c r="J2310" i="91"/>
  <c r="J2311" i="91"/>
  <c r="J2312" i="91"/>
  <c r="J2313" i="91"/>
  <c r="J2314" i="91"/>
  <c r="J2315" i="91"/>
  <c r="J2316" i="91"/>
  <c r="J2317" i="91"/>
  <c r="J2318" i="91"/>
  <c r="J2319" i="91"/>
  <c r="J2320" i="91"/>
  <c r="J2321" i="91"/>
  <c r="J2322" i="91"/>
  <c r="J2323" i="91"/>
  <c r="J2324" i="91"/>
  <c r="J2325" i="91"/>
  <c r="J2326" i="91"/>
  <c r="J2327" i="91"/>
  <c r="J2328" i="91"/>
  <c r="J2329" i="91"/>
  <c r="J2330" i="91"/>
  <c r="J2331" i="91"/>
  <c r="J2332" i="91"/>
  <c r="J2333" i="91"/>
  <c r="J2334" i="91"/>
  <c r="J2335" i="91"/>
  <c r="J2336" i="91"/>
  <c r="J2337" i="91"/>
  <c r="J2338" i="91"/>
  <c r="J2339" i="91"/>
  <c r="J2340" i="91"/>
  <c r="J2341" i="91"/>
  <c r="J2342" i="91"/>
  <c r="J2343" i="91"/>
  <c r="J2344" i="91"/>
  <c r="J2345" i="91"/>
  <c r="J2346" i="91"/>
  <c r="J2347" i="91"/>
  <c r="J2348" i="91"/>
  <c r="J2349" i="91"/>
  <c r="J2350" i="91"/>
  <c r="J2351" i="91"/>
  <c r="J2352" i="91"/>
  <c r="J2353" i="91"/>
  <c r="J2354" i="91"/>
  <c r="J2355" i="91"/>
  <c r="J2356" i="91"/>
  <c r="J2357" i="91"/>
  <c r="J2358" i="91"/>
  <c r="J2359" i="91"/>
  <c r="J2360" i="91"/>
  <c r="J2361" i="91"/>
  <c r="J2362" i="91"/>
  <c r="J2363" i="91"/>
  <c r="J2364" i="91"/>
  <c r="J2365" i="91"/>
  <c r="J2366" i="91"/>
  <c r="J2367" i="91"/>
  <c r="J2368" i="91"/>
  <c r="J2369" i="91"/>
  <c r="J2370" i="91"/>
  <c r="J2371" i="91"/>
  <c r="J2372" i="91"/>
  <c r="J2373" i="91"/>
  <c r="J2374" i="91"/>
  <c r="J2375" i="91"/>
  <c r="J2376" i="91"/>
  <c r="J2377" i="91"/>
  <c r="J2378" i="91"/>
  <c r="J2379" i="91"/>
  <c r="J2380" i="91"/>
  <c r="J2381" i="91"/>
  <c r="J2382" i="91"/>
  <c r="J2383" i="91"/>
  <c r="J2384" i="91"/>
  <c r="J2385" i="91"/>
  <c r="J2386" i="91"/>
  <c r="J2387" i="91"/>
  <c r="J2388" i="91"/>
  <c r="J2389" i="91"/>
  <c r="J2390" i="91"/>
  <c r="J2391" i="91"/>
  <c r="J2392" i="91"/>
  <c r="J2393" i="91"/>
  <c r="J2394" i="91"/>
  <c r="J2395" i="91"/>
  <c r="J2396" i="91"/>
  <c r="J2397" i="91"/>
  <c r="J2398" i="91"/>
  <c r="J2399" i="91"/>
  <c r="J2400" i="91"/>
  <c r="J2401" i="91"/>
  <c r="J2402" i="91"/>
  <c r="J2403" i="91"/>
  <c r="J2404" i="91"/>
  <c r="J2405" i="91"/>
  <c r="J2406" i="91"/>
  <c r="J2407" i="91"/>
  <c r="J2408" i="91"/>
  <c r="J2409" i="91"/>
  <c r="J2410" i="91"/>
  <c r="J2411" i="91"/>
  <c r="J2412" i="91"/>
  <c r="J2413" i="91"/>
  <c r="J2414" i="91"/>
  <c r="J2415" i="91"/>
  <c r="J2416" i="91"/>
  <c r="J2417" i="91"/>
  <c r="J2418" i="91"/>
  <c r="J2419" i="91"/>
  <c r="J2420" i="91"/>
  <c r="J2421" i="91"/>
  <c r="J2422" i="91"/>
  <c r="J2423" i="91"/>
  <c r="J2424" i="91"/>
  <c r="J2425" i="91"/>
  <c r="J2426" i="91"/>
  <c r="J2427" i="91"/>
  <c r="J2428" i="91"/>
  <c r="J2429" i="91"/>
  <c r="J2430" i="91"/>
  <c r="J2431" i="91"/>
  <c r="J2432" i="91"/>
  <c r="J2433" i="91"/>
  <c r="J2434" i="91"/>
  <c r="J2435" i="91"/>
  <c r="J2436" i="91"/>
  <c r="J2437" i="91"/>
  <c r="J2438" i="91"/>
  <c r="J2439" i="91"/>
  <c r="J2440" i="91"/>
  <c r="J2441" i="91"/>
  <c r="J2442" i="91"/>
  <c r="J2443" i="91"/>
  <c r="J2444" i="91"/>
  <c r="J2445" i="91"/>
  <c r="J2446" i="91"/>
  <c r="J2447" i="91"/>
  <c r="J2448" i="91"/>
  <c r="J2449" i="91"/>
  <c r="J2450" i="91"/>
  <c r="J2451" i="91"/>
  <c r="J2452" i="91"/>
  <c r="J2453" i="91"/>
  <c r="J2454" i="91"/>
  <c r="J2455" i="91"/>
  <c r="J2456" i="91"/>
  <c r="J2457" i="91"/>
  <c r="J2458" i="91"/>
  <c r="J2459" i="91"/>
  <c r="J2460" i="91"/>
  <c r="J2461" i="91"/>
  <c r="J2462" i="91"/>
  <c r="J2463" i="91"/>
  <c r="J2464" i="91"/>
  <c r="J2465" i="91"/>
  <c r="J2466" i="91"/>
  <c r="J2467" i="91"/>
  <c r="J2468" i="91"/>
  <c r="J2469" i="91"/>
  <c r="J2470" i="91"/>
  <c r="J2471" i="91"/>
  <c r="J2472" i="91"/>
  <c r="J2473" i="91"/>
  <c r="J2474" i="91"/>
  <c r="J2475" i="91"/>
  <c r="J2476" i="91"/>
  <c r="J2477" i="91"/>
  <c r="J2478" i="91"/>
  <c r="J2479" i="91"/>
  <c r="J2480" i="91"/>
  <c r="J2481" i="91"/>
  <c r="J2482" i="91"/>
  <c r="J2483" i="91"/>
  <c r="J2484" i="91"/>
  <c r="J2485" i="91"/>
  <c r="J2486" i="91"/>
  <c r="J2487" i="91"/>
  <c r="J2488" i="91"/>
  <c r="J2489" i="91"/>
  <c r="J2490" i="91"/>
  <c r="J2491" i="91"/>
  <c r="J2492" i="91"/>
  <c r="J2493" i="91"/>
  <c r="J2494" i="91"/>
  <c r="J2495" i="91"/>
  <c r="J2496" i="91"/>
  <c r="J2497" i="91"/>
  <c r="J2498" i="91"/>
  <c r="J2499" i="91"/>
  <c r="J2500" i="91"/>
  <c r="J2501" i="91"/>
  <c r="J2502" i="91"/>
  <c r="J2503" i="91"/>
  <c r="J2504" i="91"/>
  <c r="J2505" i="91"/>
  <c r="J2506" i="91"/>
  <c r="J2507" i="91"/>
  <c r="J2508" i="91"/>
  <c r="J2509" i="91"/>
  <c r="J2510" i="91"/>
  <c r="J2511" i="91"/>
  <c r="J2512" i="91"/>
  <c r="J5" i="91"/>
  <c r="E2411" i="91"/>
  <c r="G346" i="108"/>
  <c r="G347" i="108"/>
  <c r="G345" i="108"/>
  <c r="B2309" i="91"/>
  <c r="E2385" i="91"/>
  <c r="C92" i="108" l="1"/>
  <c r="B88" i="108"/>
  <c r="A65" i="108"/>
  <c r="A88" i="108" s="1"/>
  <c r="E89" i="108"/>
  <c r="I60" i="91"/>
  <c r="I60" i="108"/>
  <c r="G36" i="91"/>
  <c r="G36" i="108"/>
  <c r="A36" i="108"/>
  <c r="D252" i="108"/>
  <c r="D260" i="108" s="1"/>
  <c r="F260" i="108" s="1"/>
  <c r="C260" i="108"/>
  <c r="A53" i="108"/>
  <c r="K27" i="108"/>
  <c r="K26" i="108"/>
  <c r="I29" i="108"/>
  <c r="E25" i="108"/>
  <c r="C27" i="108"/>
  <c r="K234" i="108"/>
  <c r="E234" i="108"/>
  <c r="E229" i="108" s="1"/>
  <c r="D229" i="108" s="1"/>
  <c r="K229" i="108"/>
  <c r="J229" i="108"/>
  <c r="H229" i="108"/>
  <c r="B229" i="108"/>
  <c r="G229" i="108"/>
  <c r="A229" i="108"/>
  <c r="K201" i="108"/>
  <c r="E201" i="108"/>
  <c r="K196" i="108"/>
  <c r="J196" i="108" s="1"/>
  <c r="H196" i="108"/>
  <c r="G196" i="108"/>
  <c r="E196" i="108"/>
  <c r="D196" i="108" s="1"/>
  <c r="B196" i="108"/>
  <c r="A196" i="108"/>
  <c r="A198" i="108" s="1"/>
  <c r="K168" i="108"/>
  <c r="K163" i="108" s="1"/>
  <c r="J163" i="108" s="1"/>
  <c r="E168" i="108"/>
  <c r="E163" i="108" s="1"/>
  <c r="D163" i="108" s="1"/>
  <c r="H163" i="108"/>
  <c r="A163" i="108"/>
  <c r="B163" i="108"/>
  <c r="G163" i="108"/>
  <c r="A128" i="108"/>
  <c r="K127" i="108"/>
  <c r="K122" i="108" s="1"/>
  <c r="J121" i="108" s="1"/>
  <c r="E126" i="108"/>
  <c r="E121" i="108" s="1"/>
  <c r="D121" i="108" s="1"/>
  <c r="H121" i="108"/>
  <c r="G123" i="108" s="1"/>
  <c r="G125" i="108" s="1"/>
  <c r="I124" i="108" s="1"/>
  <c r="I126" i="108" s="1"/>
  <c r="G121" i="108"/>
  <c r="B121" i="108"/>
  <c r="A121" i="108"/>
  <c r="K93" i="108"/>
  <c r="K88" i="108" s="1"/>
  <c r="J88" i="108" s="1"/>
  <c r="E93" i="108"/>
  <c r="H88" i="108"/>
  <c r="G88" i="108"/>
  <c r="K61" i="108"/>
  <c r="K56" i="108" s="1"/>
  <c r="J56" i="108" s="1"/>
  <c r="E58" i="108"/>
  <c r="E52" i="108" s="1"/>
  <c r="D52" i="108" s="1"/>
  <c r="H56" i="108"/>
  <c r="G56" i="108"/>
  <c r="B53" i="108"/>
  <c r="K45" i="108"/>
  <c r="E29" i="108"/>
  <c r="E24" i="108" s="1"/>
  <c r="D24" i="108" s="1"/>
  <c r="K30" i="108"/>
  <c r="H25" i="108"/>
  <c r="B25" i="108"/>
  <c r="G25" i="108"/>
  <c r="A25" i="108"/>
  <c r="G231" i="108" l="1"/>
  <c r="G233" i="108" s="1"/>
  <c r="I232" i="108" s="1"/>
  <c r="I234" i="108" s="1"/>
  <c r="A90" i="108"/>
  <c r="A92" i="108" s="1"/>
  <c r="E88" i="108"/>
  <c r="D88" i="108" s="1"/>
  <c r="G198" i="108"/>
  <c r="G200" i="108" s="1"/>
  <c r="I199" i="108" s="1"/>
  <c r="I201" i="108" s="1"/>
  <c r="K25" i="108"/>
  <c r="J25" i="108" s="1"/>
  <c r="G165" i="108"/>
  <c r="G167" i="108" s="1"/>
  <c r="I166" i="108" s="1"/>
  <c r="I168" i="108" s="1"/>
  <c r="A165" i="108"/>
  <c r="A167" i="108" s="1"/>
  <c r="C166" i="108" s="1"/>
  <c r="C168" i="108" s="1"/>
  <c r="G90" i="108"/>
  <c r="G58" i="108"/>
  <c r="G60" i="108" s="1"/>
  <c r="I59" i="108" s="1"/>
  <c r="I61" i="108" s="1"/>
  <c r="A27" i="108"/>
  <c r="A29" i="108" s="1"/>
  <c r="C28" i="108" s="1"/>
  <c r="C30" i="108" s="1"/>
  <c r="G92" i="108"/>
  <c r="I91" i="108" s="1"/>
  <c r="I93" i="108" s="1"/>
  <c r="A200" i="108"/>
  <c r="C199" i="108" s="1"/>
  <c r="C201" i="108" s="1"/>
  <c r="G27" i="108"/>
  <c r="G29" i="108" s="1"/>
  <c r="I28" i="108" s="1"/>
  <c r="I30" i="108" s="1"/>
  <c r="A55" i="108"/>
  <c r="A57" i="108" s="1"/>
  <c r="C56" i="108" s="1"/>
  <c r="C58" i="108" s="1"/>
  <c r="A123" i="108"/>
  <c r="A125" i="108" s="1"/>
  <c r="C124" i="108" s="1"/>
  <c r="C126" i="108" s="1"/>
  <c r="A231" i="108"/>
  <c r="A233" i="108" s="1"/>
  <c r="C232" i="108" s="1"/>
  <c r="C234" i="108" s="1"/>
  <c r="C91" i="108" l="1"/>
  <c r="C93" i="108" s="1"/>
  <c r="I233" i="107" l="1"/>
  <c r="G206" i="107"/>
  <c r="G229" i="107" s="1"/>
  <c r="K234" i="107"/>
  <c r="K229" i="107" s="1"/>
  <c r="J229" i="107" s="1"/>
  <c r="H229" i="107"/>
  <c r="E234" i="107"/>
  <c r="E229" i="107" s="1"/>
  <c r="D229" i="107" s="1"/>
  <c r="E230" i="107"/>
  <c r="E231" i="107"/>
  <c r="C231" i="107"/>
  <c r="A206" i="107"/>
  <c r="A229" i="107" s="1"/>
  <c r="B229" i="107"/>
  <c r="K164" i="107"/>
  <c r="G231" i="107" l="1"/>
  <c r="G233" i="107" s="1"/>
  <c r="I232" i="107" s="1"/>
  <c r="I234" i="107" s="1"/>
  <c r="A231" i="107"/>
  <c r="A233" i="107" s="1"/>
  <c r="C232" i="107" s="1"/>
  <c r="C234" i="107" s="1"/>
  <c r="K201" i="107" l="1"/>
  <c r="K196" i="107" s="1"/>
  <c r="J196" i="107" s="1"/>
  <c r="H196" i="107"/>
  <c r="G196" i="107"/>
  <c r="A173" i="107"/>
  <c r="A196" i="107" s="1"/>
  <c r="C198" i="107"/>
  <c r="E201" i="107"/>
  <c r="E196" i="107" s="1"/>
  <c r="D196" i="107" s="1"/>
  <c r="B196" i="107"/>
  <c r="G140" i="107"/>
  <c r="G163" i="107" s="1"/>
  <c r="I165" i="107"/>
  <c r="K168" i="107"/>
  <c r="K163" i="107" s="1"/>
  <c r="J163" i="107" s="1"/>
  <c r="H163" i="107"/>
  <c r="G198" i="107" l="1"/>
  <c r="G200" i="107" s="1"/>
  <c r="I199" i="107" s="1"/>
  <c r="I201" i="107" s="1"/>
  <c r="A198" i="107"/>
  <c r="A200" i="107" s="1"/>
  <c r="C199" i="107" s="1"/>
  <c r="C201" i="107" s="1"/>
  <c r="G165" i="107"/>
  <c r="G167" i="107" s="1"/>
  <c r="I166" i="107" s="1"/>
  <c r="I168" i="107" s="1"/>
  <c r="B142" i="107" l="1"/>
  <c r="B163" i="107" s="1"/>
  <c r="E165" i="107"/>
  <c r="E168" i="107" s="1"/>
  <c r="E164" i="107"/>
  <c r="E123" i="107"/>
  <c r="E126" i="107" s="1"/>
  <c r="E121" i="107" s="1"/>
  <c r="D121" i="107" s="1"/>
  <c r="A98" i="107"/>
  <c r="C123" i="107"/>
  <c r="J103" i="107"/>
  <c r="J102" i="107"/>
  <c r="J101" i="107"/>
  <c r="J100" i="107"/>
  <c r="J99" i="107"/>
  <c r="J98" i="107"/>
  <c r="K89" i="107"/>
  <c r="I90" i="107"/>
  <c r="G65" i="107"/>
  <c r="G88" i="107" s="1"/>
  <c r="E89" i="107"/>
  <c r="E90" i="107"/>
  <c r="C90" i="107"/>
  <c r="A65" i="107"/>
  <c r="I58" i="107"/>
  <c r="A36" i="107"/>
  <c r="A53" i="107" s="1"/>
  <c r="C55" i="107"/>
  <c r="K27" i="107"/>
  <c r="K30" i="107" s="1"/>
  <c r="K25" i="107" s="1"/>
  <c r="J25" i="107" s="1"/>
  <c r="I29" i="107"/>
  <c r="I27" i="107"/>
  <c r="G4" i="107"/>
  <c r="G25" i="107" s="1"/>
  <c r="E26" i="107"/>
  <c r="E29" i="107" s="1"/>
  <c r="A4" i="107"/>
  <c r="A25" i="107" s="1"/>
  <c r="E25" i="107"/>
  <c r="C29" i="107"/>
  <c r="C27" i="107"/>
  <c r="A163" i="107"/>
  <c r="A128" i="107"/>
  <c r="K127" i="107"/>
  <c r="K122" i="107" s="1"/>
  <c r="J121" i="107" s="1"/>
  <c r="H121" i="107"/>
  <c r="G121" i="107"/>
  <c r="B121" i="107"/>
  <c r="A121" i="107"/>
  <c r="K93" i="107"/>
  <c r="E93" i="107"/>
  <c r="H88" i="107"/>
  <c r="B88" i="107"/>
  <c r="A88" i="107"/>
  <c r="K61" i="107"/>
  <c r="K56" i="107" s="1"/>
  <c r="J56" i="107" s="1"/>
  <c r="H56" i="107"/>
  <c r="G56" i="107"/>
  <c r="E58" i="107"/>
  <c r="E52" i="107" s="1"/>
  <c r="D52" i="107" s="1"/>
  <c r="B53" i="107"/>
  <c r="K45" i="107"/>
  <c r="H25" i="107"/>
  <c r="B25" i="107"/>
  <c r="E54" i="106"/>
  <c r="C55" i="106"/>
  <c r="E53" i="106"/>
  <c r="E163" i="107" l="1"/>
  <c r="D163" i="107" s="1"/>
  <c r="E24" i="107"/>
  <c r="D24" i="107" s="1"/>
  <c r="J104" i="107"/>
  <c r="J106" i="107" s="1"/>
  <c r="A123" i="107"/>
  <c r="A125" i="107" s="1"/>
  <c r="C124" i="107" s="1"/>
  <c r="C126" i="107" s="1"/>
  <c r="K88" i="107"/>
  <c r="J88" i="107" s="1"/>
  <c r="A165" i="107"/>
  <c r="A167" i="107" s="1"/>
  <c r="C166" i="107" s="1"/>
  <c r="C168" i="107" s="1"/>
  <c r="G58" i="107"/>
  <c r="G60" i="107" s="1"/>
  <c r="I59" i="107" s="1"/>
  <c r="I61" i="107" s="1"/>
  <c r="G27" i="107"/>
  <c r="G29" i="107" s="1"/>
  <c r="I28" i="107" s="1"/>
  <c r="I30" i="107" s="1"/>
  <c r="G90" i="107"/>
  <c r="G92" i="107" s="1"/>
  <c r="I91" i="107" s="1"/>
  <c r="I93" i="107" s="1"/>
  <c r="G123" i="107"/>
  <c r="G125" i="107" s="1"/>
  <c r="I124" i="107" s="1"/>
  <c r="I126" i="107" s="1"/>
  <c r="E88" i="107"/>
  <c r="D88" i="107" s="1"/>
  <c r="A90" i="107"/>
  <c r="A92" i="107" s="1"/>
  <c r="C91" i="107" s="1"/>
  <c r="C93" i="107" s="1"/>
  <c r="A55" i="107"/>
  <c r="A57" i="107" s="1"/>
  <c r="C56" i="107" s="1"/>
  <c r="C58" i="107" s="1"/>
  <c r="A27" i="107"/>
  <c r="A29" i="107" s="1"/>
  <c r="C28" i="107" s="1"/>
  <c r="C30" i="107" s="1"/>
  <c r="K27" i="106"/>
  <c r="K30" i="106" s="1"/>
  <c r="K26" i="106"/>
  <c r="I27" i="106"/>
  <c r="G4" i="106"/>
  <c r="G25" i="106" s="1"/>
  <c r="E25" i="106"/>
  <c r="E26" i="106"/>
  <c r="E29" i="106" s="1"/>
  <c r="C29" i="106"/>
  <c r="A4" i="106"/>
  <c r="A25" i="106" s="1"/>
  <c r="C27" i="106"/>
  <c r="E168" i="106"/>
  <c r="E163" i="106" s="1"/>
  <c r="D163" i="106" s="1"/>
  <c r="B163" i="106"/>
  <c r="A163" i="106"/>
  <c r="G139" i="106"/>
  <c r="A128" i="106"/>
  <c r="K127" i="106"/>
  <c r="K122" i="106" s="1"/>
  <c r="J121" i="106" s="1"/>
  <c r="E126" i="106"/>
  <c r="E121" i="106" s="1"/>
  <c r="D121" i="106" s="1"/>
  <c r="H121" i="106"/>
  <c r="G121" i="106"/>
  <c r="B121" i="106"/>
  <c r="A121" i="106"/>
  <c r="K93" i="106"/>
  <c r="K88" i="106" s="1"/>
  <c r="J88" i="106" s="1"/>
  <c r="E93" i="106"/>
  <c r="E88" i="106" s="1"/>
  <c r="D88" i="106" s="1"/>
  <c r="H88" i="106"/>
  <c r="G88" i="106"/>
  <c r="B88" i="106"/>
  <c r="A88" i="106"/>
  <c r="K61" i="106"/>
  <c r="K56" i="106" s="1"/>
  <c r="J56" i="106" s="1"/>
  <c r="E58" i="106"/>
  <c r="E52" i="106" s="1"/>
  <c r="D52" i="106" s="1"/>
  <c r="H56" i="106"/>
  <c r="B53" i="106"/>
  <c r="A53" i="106"/>
  <c r="K45" i="106"/>
  <c r="G56" i="106"/>
  <c r="H25" i="106"/>
  <c r="B25" i="106"/>
  <c r="G65" i="105"/>
  <c r="I92" i="105"/>
  <c r="K89" i="105"/>
  <c r="K90" i="105"/>
  <c r="E123" i="105"/>
  <c r="C123" i="105"/>
  <c r="A98" i="105"/>
  <c r="E89" i="105"/>
  <c r="E90" i="105"/>
  <c r="E93" i="105" s="1"/>
  <c r="C90" i="105"/>
  <c r="A65" i="105"/>
  <c r="I58" i="105"/>
  <c r="G36" i="105"/>
  <c r="C55" i="105"/>
  <c r="A36" i="105"/>
  <c r="K8" i="105"/>
  <c r="E24" i="106" l="1"/>
  <c r="D24" i="106" s="1"/>
  <c r="A165" i="106"/>
  <c r="A167" i="106" s="1"/>
  <c r="C166" i="106" s="1"/>
  <c r="C168" i="106" s="1"/>
  <c r="K25" i="106"/>
  <c r="J25" i="106" s="1"/>
  <c r="A90" i="106"/>
  <c r="A92" i="106" s="1"/>
  <c r="C91" i="106" s="1"/>
  <c r="C93" i="106" s="1"/>
  <c r="G123" i="106"/>
  <c r="G125" i="106" s="1"/>
  <c r="I124" i="106" s="1"/>
  <c r="I126" i="106" s="1"/>
  <c r="E88" i="105"/>
  <c r="D88" i="105" s="1"/>
  <c r="G90" i="106"/>
  <c r="G92" i="106" s="1"/>
  <c r="I91" i="106" s="1"/>
  <c r="I93" i="106" s="1"/>
  <c r="G58" i="106"/>
  <c r="G60" i="106" s="1"/>
  <c r="I59" i="106" s="1"/>
  <c r="I61" i="106" s="1"/>
  <c r="A55" i="106"/>
  <c r="A57" i="106" s="1"/>
  <c r="A27" i="106"/>
  <c r="A29" i="106" s="1"/>
  <c r="C28" i="106" s="1"/>
  <c r="C30" i="106" s="1"/>
  <c r="A123" i="106"/>
  <c r="A125" i="106" s="1"/>
  <c r="C124" i="106" s="1"/>
  <c r="C126" i="106" s="1"/>
  <c r="G27" i="106"/>
  <c r="G29" i="106" s="1"/>
  <c r="I28" i="106" s="1"/>
  <c r="I30" i="106" s="1"/>
  <c r="G4" i="105"/>
  <c r="K27" i="105"/>
  <c r="K26" i="105"/>
  <c r="I29" i="105"/>
  <c r="I27" i="105"/>
  <c r="C56" i="106" l="1"/>
  <c r="C58" i="106" s="1"/>
  <c r="E25" i="105"/>
  <c r="E26" i="105"/>
  <c r="E27" i="105"/>
  <c r="C29" i="105"/>
  <c r="C27" i="105"/>
  <c r="A4" i="105"/>
  <c r="E168" i="105" l="1"/>
  <c r="E163" i="105" s="1"/>
  <c r="D163" i="105" s="1"/>
  <c r="B163" i="105"/>
  <c r="A163" i="105"/>
  <c r="G139" i="105"/>
  <c r="A128" i="105"/>
  <c r="K127" i="105"/>
  <c r="K122" i="105" s="1"/>
  <c r="J121" i="105" s="1"/>
  <c r="E126" i="105"/>
  <c r="E121" i="105" s="1"/>
  <c r="D121" i="105" s="1"/>
  <c r="H121" i="105"/>
  <c r="G121" i="105"/>
  <c r="B121" i="105"/>
  <c r="A121" i="105"/>
  <c r="K93" i="105"/>
  <c r="K88" i="105" s="1"/>
  <c r="J88" i="105" s="1"/>
  <c r="H88" i="105"/>
  <c r="G88" i="105"/>
  <c r="B88" i="105"/>
  <c r="A88" i="105"/>
  <c r="K61" i="105"/>
  <c r="K56" i="105" s="1"/>
  <c r="J56" i="105" s="1"/>
  <c r="E58" i="105"/>
  <c r="E52" i="105" s="1"/>
  <c r="D52" i="105" s="1"/>
  <c r="H56" i="105"/>
  <c r="B53" i="105"/>
  <c r="A53" i="105"/>
  <c r="K45" i="105"/>
  <c r="G56" i="105"/>
  <c r="K30" i="105"/>
  <c r="K25" i="105" s="1"/>
  <c r="J25" i="105" s="1"/>
  <c r="E29" i="105"/>
  <c r="E24" i="105" s="1"/>
  <c r="D24" i="105" s="1"/>
  <c r="H25" i="105"/>
  <c r="B25" i="105"/>
  <c r="G25" i="105"/>
  <c r="A25" i="105"/>
  <c r="G65" i="104"/>
  <c r="K90" i="104"/>
  <c r="K93" i="104" s="1"/>
  <c r="K89" i="104"/>
  <c r="I92" i="104"/>
  <c r="I90" i="104"/>
  <c r="E90" i="104"/>
  <c r="E89" i="104"/>
  <c r="C90" i="104"/>
  <c r="A65" i="104"/>
  <c r="K58" i="104"/>
  <c r="K61" i="104" s="1"/>
  <c r="K57" i="104"/>
  <c r="K45" i="104"/>
  <c r="I58" i="104"/>
  <c r="G36" i="104"/>
  <c r="A36" i="104"/>
  <c r="C55" i="104"/>
  <c r="K88" i="104" l="1"/>
  <c r="J88" i="104" s="1"/>
  <c r="A165" i="105"/>
  <c r="A167" i="105" s="1"/>
  <c r="C166" i="105" s="1"/>
  <c r="C168" i="105" s="1"/>
  <c r="G123" i="105"/>
  <c r="G125" i="105" s="1"/>
  <c r="I124" i="105" s="1"/>
  <c r="I126" i="105" s="1"/>
  <c r="G90" i="105"/>
  <c r="G92" i="105" s="1"/>
  <c r="I91" i="105" s="1"/>
  <c r="I93" i="105" s="1"/>
  <c r="A123" i="105"/>
  <c r="A125" i="105" s="1"/>
  <c r="C124" i="105" s="1"/>
  <c r="C126" i="105" s="1"/>
  <c r="A90" i="105"/>
  <c r="A92" i="105" s="1"/>
  <c r="C91" i="105" s="1"/>
  <c r="C93" i="105" s="1"/>
  <c r="G58" i="105"/>
  <c r="A55" i="105"/>
  <c r="A57" i="105" s="1"/>
  <c r="C56" i="105" s="1"/>
  <c r="C58" i="105" s="1"/>
  <c r="A27" i="105"/>
  <c r="A29" i="105" s="1"/>
  <c r="C28" i="105" s="1"/>
  <c r="C30" i="105" s="1"/>
  <c r="G27" i="105"/>
  <c r="G29" i="105" s="1"/>
  <c r="I28" i="105" s="1"/>
  <c r="I30" i="105" s="1"/>
  <c r="G60" i="105"/>
  <c r="I59" i="105" s="1"/>
  <c r="I61" i="105" s="1"/>
  <c r="I29" i="104"/>
  <c r="K26" i="104"/>
  <c r="K27" i="104"/>
  <c r="I27" i="104"/>
  <c r="G4" i="104"/>
  <c r="E25" i="104"/>
  <c r="E26" i="104"/>
  <c r="A4" i="104"/>
  <c r="C27" i="104"/>
  <c r="E168" i="104" l="1"/>
  <c r="E163" i="104" s="1"/>
  <c r="D163" i="104" s="1"/>
  <c r="B163" i="104"/>
  <c r="A163" i="104"/>
  <c r="G139" i="104"/>
  <c r="A128" i="104"/>
  <c r="K127" i="104"/>
  <c r="K122" i="104" s="1"/>
  <c r="J121" i="104" s="1"/>
  <c r="E126" i="104"/>
  <c r="E121" i="104" s="1"/>
  <c r="D121" i="104" s="1"/>
  <c r="H121" i="104"/>
  <c r="G121" i="104"/>
  <c r="B121" i="104"/>
  <c r="A121" i="104"/>
  <c r="E93" i="104"/>
  <c r="E88" i="104" s="1"/>
  <c r="D88" i="104" s="1"/>
  <c r="H88" i="104"/>
  <c r="G88" i="104"/>
  <c r="B88" i="104"/>
  <c r="A88" i="104"/>
  <c r="E58" i="104"/>
  <c r="E52" i="104" s="1"/>
  <c r="D52" i="104" s="1"/>
  <c r="H56" i="104"/>
  <c r="B53" i="104"/>
  <c r="G56" i="104"/>
  <c r="A53" i="104"/>
  <c r="E29" i="104"/>
  <c r="E24" i="104" s="1"/>
  <c r="D24" i="104" s="1"/>
  <c r="K30" i="104"/>
  <c r="B25" i="104"/>
  <c r="A25" i="104"/>
  <c r="H25" i="104"/>
  <c r="G25" i="104"/>
  <c r="K85" i="103"/>
  <c r="K86" i="103"/>
  <c r="I88" i="103"/>
  <c r="I86" i="103"/>
  <c r="G64" i="103"/>
  <c r="E53" i="103"/>
  <c r="C55" i="103"/>
  <c r="A64" i="103"/>
  <c r="G58" i="104" l="1"/>
  <c r="G60" i="104" s="1"/>
  <c r="I59" i="104" s="1"/>
  <c r="I61" i="104" s="1"/>
  <c r="A90" i="104"/>
  <c r="A92" i="104" s="1"/>
  <c r="C91" i="104" s="1"/>
  <c r="C93" i="104" s="1"/>
  <c r="A123" i="104"/>
  <c r="A125" i="104" s="1"/>
  <c r="C124" i="104" s="1"/>
  <c r="C126" i="104" s="1"/>
  <c r="A27" i="104"/>
  <c r="A29" i="104" s="1"/>
  <c r="C28" i="104" s="1"/>
  <c r="C30" i="104" s="1"/>
  <c r="G27" i="104"/>
  <c r="G29" i="104" s="1"/>
  <c r="I28" i="104" s="1"/>
  <c r="I30" i="104" s="1"/>
  <c r="A165" i="104"/>
  <c r="A167" i="104" s="1"/>
  <c r="C166" i="104" s="1"/>
  <c r="C168" i="104" s="1"/>
  <c r="K25" i="104"/>
  <c r="J25" i="104" s="1"/>
  <c r="G90" i="104"/>
  <c r="G92" i="104" s="1"/>
  <c r="I91" i="104" s="1"/>
  <c r="I93" i="104" s="1"/>
  <c r="G123" i="104"/>
  <c r="G125" i="104" s="1"/>
  <c r="I124" i="104" s="1"/>
  <c r="I126" i="104" s="1"/>
  <c r="A55" i="104"/>
  <c r="A57" i="104" s="1"/>
  <c r="C56" i="104" s="1"/>
  <c r="C58" i="104" s="1"/>
  <c r="A32" i="103"/>
  <c r="K54" i="103"/>
  <c r="K53" i="103"/>
  <c r="I54" i="103"/>
  <c r="E21" i="103"/>
  <c r="E22" i="103"/>
  <c r="A3" i="103"/>
  <c r="C23" i="103"/>
  <c r="K89" i="103" l="1"/>
  <c r="K84" i="103" s="1"/>
  <c r="J84" i="103" s="1"/>
  <c r="E86" i="103"/>
  <c r="H84" i="103"/>
  <c r="B81" i="103"/>
  <c r="A81" i="103"/>
  <c r="E80" i="103"/>
  <c r="D80" i="103" s="1"/>
  <c r="G84" i="103"/>
  <c r="K57" i="103"/>
  <c r="K52" i="103" s="1"/>
  <c r="J52" i="103" s="1"/>
  <c r="E57" i="103"/>
  <c r="E52" i="103" s="1"/>
  <c r="D52" i="103" s="1"/>
  <c r="B53" i="103"/>
  <c r="H52" i="103"/>
  <c r="A53" i="103"/>
  <c r="G52" i="103"/>
  <c r="G26" i="103"/>
  <c r="E25" i="103"/>
  <c r="E20" i="103" s="1"/>
  <c r="D20" i="103" s="1"/>
  <c r="K25" i="103"/>
  <c r="K20" i="103" s="1"/>
  <c r="J20" i="103" s="1"/>
  <c r="B21" i="103"/>
  <c r="H20" i="103"/>
  <c r="G20" i="103"/>
  <c r="A21" i="103"/>
  <c r="K118" i="102"/>
  <c r="K117" i="102"/>
  <c r="A83" i="103" l="1"/>
  <c r="A85" i="103" s="1"/>
  <c r="C84" i="103" s="1"/>
  <c r="C86" i="103" s="1"/>
  <c r="G54" i="103"/>
  <c r="G56" i="103" s="1"/>
  <c r="I55" i="103" s="1"/>
  <c r="I57" i="103" s="1"/>
  <c r="A55" i="103"/>
  <c r="A57" i="103" s="1"/>
  <c r="C56" i="103" s="1"/>
  <c r="C58" i="103" s="1"/>
  <c r="G22" i="103"/>
  <c r="G24" i="103" s="1"/>
  <c r="I23" i="103" s="1"/>
  <c r="I25" i="103" s="1"/>
  <c r="A23" i="103"/>
  <c r="A25" i="103" s="1"/>
  <c r="C24" i="103" s="1"/>
  <c r="C26" i="103" s="1"/>
  <c r="G86" i="103"/>
  <c r="G88" i="103" s="1"/>
  <c r="I87" i="103" s="1"/>
  <c r="I89" i="103" s="1"/>
  <c r="H94" i="102"/>
  <c r="G93" i="102"/>
  <c r="E117" i="102"/>
  <c r="E118" i="102"/>
  <c r="C118" i="102"/>
  <c r="A93" i="102"/>
  <c r="K85" i="102"/>
  <c r="K86" i="102"/>
  <c r="I86" i="102"/>
  <c r="G64" i="102" l="1"/>
  <c r="I54" i="102"/>
  <c r="G31" i="102"/>
  <c r="G52" i="102" s="1"/>
  <c r="A32" i="102"/>
  <c r="A53" i="102" s="1"/>
  <c r="C55" i="102"/>
  <c r="G3" i="102"/>
  <c r="G20" i="102" s="1"/>
  <c r="K21" i="102"/>
  <c r="K22" i="102"/>
  <c r="K25" i="102" s="1"/>
  <c r="K20" i="102" s="1"/>
  <c r="J20" i="102" s="1"/>
  <c r="I22" i="102"/>
  <c r="G167" i="102"/>
  <c r="A3" i="102"/>
  <c r="A21" i="102" s="1"/>
  <c r="E21" i="102"/>
  <c r="E22" i="102"/>
  <c r="E25" i="102" s="1"/>
  <c r="E196" i="102"/>
  <c r="E191" i="102" s="1"/>
  <c r="D191" i="102" s="1"/>
  <c r="B191" i="102"/>
  <c r="A191" i="102"/>
  <c r="A156" i="102"/>
  <c r="E154" i="102"/>
  <c r="E149" i="102" s="1"/>
  <c r="D149" i="102" s="1"/>
  <c r="K154" i="102"/>
  <c r="K149" i="102" s="1"/>
  <c r="J149" i="102" s="1"/>
  <c r="H149" i="102"/>
  <c r="G149" i="102"/>
  <c r="B149" i="102"/>
  <c r="A149" i="102"/>
  <c r="E121" i="102"/>
  <c r="K121" i="102"/>
  <c r="K116" i="102" s="1"/>
  <c r="J116" i="102" s="1"/>
  <c r="H116" i="102"/>
  <c r="G116" i="102"/>
  <c r="E116" i="102"/>
  <c r="D116" i="102" s="1"/>
  <c r="B116" i="102"/>
  <c r="A116" i="102"/>
  <c r="K89" i="102"/>
  <c r="K84" i="102" s="1"/>
  <c r="J84" i="102" s="1"/>
  <c r="E86" i="102"/>
  <c r="E80" i="102" s="1"/>
  <c r="D80" i="102" s="1"/>
  <c r="H84" i="102"/>
  <c r="G84" i="102"/>
  <c r="B81" i="102"/>
  <c r="A81" i="102"/>
  <c r="K57" i="102"/>
  <c r="E57" i="102"/>
  <c r="E52" i="102" s="1"/>
  <c r="D52" i="102" s="1"/>
  <c r="H52" i="102"/>
  <c r="B53" i="102"/>
  <c r="K52" i="102"/>
  <c r="J52" i="102" s="1"/>
  <c r="G26" i="102"/>
  <c r="H20" i="102"/>
  <c r="B21" i="102"/>
  <c r="E196" i="101"/>
  <c r="E192" i="101"/>
  <c r="B192" i="101"/>
  <c r="A192" i="101"/>
  <c r="C160" i="101"/>
  <c r="C164" i="101" s="1"/>
  <c r="A157" i="101"/>
  <c r="K154" i="101"/>
  <c r="K149" i="101" s="1"/>
  <c r="J149" i="101" s="1"/>
  <c r="E154" i="101"/>
  <c r="E149" i="101" s="1"/>
  <c r="D149" i="101" s="1"/>
  <c r="H150" i="101"/>
  <c r="B150" i="101"/>
  <c r="G127" i="101"/>
  <c r="G150" i="101" s="1"/>
  <c r="A127" i="101"/>
  <c r="A150" i="101" s="1"/>
  <c r="K121" i="101"/>
  <c r="E121" i="101"/>
  <c r="E116" i="101" s="1"/>
  <c r="D116" i="101" s="1"/>
  <c r="I119" i="101"/>
  <c r="C119" i="101"/>
  <c r="K117" i="101"/>
  <c r="B117" i="101"/>
  <c r="H94" i="101"/>
  <c r="H117" i="101" s="1"/>
  <c r="G94" i="101"/>
  <c r="G117" i="101" s="1"/>
  <c r="A94" i="101"/>
  <c r="A117" i="101" s="1"/>
  <c r="K86" i="101"/>
  <c r="K89" i="101" s="1"/>
  <c r="E86" i="101"/>
  <c r="E81" i="101" s="1"/>
  <c r="D81" i="101" s="1"/>
  <c r="K85" i="101"/>
  <c r="H85" i="101"/>
  <c r="B82" i="101"/>
  <c r="A82" i="101"/>
  <c r="G65" i="101"/>
  <c r="G85" i="101" s="1"/>
  <c r="K54" i="101"/>
  <c r="K57" i="101" s="1"/>
  <c r="E54" i="101"/>
  <c r="E57" i="101" s="1"/>
  <c r="K53" i="101"/>
  <c r="H53" i="101"/>
  <c r="E53" i="101"/>
  <c r="G32" i="101"/>
  <c r="G53" i="101" s="1"/>
  <c r="B32" i="101"/>
  <c r="B53" i="101" s="1"/>
  <c r="A32" i="101"/>
  <c r="A53" i="101" s="1"/>
  <c r="G27" i="101"/>
  <c r="C23" i="101"/>
  <c r="K22" i="101"/>
  <c r="K25" i="101" s="1"/>
  <c r="E22" i="101"/>
  <c r="E25" i="101" s="1"/>
  <c r="K21" i="101"/>
  <c r="H21" i="101"/>
  <c r="E21" i="101"/>
  <c r="B21" i="101"/>
  <c r="G3" i="101"/>
  <c r="G21" i="101" s="1"/>
  <c r="A3" i="101"/>
  <c r="A21" i="101" s="1"/>
  <c r="C70" i="100"/>
  <c r="E69" i="100"/>
  <c r="E68" i="100"/>
  <c r="B68" i="100"/>
  <c r="A68" i="100"/>
  <c r="M45" i="100"/>
  <c r="E45" i="100"/>
  <c r="C45" i="100"/>
  <c r="J41" i="100"/>
  <c r="I41" i="100"/>
  <c r="B41" i="100"/>
  <c r="A41" i="100"/>
  <c r="L40" i="100"/>
  <c r="D40" i="100"/>
  <c r="E20" i="100"/>
  <c r="K18" i="100"/>
  <c r="M17" i="100"/>
  <c r="M20" i="100" s="1"/>
  <c r="M16" i="100"/>
  <c r="J16" i="100"/>
  <c r="E16" i="100"/>
  <c r="B16" i="100"/>
  <c r="A16" i="100"/>
  <c r="I3" i="100"/>
  <c r="I16" i="100" s="1"/>
  <c r="K196" i="99"/>
  <c r="K191" i="99" s="1"/>
  <c r="J191" i="99" s="1"/>
  <c r="E196" i="99"/>
  <c r="E191" i="99" s="1"/>
  <c r="D191" i="99" s="1"/>
  <c r="I195" i="99"/>
  <c r="H192" i="99"/>
  <c r="G192" i="99"/>
  <c r="G194" i="99" s="1"/>
  <c r="B192" i="99"/>
  <c r="A192" i="99"/>
  <c r="C160" i="99"/>
  <c r="C164" i="99" s="1"/>
  <c r="A157" i="99"/>
  <c r="K154" i="99"/>
  <c r="K149" i="99" s="1"/>
  <c r="J149" i="99" s="1"/>
  <c r="E154" i="99"/>
  <c r="E149" i="99" s="1"/>
  <c r="D149" i="99" s="1"/>
  <c r="H150" i="99"/>
  <c r="G150" i="99"/>
  <c r="B150" i="99"/>
  <c r="A150" i="99"/>
  <c r="C119" i="99"/>
  <c r="K118" i="99"/>
  <c r="K121" i="99" s="1"/>
  <c r="E118" i="99"/>
  <c r="E121" i="99" s="1"/>
  <c r="K117" i="99"/>
  <c r="H117" i="99"/>
  <c r="E117" i="99"/>
  <c r="B117" i="99"/>
  <c r="G94" i="99"/>
  <c r="G117" i="99" s="1"/>
  <c r="A94" i="99"/>
  <c r="A117" i="99" s="1"/>
  <c r="K89" i="99"/>
  <c r="K85" i="99"/>
  <c r="H85" i="99"/>
  <c r="E83" i="99"/>
  <c r="E86" i="99" s="1"/>
  <c r="E81" i="99" s="1"/>
  <c r="D81" i="99" s="1"/>
  <c r="B82" i="99"/>
  <c r="G65" i="99"/>
  <c r="G85" i="99" s="1"/>
  <c r="A65" i="99"/>
  <c r="A82" i="99" s="1"/>
  <c r="E57" i="99"/>
  <c r="E52" i="99" s="1"/>
  <c r="D52" i="99" s="1"/>
  <c r="I55" i="99"/>
  <c r="C55" i="99"/>
  <c r="K54" i="99"/>
  <c r="K57" i="99" s="1"/>
  <c r="K53" i="99"/>
  <c r="H53" i="99"/>
  <c r="B53" i="99"/>
  <c r="G32" i="99"/>
  <c r="G53" i="99" s="1"/>
  <c r="A32" i="99"/>
  <c r="A53" i="99" s="1"/>
  <c r="G27" i="99"/>
  <c r="K25" i="99"/>
  <c r="K20" i="99" s="1"/>
  <c r="J20" i="99" s="1"/>
  <c r="C23" i="99"/>
  <c r="E22" i="99"/>
  <c r="E25" i="99" s="1"/>
  <c r="H21" i="99"/>
  <c r="E21" i="99"/>
  <c r="B21" i="99"/>
  <c r="G3" i="99"/>
  <c r="G21" i="99" s="1"/>
  <c r="A3" i="99"/>
  <c r="A21" i="99" s="1"/>
  <c r="E197" i="98"/>
  <c r="E192" i="98" s="1"/>
  <c r="D192" i="98" s="1"/>
  <c r="B192" i="98"/>
  <c r="A192" i="98"/>
  <c r="A157" i="98"/>
  <c r="E155" i="98"/>
  <c r="K154" i="98"/>
  <c r="K149" i="98" s="1"/>
  <c r="J149" i="98" s="1"/>
  <c r="H150" i="98"/>
  <c r="G150" i="98"/>
  <c r="E150" i="98"/>
  <c r="D150" i="98" s="1"/>
  <c r="B150" i="98"/>
  <c r="A150" i="98"/>
  <c r="E122" i="98"/>
  <c r="K121" i="98"/>
  <c r="K116" i="98" s="1"/>
  <c r="J116" i="98" s="1"/>
  <c r="H117" i="98"/>
  <c r="G117" i="98"/>
  <c r="E117" i="98"/>
  <c r="D117" i="98" s="1"/>
  <c r="B117" i="98"/>
  <c r="A117" i="98"/>
  <c r="K89" i="98"/>
  <c r="K84" i="98" s="1"/>
  <c r="J84" i="98" s="1"/>
  <c r="H85" i="98"/>
  <c r="G85" i="98"/>
  <c r="E83" i="98"/>
  <c r="E87" i="98" s="1"/>
  <c r="E82" i="98"/>
  <c r="B82" i="98"/>
  <c r="A65" i="98"/>
  <c r="A82" i="98" s="1"/>
  <c r="K57" i="98"/>
  <c r="K52" i="98" s="1"/>
  <c r="J52" i="98" s="1"/>
  <c r="C55" i="98"/>
  <c r="E54" i="98"/>
  <c r="E57" i="98" s="1"/>
  <c r="E52" i="98" s="1"/>
  <c r="D52" i="98" s="1"/>
  <c r="H53" i="98"/>
  <c r="B53" i="98"/>
  <c r="G32" i="98"/>
  <c r="G53" i="98" s="1"/>
  <c r="A32" i="98"/>
  <c r="A53" i="98" s="1"/>
  <c r="G27" i="98"/>
  <c r="K25" i="98"/>
  <c r="K20" i="98" s="1"/>
  <c r="J20" i="98" s="1"/>
  <c r="I23" i="98"/>
  <c r="C23" i="98"/>
  <c r="E22" i="98"/>
  <c r="E25" i="98" s="1"/>
  <c r="E20" i="98" s="1"/>
  <c r="D20" i="98" s="1"/>
  <c r="H21" i="98"/>
  <c r="E21" i="98"/>
  <c r="G3" i="98"/>
  <c r="G21" i="98" s="1"/>
  <c r="B3" i="98"/>
  <c r="B21" i="98" s="1"/>
  <c r="A3" i="98"/>
  <c r="A21" i="98" s="1"/>
  <c r="E20" i="102" l="1"/>
  <c r="D20" i="102" s="1"/>
  <c r="G87" i="99"/>
  <c r="G89" i="99" s="1"/>
  <c r="I88" i="99" s="1"/>
  <c r="I90" i="99" s="1"/>
  <c r="K84" i="99"/>
  <c r="J84" i="99" s="1"/>
  <c r="E191" i="101"/>
  <c r="D191" i="101" s="1"/>
  <c r="A70" i="100"/>
  <c r="A72" i="100" s="1"/>
  <c r="C71" i="100" s="1"/>
  <c r="C73" i="100" s="1"/>
  <c r="K52" i="99"/>
  <c r="J52" i="99" s="1"/>
  <c r="G119" i="99"/>
  <c r="G121" i="99" s="1"/>
  <c r="I120" i="99" s="1"/>
  <c r="I122" i="99" s="1"/>
  <c r="A194" i="99"/>
  <c r="A196" i="99" s="1"/>
  <c r="C195" i="99" s="1"/>
  <c r="C197" i="99" s="1"/>
  <c r="I43" i="100"/>
  <c r="I45" i="100" s="1"/>
  <c r="K44" i="100" s="1"/>
  <c r="K46" i="100" s="1"/>
  <c r="A151" i="102"/>
  <c r="A153" i="102" s="1"/>
  <c r="C152" i="102" s="1"/>
  <c r="C154" i="102" s="1"/>
  <c r="A152" i="98"/>
  <c r="A154" i="98" s="1"/>
  <c r="C153" i="98" s="1"/>
  <c r="C155" i="98" s="1"/>
  <c r="A84" i="98"/>
  <c r="A86" i="98" s="1"/>
  <c r="C85" i="98" s="1"/>
  <c r="C87" i="98" s="1"/>
  <c r="G87" i="98"/>
  <c r="G89" i="98" s="1"/>
  <c r="I88" i="98" s="1"/>
  <c r="I90" i="98" s="1"/>
  <c r="A119" i="98"/>
  <c r="A121" i="98" s="1"/>
  <c r="C120" i="98" s="1"/>
  <c r="C122" i="98" s="1"/>
  <c r="E20" i="99"/>
  <c r="D20" i="99" s="1"/>
  <c r="E116" i="99"/>
  <c r="D116" i="99" s="1"/>
  <c r="M15" i="100"/>
  <c r="L15" i="100" s="1"/>
  <c r="A43" i="100"/>
  <c r="A45" i="100" s="1"/>
  <c r="C44" i="100" s="1"/>
  <c r="C46" i="100" s="1"/>
  <c r="A84" i="101"/>
  <c r="A86" i="101" s="1"/>
  <c r="C85" i="101" s="1"/>
  <c r="C87" i="101" s="1"/>
  <c r="A194" i="101"/>
  <c r="A196" i="101" s="1"/>
  <c r="C195" i="101" s="1"/>
  <c r="C197" i="101" s="1"/>
  <c r="G23" i="98"/>
  <c r="G152" i="98"/>
  <c r="G154" i="98" s="1"/>
  <c r="I153" i="98" s="1"/>
  <c r="I155" i="98" s="1"/>
  <c r="E67" i="100"/>
  <c r="D67" i="100" s="1"/>
  <c r="E20" i="101"/>
  <c r="D20" i="101" s="1"/>
  <c r="G23" i="99"/>
  <c r="G25" i="99" s="1"/>
  <c r="I24" i="99" s="1"/>
  <c r="I26" i="99" s="1"/>
  <c r="G23" i="101"/>
  <c r="G25" i="101" s="1"/>
  <c r="I24" i="101" s="1"/>
  <c r="I26" i="101" s="1"/>
  <c r="A118" i="102"/>
  <c r="A120" i="102" s="1"/>
  <c r="C119" i="102" s="1"/>
  <c r="C121" i="102" s="1"/>
  <c r="A193" i="102"/>
  <c r="A195" i="102" s="1"/>
  <c r="C194" i="102" s="1"/>
  <c r="C196" i="102" s="1"/>
  <c r="G119" i="98"/>
  <c r="G121" i="98" s="1"/>
  <c r="I120" i="98" s="1"/>
  <c r="I122" i="98" s="1"/>
  <c r="A23" i="99"/>
  <c r="A25" i="99" s="1"/>
  <c r="C24" i="99" s="1"/>
  <c r="C26" i="99" s="1"/>
  <c r="A152" i="99"/>
  <c r="A154" i="99" s="1"/>
  <c r="C153" i="99" s="1"/>
  <c r="C155" i="99" s="1"/>
  <c r="A18" i="100"/>
  <c r="A20" i="100" s="1"/>
  <c r="C19" i="100" s="1"/>
  <c r="C21" i="100" s="1"/>
  <c r="E52" i="101"/>
  <c r="D52" i="101" s="1"/>
  <c r="K116" i="101"/>
  <c r="J116" i="101" s="1"/>
  <c r="A55" i="98"/>
  <c r="A57" i="98" s="1"/>
  <c r="C56" i="98" s="1"/>
  <c r="C58" i="98" s="1"/>
  <c r="E81" i="98"/>
  <c r="D81" i="98" s="1"/>
  <c r="A194" i="98"/>
  <c r="A196" i="98" s="1"/>
  <c r="C195" i="98" s="1"/>
  <c r="C197" i="98" s="1"/>
  <c r="K52" i="101"/>
  <c r="J52" i="101" s="1"/>
  <c r="K84" i="101"/>
  <c r="J84" i="101" s="1"/>
  <c r="A83" i="102"/>
  <c r="A85" i="102" s="1"/>
  <c r="C84" i="102" s="1"/>
  <c r="C86" i="102" s="1"/>
  <c r="K116" i="99"/>
  <c r="J116" i="99" s="1"/>
  <c r="G152" i="99"/>
  <c r="G154" i="99" s="1"/>
  <c r="I153" i="99" s="1"/>
  <c r="I155" i="99" s="1"/>
  <c r="E15" i="100"/>
  <c r="D15" i="100" s="1"/>
  <c r="K20" i="101"/>
  <c r="J20" i="101" s="1"/>
  <c r="A55" i="101"/>
  <c r="A57" i="101" s="1"/>
  <c r="C56" i="101" s="1"/>
  <c r="C58" i="101" s="1"/>
  <c r="G55" i="101"/>
  <c r="G57" i="101" s="1"/>
  <c r="I56" i="101" s="1"/>
  <c r="I58" i="101" s="1"/>
  <c r="G86" i="102"/>
  <c r="G88" i="102" s="1"/>
  <c r="I87" i="102" s="1"/>
  <c r="I89" i="102" s="1"/>
  <c r="G151" i="102"/>
  <c r="G153" i="102" s="1"/>
  <c r="I152" i="102" s="1"/>
  <c r="I154" i="102" s="1"/>
  <c r="G54" i="102"/>
  <c r="G56" i="102" s="1"/>
  <c r="I55" i="102" s="1"/>
  <c r="I57" i="102" s="1"/>
  <c r="G118" i="102"/>
  <c r="G120" i="102" s="1"/>
  <c r="I119" i="102" s="1"/>
  <c r="I121" i="102" s="1"/>
  <c r="A23" i="102"/>
  <c r="A25" i="102" s="1"/>
  <c r="C24" i="102" s="1"/>
  <c r="C26" i="102" s="1"/>
  <c r="G22" i="102"/>
  <c r="G24" i="102" s="1"/>
  <c r="I23" i="102" s="1"/>
  <c r="I25" i="102" s="1"/>
  <c r="A55" i="102"/>
  <c r="A57" i="102" s="1"/>
  <c r="C56" i="102" s="1"/>
  <c r="C58" i="102" s="1"/>
  <c r="G87" i="101"/>
  <c r="G89" i="101" s="1"/>
  <c r="I88" i="101" s="1"/>
  <c r="I90" i="101" s="1"/>
  <c r="A23" i="98"/>
  <c r="A25" i="98" s="1"/>
  <c r="C24" i="98" s="1"/>
  <c r="C26" i="98" s="1"/>
  <c r="A119" i="101"/>
  <c r="A121" i="101" s="1"/>
  <c r="C120" i="101" s="1"/>
  <c r="C122" i="101" s="1"/>
  <c r="G25" i="98"/>
  <c r="I24" i="98" s="1"/>
  <c r="I26" i="98" s="1"/>
  <c r="G55" i="98"/>
  <c r="G57" i="98" s="1"/>
  <c r="I56" i="98" s="1"/>
  <c r="I58" i="98" s="1"/>
  <c r="G55" i="99"/>
  <c r="G57" i="99" s="1"/>
  <c r="I56" i="99" s="1"/>
  <c r="I58" i="99" s="1"/>
  <c r="G119" i="101"/>
  <c r="G121" i="101" s="1"/>
  <c r="I120" i="101" s="1"/>
  <c r="I122" i="101" s="1"/>
  <c r="A152" i="101"/>
  <c r="A154" i="101" s="1"/>
  <c r="C153" i="101" s="1"/>
  <c r="C155" i="101" s="1"/>
  <c r="A55" i="99"/>
  <c r="A57" i="99" s="1"/>
  <c r="C56" i="99" s="1"/>
  <c r="C58" i="99" s="1"/>
  <c r="I18" i="100"/>
  <c r="I20" i="100" s="1"/>
  <c r="K19" i="100" s="1"/>
  <c r="K21" i="100" s="1"/>
  <c r="A84" i="99"/>
  <c r="A86" i="99" s="1"/>
  <c r="C85" i="99" s="1"/>
  <c r="C87" i="99" s="1"/>
  <c r="A119" i="99"/>
  <c r="A121" i="99" s="1"/>
  <c r="C120" i="99" s="1"/>
  <c r="C122" i="99" s="1"/>
  <c r="A23" i="101"/>
  <c r="A25" i="101" s="1"/>
  <c r="C24" i="101" s="1"/>
  <c r="C26" i="101" s="1"/>
  <c r="G152" i="101"/>
  <c r="G154" i="101" s="1"/>
  <c r="I153" i="101" s="1"/>
  <c r="I155" i="101" s="1"/>
  <c r="E72" i="100"/>
  <c r="H5" i="91" l="1"/>
  <c r="E20" i="95"/>
  <c r="E23" i="95"/>
  <c r="J139" i="97"/>
  <c r="J112" i="97"/>
  <c r="D112" i="97"/>
  <c r="J81" i="97"/>
  <c r="D81" i="97"/>
  <c r="J52" i="97"/>
  <c r="D52" i="97"/>
  <c r="J20" i="97"/>
  <c r="D20" i="97"/>
  <c r="E22" i="97"/>
  <c r="E21" i="97"/>
  <c r="C23" i="97"/>
  <c r="H6" i="91" l="1"/>
  <c r="K22" i="97"/>
  <c r="K25" i="97" s="1"/>
  <c r="K21" i="97"/>
  <c r="G27" i="97"/>
  <c r="G3" i="97"/>
  <c r="G21" i="97" s="1"/>
  <c r="A3" i="97"/>
  <c r="A21" i="97" s="1"/>
  <c r="C153" i="97"/>
  <c r="C157" i="97" s="1"/>
  <c r="A150" i="97"/>
  <c r="K139" i="97"/>
  <c r="H140" i="97"/>
  <c r="G140" i="97"/>
  <c r="K117" i="97"/>
  <c r="E117" i="97"/>
  <c r="H113" i="97"/>
  <c r="G113" i="97"/>
  <c r="B113" i="97"/>
  <c r="K112" i="97"/>
  <c r="E112" i="97"/>
  <c r="A96" i="97"/>
  <c r="A113" i="97" s="1"/>
  <c r="E86" i="97"/>
  <c r="K86" i="97"/>
  <c r="H82" i="97"/>
  <c r="G82" i="97"/>
  <c r="B82" i="97"/>
  <c r="K81" i="97"/>
  <c r="E81" i="97"/>
  <c r="A82" i="97"/>
  <c r="K57" i="97"/>
  <c r="E57" i="97"/>
  <c r="K52" i="97"/>
  <c r="H53" i="97"/>
  <c r="B53" i="97"/>
  <c r="E52" i="97"/>
  <c r="G53" i="97"/>
  <c r="A53" i="97"/>
  <c r="E25" i="97"/>
  <c r="H21" i="97"/>
  <c r="B21" i="97"/>
  <c r="E20" i="97"/>
  <c r="G115" i="97" l="1"/>
  <c r="A23" i="97"/>
  <c r="A25" i="97" s="1"/>
  <c r="C24" i="97" s="1"/>
  <c r="C26" i="97" s="1"/>
  <c r="K20" i="97"/>
  <c r="G142" i="97"/>
  <c r="G144" i="97" s="1"/>
  <c r="I143" i="97" s="1"/>
  <c r="I145" i="97" s="1"/>
  <c r="G117" i="97"/>
  <c r="I116" i="97" s="1"/>
  <c r="I118" i="97" s="1"/>
  <c r="G84" i="97"/>
  <c r="G86" i="97" s="1"/>
  <c r="I85" i="97" s="1"/>
  <c r="I87" i="97" s="1"/>
  <c r="G23" i="97"/>
  <c r="G25" i="97" s="1"/>
  <c r="I24" i="97" s="1"/>
  <c r="I26" i="97" s="1"/>
  <c r="G55" i="97"/>
  <c r="G57" i="97" s="1"/>
  <c r="I56" i="97" s="1"/>
  <c r="I58" i="97" s="1"/>
  <c r="A115" i="97"/>
  <c r="A117" i="97" s="1"/>
  <c r="C116" i="97" s="1"/>
  <c r="C118" i="97" s="1"/>
  <c r="A55" i="97"/>
  <c r="A57" i="97" s="1"/>
  <c r="C56" i="97" s="1"/>
  <c r="C58" i="97" s="1"/>
  <c r="A84" i="97"/>
  <c r="A86" i="97" s="1"/>
  <c r="C85" i="97" s="1"/>
  <c r="C87" i="97" s="1"/>
  <c r="K144" i="97"/>
  <c r="K112" i="95" l="1"/>
  <c r="I114" i="95"/>
  <c r="G95" i="95"/>
  <c r="A95" i="95"/>
  <c r="K82" i="95"/>
  <c r="I83" i="95"/>
  <c r="G64" i="95"/>
  <c r="C83" i="95"/>
  <c r="A64" i="95"/>
  <c r="K52" i="95" l="1"/>
  <c r="I54" i="95"/>
  <c r="G31" i="95"/>
  <c r="E52" i="95" l="1"/>
  <c r="C54" i="95"/>
  <c r="A31" i="95"/>
  <c r="E1367" i="96" l="1"/>
  <c r="E1353" i="96"/>
  <c r="B1280" i="96"/>
  <c r="B1274" i="96"/>
  <c r="E1120" i="96"/>
  <c r="E1117" i="96"/>
  <c r="E1075" i="96"/>
  <c r="E1636" i="96" s="1"/>
  <c r="B1053" i="96"/>
  <c r="H5" i="96"/>
  <c r="H6" i="96" s="1"/>
  <c r="H7" i="96" s="1"/>
  <c r="H8" i="96" s="1"/>
  <c r="H9" i="96" s="1"/>
  <c r="H10" i="96" s="1"/>
  <c r="H11" i="96" s="1"/>
  <c r="H12" i="96" s="1"/>
  <c r="H13" i="96" s="1"/>
  <c r="H14" i="96" s="1"/>
  <c r="H15" i="96" s="1"/>
  <c r="H16" i="96" s="1"/>
  <c r="H17" i="96" s="1"/>
  <c r="H18" i="96" s="1"/>
  <c r="H19" i="96" s="1"/>
  <c r="H20" i="96" s="1"/>
  <c r="H21" i="96" s="1"/>
  <c r="H22" i="96" s="1"/>
  <c r="H23" i="96" s="1"/>
  <c r="H24" i="96" s="1"/>
  <c r="H25" i="96" s="1"/>
  <c r="H26" i="96" s="1"/>
  <c r="H27" i="96" s="1"/>
  <c r="H28" i="96" s="1"/>
  <c r="H29" i="96" s="1"/>
  <c r="H30" i="96" s="1"/>
  <c r="H31" i="96" s="1"/>
  <c r="H32" i="96" s="1"/>
  <c r="H33" i="96" s="1"/>
  <c r="H34" i="96" s="1"/>
  <c r="H35" i="96" s="1"/>
  <c r="H36" i="96" s="1"/>
  <c r="H37" i="96" s="1"/>
  <c r="H38" i="96" s="1"/>
  <c r="H39" i="96" s="1"/>
  <c r="H40" i="96" s="1"/>
  <c r="H41" i="96" s="1"/>
  <c r="H42" i="96" s="1"/>
  <c r="H43" i="96" s="1"/>
  <c r="H44" i="96" s="1"/>
  <c r="H45" i="96" s="1"/>
  <c r="H46" i="96" s="1"/>
  <c r="H47" i="96" s="1"/>
  <c r="H48" i="96" s="1"/>
  <c r="H49" i="96" s="1"/>
  <c r="H50" i="96" s="1"/>
  <c r="H51" i="96" s="1"/>
  <c r="H52" i="96" s="1"/>
  <c r="H53" i="96" s="1"/>
  <c r="H54" i="96" s="1"/>
  <c r="H55" i="96" s="1"/>
  <c r="H56" i="96" s="1"/>
  <c r="H57" i="96" s="1"/>
  <c r="H58" i="96" s="1"/>
  <c r="H59" i="96" s="1"/>
  <c r="H60" i="96" s="1"/>
  <c r="H61" i="96" s="1"/>
  <c r="H62" i="96" s="1"/>
  <c r="H63" i="96" s="1"/>
  <c r="H64" i="96" s="1"/>
  <c r="H65" i="96" s="1"/>
  <c r="H66" i="96" s="1"/>
  <c r="H67" i="96" s="1"/>
  <c r="H68" i="96" s="1"/>
  <c r="H69" i="96" s="1"/>
  <c r="H70" i="96" s="1"/>
  <c r="H71" i="96" s="1"/>
  <c r="H72" i="96" s="1"/>
  <c r="H73" i="96" s="1"/>
  <c r="H74" i="96" s="1"/>
  <c r="H75" i="96" s="1"/>
  <c r="H76" i="96" s="1"/>
  <c r="H77" i="96" s="1"/>
  <c r="H78" i="96" s="1"/>
  <c r="H79" i="96" s="1"/>
  <c r="H80" i="96" s="1"/>
  <c r="H81" i="96" s="1"/>
  <c r="H82" i="96" s="1"/>
  <c r="H83" i="96" s="1"/>
  <c r="H84" i="96" s="1"/>
  <c r="H85" i="96" s="1"/>
  <c r="H86" i="96" s="1"/>
  <c r="H87" i="96" s="1"/>
  <c r="H88" i="96" s="1"/>
  <c r="H89" i="96" s="1"/>
  <c r="H90" i="96" s="1"/>
  <c r="H91" i="96" s="1"/>
  <c r="H92" i="96" s="1"/>
  <c r="H93" i="96" s="1"/>
  <c r="H94" i="96" s="1"/>
  <c r="H95" i="96" s="1"/>
  <c r="H96" i="96" s="1"/>
  <c r="H97" i="96" s="1"/>
  <c r="H98" i="96" s="1"/>
  <c r="H99" i="96" s="1"/>
  <c r="H100" i="96" s="1"/>
  <c r="H101" i="96" s="1"/>
  <c r="H102" i="96" s="1"/>
  <c r="H103" i="96" s="1"/>
  <c r="H104" i="96" s="1"/>
  <c r="H105" i="96" s="1"/>
  <c r="H106" i="96" s="1"/>
  <c r="H107" i="96" s="1"/>
  <c r="H108" i="96" s="1"/>
  <c r="H109" i="96" s="1"/>
  <c r="H110" i="96" s="1"/>
  <c r="H111" i="96" s="1"/>
  <c r="H112" i="96" s="1"/>
  <c r="H113" i="96" s="1"/>
  <c r="H114" i="96" s="1"/>
  <c r="H115" i="96" s="1"/>
  <c r="H116" i="96" s="1"/>
  <c r="H117" i="96" s="1"/>
  <c r="H118" i="96" s="1"/>
  <c r="H119" i="96" s="1"/>
  <c r="H120" i="96" s="1"/>
  <c r="H121" i="96" s="1"/>
  <c r="H122" i="96" s="1"/>
  <c r="H123" i="96" s="1"/>
  <c r="H124" i="96" s="1"/>
  <c r="H125" i="96" s="1"/>
  <c r="H126" i="96" s="1"/>
  <c r="H127" i="96" s="1"/>
  <c r="H128" i="96" s="1"/>
  <c r="H129" i="96" s="1"/>
  <c r="H130" i="96" s="1"/>
  <c r="H131" i="96" s="1"/>
  <c r="H132" i="96" s="1"/>
  <c r="H133" i="96" s="1"/>
  <c r="H134" i="96" s="1"/>
  <c r="H135" i="96" s="1"/>
  <c r="H136" i="96" s="1"/>
  <c r="H137" i="96" s="1"/>
  <c r="H138" i="96" s="1"/>
  <c r="H139" i="96" s="1"/>
  <c r="H140" i="96" s="1"/>
  <c r="H141" i="96" s="1"/>
  <c r="H142" i="96" s="1"/>
  <c r="H143" i="96" s="1"/>
  <c r="H144" i="96" s="1"/>
  <c r="H145" i="96" s="1"/>
  <c r="H146" i="96" s="1"/>
  <c r="H147" i="96" s="1"/>
  <c r="H148" i="96" s="1"/>
  <c r="H149" i="96" s="1"/>
  <c r="H150" i="96" s="1"/>
  <c r="H151" i="96" s="1"/>
  <c r="H152" i="96" s="1"/>
  <c r="H153" i="96" s="1"/>
  <c r="H154" i="96" s="1"/>
  <c r="H155" i="96" s="1"/>
  <c r="H156" i="96" s="1"/>
  <c r="H157" i="96" s="1"/>
  <c r="H158" i="96" s="1"/>
  <c r="H159" i="96" s="1"/>
  <c r="H160" i="96" s="1"/>
  <c r="H161" i="96" s="1"/>
  <c r="H162" i="96" s="1"/>
  <c r="H163" i="96" s="1"/>
  <c r="H164" i="96" s="1"/>
  <c r="H165" i="96" s="1"/>
  <c r="H166" i="96" s="1"/>
  <c r="H167" i="96" s="1"/>
  <c r="H168" i="96" s="1"/>
  <c r="H169" i="96" s="1"/>
  <c r="H170" i="96" s="1"/>
  <c r="H171" i="96" s="1"/>
  <c r="H172" i="96" s="1"/>
  <c r="H173" i="96" s="1"/>
  <c r="H174" i="96" s="1"/>
  <c r="H175" i="96" s="1"/>
  <c r="H176" i="96" s="1"/>
  <c r="H177" i="96" s="1"/>
  <c r="H178" i="96" s="1"/>
  <c r="H179" i="96" s="1"/>
  <c r="H180" i="96" s="1"/>
  <c r="H181" i="96" s="1"/>
  <c r="H182" i="96" s="1"/>
  <c r="H183" i="96" s="1"/>
  <c r="H184" i="96" s="1"/>
  <c r="H185" i="96" s="1"/>
  <c r="H186" i="96" s="1"/>
  <c r="H187" i="96" s="1"/>
  <c r="H188" i="96" s="1"/>
  <c r="H189" i="96" s="1"/>
  <c r="H190" i="96" s="1"/>
  <c r="H191" i="96" s="1"/>
  <c r="H192" i="96" s="1"/>
  <c r="H193" i="96" s="1"/>
  <c r="H194" i="96" s="1"/>
  <c r="H195" i="96" s="1"/>
  <c r="H196" i="96" s="1"/>
  <c r="H197" i="96" s="1"/>
  <c r="H198" i="96" s="1"/>
  <c r="H199" i="96" s="1"/>
  <c r="H200" i="96" s="1"/>
  <c r="H201" i="96" s="1"/>
  <c r="H202" i="96" s="1"/>
  <c r="H203" i="96" s="1"/>
  <c r="H204" i="96" s="1"/>
  <c r="H205" i="96" s="1"/>
  <c r="H206" i="96" s="1"/>
  <c r="H207" i="96" s="1"/>
  <c r="H208" i="96" s="1"/>
  <c r="H209" i="96" s="1"/>
  <c r="H210" i="96" s="1"/>
  <c r="H211" i="96" s="1"/>
  <c r="H212" i="96" s="1"/>
  <c r="H213" i="96" s="1"/>
  <c r="H214" i="96" s="1"/>
  <c r="H215" i="96" s="1"/>
  <c r="H216" i="96" s="1"/>
  <c r="H217" i="96" s="1"/>
  <c r="H218" i="96" s="1"/>
  <c r="H219" i="96" s="1"/>
  <c r="H220" i="96" s="1"/>
  <c r="H221" i="96" s="1"/>
  <c r="H222" i="96" s="1"/>
  <c r="H223" i="96" s="1"/>
  <c r="H224" i="96" s="1"/>
  <c r="H225" i="96" s="1"/>
  <c r="H226" i="96" s="1"/>
  <c r="H227" i="96" s="1"/>
  <c r="H228" i="96" s="1"/>
  <c r="H229" i="96" s="1"/>
  <c r="H230" i="96" s="1"/>
  <c r="H231" i="96" s="1"/>
  <c r="H232" i="96" s="1"/>
  <c r="H233" i="96" s="1"/>
  <c r="H234" i="96" s="1"/>
  <c r="H235" i="96" s="1"/>
  <c r="H236" i="96" s="1"/>
  <c r="H237" i="96" s="1"/>
  <c r="H238" i="96" s="1"/>
  <c r="H239" i="96" s="1"/>
  <c r="H240" i="96" s="1"/>
  <c r="H241" i="96" s="1"/>
  <c r="H242" i="96" s="1"/>
  <c r="H243" i="96" s="1"/>
  <c r="H244" i="96" s="1"/>
  <c r="H245" i="96" s="1"/>
  <c r="H246" i="96" s="1"/>
  <c r="H247" i="96" s="1"/>
  <c r="H248" i="96" s="1"/>
  <c r="H249" i="96" s="1"/>
  <c r="H250" i="96" s="1"/>
  <c r="H251" i="96" s="1"/>
  <c r="H252" i="96" s="1"/>
  <c r="H253" i="96" s="1"/>
  <c r="H254" i="96" s="1"/>
  <c r="H255" i="96" s="1"/>
  <c r="H256" i="96" s="1"/>
  <c r="H257" i="96" s="1"/>
  <c r="H258" i="96" s="1"/>
  <c r="H259" i="96" s="1"/>
  <c r="H260" i="96" s="1"/>
  <c r="H261" i="96" s="1"/>
  <c r="H262" i="96" s="1"/>
  <c r="H263" i="96" s="1"/>
  <c r="H264" i="96" s="1"/>
  <c r="H265" i="96" s="1"/>
  <c r="H266" i="96" s="1"/>
  <c r="H267" i="96" s="1"/>
  <c r="H268" i="96" s="1"/>
  <c r="H269" i="96" s="1"/>
  <c r="H270" i="96" s="1"/>
  <c r="H271" i="96" s="1"/>
  <c r="H272" i="96" s="1"/>
  <c r="H273" i="96" s="1"/>
  <c r="H274" i="96" s="1"/>
  <c r="H275" i="96" s="1"/>
  <c r="H276" i="96" s="1"/>
  <c r="H277" i="96" s="1"/>
  <c r="H278" i="96" s="1"/>
  <c r="H279" i="96" s="1"/>
  <c r="H280" i="96" s="1"/>
  <c r="H281" i="96" s="1"/>
  <c r="H282" i="96" s="1"/>
  <c r="H283" i="96" s="1"/>
  <c r="H284" i="96" s="1"/>
  <c r="H285" i="96" s="1"/>
  <c r="H286" i="96" s="1"/>
  <c r="H287" i="96" s="1"/>
  <c r="H288" i="96" s="1"/>
  <c r="H289" i="96" s="1"/>
  <c r="H290" i="96" s="1"/>
  <c r="H291" i="96" s="1"/>
  <c r="H292" i="96" s="1"/>
  <c r="H293" i="96" s="1"/>
  <c r="H294" i="96" s="1"/>
  <c r="H295" i="96" s="1"/>
  <c r="H296" i="96" s="1"/>
  <c r="H297" i="96" s="1"/>
  <c r="H298" i="96" s="1"/>
  <c r="H299" i="96" s="1"/>
  <c r="H300" i="96" s="1"/>
  <c r="H301" i="96" s="1"/>
  <c r="H302" i="96" s="1"/>
  <c r="H303" i="96" s="1"/>
  <c r="H304" i="96" s="1"/>
  <c r="H305" i="96" s="1"/>
  <c r="H306" i="96" s="1"/>
  <c r="H307" i="96" s="1"/>
  <c r="H308" i="96" s="1"/>
  <c r="H309" i="96" s="1"/>
  <c r="H310" i="96" s="1"/>
  <c r="H311" i="96" s="1"/>
  <c r="H312" i="96" s="1"/>
  <c r="H313" i="96" s="1"/>
  <c r="H314" i="96" s="1"/>
  <c r="H315" i="96" s="1"/>
  <c r="H316" i="96" s="1"/>
  <c r="H317" i="96" s="1"/>
  <c r="H318" i="96" s="1"/>
  <c r="H319" i="96" s="1"/>
  <c r="H320" i="96" s="1"/>
  <c r="H321" i="96" s="1"/>
  <c r="H322" i="96" s="1"/>
  <c r="H323" i="96" s="1"/>
  <c r="H324" i="96" s="1"/>
  <c r="H325" i="96" s="1"/>
  <c r="H326" i="96" s="1"/>
  <c r="H327" i="96" s="1"/>
  <c r="H328" i="96" s="1"/>
  <c r="H329" i="96" s="1"/>
  <c r="H330" i="96" s="1"/>
  <c r="H331" i="96" s="1"/>
  <c r="H332" i="96" s="1"/>
  <c r="H333" i="96" s="1"/>
  <c r="H334" i="96" s="1"/>
  <c r="H335" i="96" s="1"/>
  <c r="H336" i="96" s="1"/>
  <c r="H337" i="96" s="1"/>
  <c r="H338" i="96" s="1"/>
  <c r="H339" i="96" s="1"/>
  <c r="H340" i="96" s="1"/>
  <c r="H341" i="96" s="1"/>
  <c r="H342" i="96" s="1"/>
  <c r="H343" i="96" s="1"/>
  <c r="H344" i="96" s="1"/>
  <c r="H345" i="96" s="1"/>
  <c r="H346" i="96" s="1"/>
  <c r="H347" i="96" s="1"/>
  <c r="H348" i="96" s="1"/>
  <c r="H349" i="96" s="1"/>
  <c r="H350" i="96" s="1"/>
  <c r="H351" i="96" s="1"/>
  <c r="H352" i="96" s="1"/>
  <c r="H353" i="96" s="1"/>
  <c r="H354" i="96" s="1"/>
  <c r="H355" i="96" s="1"/>
  <c r="H356" i="96" s="1"/>
  <c r="H357" i="96" s="1"/>
  <c r="H358" i="96" s="1"/>
  <c r="H359" i="96" s="1"/>
  <c r="H360" i="96" s="1"/>
  <c r="H361" i="96" s="1"/>
  <c r="H362" i="96" s="1"/>
  <c r="H363" i="96" s="1"/>
  <c r="H364" i="96" s="1"/>
  <c r="H365" i="96" s="1"/>
  <c r="H366" i="96" s="1"/>
  <c r="H367" i="96" s="1"/>
  <c r="H368" i="96" s="1"/>
  <c r="H369" i="96" s="1"/>
  <c r="H370" i="96" s="1"/>
  <c r="H371" i="96" s="1"/>
  <c r="H372" i="96" s="1"/>
  <c r="H373" i="96" s="1"/>
  <c r="H374" i="96" s="1"/>
  <c r="H375" i="96" s="1"/>
  <c r="H376" i="96" s="1"/>
  <c r="H377" i="96" s="1"/>
  <c r="H378" i="96" s="1"/>
  <c r="H379" i="96" s="1"/>
  <c r="H380" i="96" s="1"/>
  <c r="H381" i="96" s="1"/>
  <c r="H382" i="96" s="1"/>
  <c r="H383" i="96" s="1"/>
  <c r="H384" i="96" s="1"/>
  <c r="H385" i="96" s="1"/>
  <c r="H386" i="96" s="1"/>
  <c r="H387" i="96" s="1"/>
  <c r="H388" i="96" s="1"/>
  <c r="H389" i="96" s="1"/>
  <c r="H390" i="96" s="1"/>
  <c r="H391" i="96" s="1"/>
  <c r="H392" i="96" s="1"/>
  <c r="H393" i="96" s="1"/>
  <c r="H394" i="96" s="1"/>
  <c r="H395" i="96" s="1"/>
  <c r="H396" i="96" s="1"/>
  <c r="H397" i="96" s="1"/>
  <c r="H398" i="96" s="1"/>
  <c r="H399" i="96" s="1"/>
  <c r="H400" i="96" s="1"/>
  <c r="H401" i="96" s="1"/>
  <c r="H402" i="96" s="1"/>
  <c r="H403" i="96" s="1"/>
  <c r="H404" i="96" s="1"/>
  <c r="H405" i="96" s="1"/>
  <c r="H406" i="96" s="1"/>
  <c r="H407" i="96" s="1"/>
  <c r="H408" i="96" s="1"/>
  <c r="H409" i="96" s="1"/>
  <c r="H410" i="96" s="1"/>
  <c r="H411" i="96" s="1"/>
  <c r="H412" i="96" s="1"/>
  <c r="H413" i="96" s="1"/>
  <c r="H414" i="96" s="1"/>
  <c r="H415" i="96" s="1"/>
  <c r="H416" i="96" s="1"/>
  <c r="H417" i="96" s="1"/>
  <c r="H418" i="96" s="1"/>
  <c r="H419" i="96" s="1"/>
  <c r="H420" i="96" s="1"/>
  <c r="H421" i="96" s="1"/>
  <c r="H422" i="96" s="1"/>
  <c r="H423" i="96" s="1"/>
  <c r="H424" i="96" s="1"/>
  <c r="H425" i="96" s="1"/>
  <c r="H426" i="96" s="1"/>
  <c r="H427" i="96" s="1"/>
  <c r="H428" i="96" s="1"/>
  <c r="H429" i="96" s="1"/>
  <c r="H430" i="96" s="1"/>
  <c r="H431" i="96" s="1"/>
  <c r="H432" i="96" s="1"/>
  <c r="H433" i="96" s="1"/>
  <c r="H434" i="96" s="1"/>
  <c r="H435" i="96" s="1"/>
  <c r="H436" i="96" s="1"/>
  <c r="H437" i="96" s="1"/>
  <c r="H438" i="96" s="1"/>
  <c r="H439" i="96" s="1"/>
  <c r="H440" i="96" s="1"/>
  <c r="H441" i="96" s="1"/>
  <c r="H442" i="96" s="1"/>
  <c r="H443" i="96" s="1"/>
  <c r="H444" i="96" s="1"/>
  <c r="H445" i="96" s="1"/>
  <c r="H446" i="96" s="1"/>
  <c r="H447" i="96" s="1"/>
  <c r="H448" i="96" s="1"/>
  <c r="H449" i="96" s="1"/>
  <c r="H450" i="96" s="1"/>
  <c r="H451" i="96" s="1"/>
  <c r="H452" i="96" s="1"/>
  <c r="H453" i="96" s="1"/>
  <c r="H454" i="96" s="1"/>
  <c r="H455" i="96" s="1"/>
  <c r="H456" i="96" s="1"/>
  <c r="H457" i="96" s="1"/>
  <c r="H458" i="96" s="1"/>
  <c r="H459" i="96" s="1"/>
  <c r="H460" i="96" s="1"/>
  <c r="H461" i="96" s="1"/>
  <c r="H462" i="96" s="1"/>
  <c r="H463" i="96" s="1"/>
  <c r="H464" i="96" s="1"/>
  <c r="H465" i="96" s="1"/>
  <c r="H466" i="96" s="1"/>
  <c r="H467" i="96" s="1"/>
  <c r="H468" i="96" s="1"/>
  <c r="H469" i="96" s="1"/>
  <c r="H470" i="96" s="1"/>
  <c r="H471" i="96" s="1"/>
  <c r="H472" i="96" s="1"/>
  <c r="H473" i="96" s="1"/>
  <c r="H474" i="96" s="1"/>
  <c r="H475" i="96" s="1"/>
  <c r="H476" i="96" s="1"/>
  <c r="H477" i="96" s="1"/>
  <c r="H478" i="96" s="1"/>
  <c r="H479" i="96" s="1"/>
  <c r="H480" i="96" s="1"/>
  <c r="H481" i="96" s="1"/>
  <c r="H482" i="96" s="1"/>
  <c r="H483" i="96" s="1"/>
  <c r="H484" i="96" s="1"/>
  <c r="H485" i="96" s="1"/>
  <c r="H486" i="96" s="1"/>
  <c r="H487" i="96" s="1"/>
  <c r="H488" i="96" s="1"/>
  <c r="H489" i="96" s="1"/>
  <c r="H490" i="96" s="1"/>
  <c r="H491" i="96" s="1"/>
  <c r="H492" i="96" s="1"/>
  <c r="H493" i="96" s="1"/>
  <c r="H494" i="96" s="1"/>
  <c r="H495" i="96" s="1"/>
  <c r="H496" i="96" s="1"/>
  <c r="H497" i="96" s="1"/>
  <c r="H498" i="96" s="1"/>
  <c r="H499" i="96" s="1"/>
  <c r="H500" i="96" s="1"/>
  <c r="H501" i="96" s="1"/>
  <c r="H502" i="96" s="1"/>
  <c r="H503" i="96" s="1"/>
  <c r="H504" i="96" s="1"/>
  <c r="H505" i="96" s="1"/>
  <c r="H506" i="96" s="1"/>
  <c r="H507" i="96" s="1"/>
  <c r="H508" i="96" s="1"/>
  <c r="H509" i="96" s="1"/>
  <c r="H510" i="96" s="1"/>
  <c r="H511" i="96" s="1"/>
  <c r="H512" i="96" s="1"/>
  <c r="H513" i="96" s="1"/>
  <c r="H514" i="96" s="1"/>
  <c r="H515" i="96" s="1"/>
  <c r="H516" i="96" s="1"/>
  <c r="H517" i="96" s="1"/>
  <c r="H518" i="96" s="1"/>
  <c r="H519" i="96" s="1"/>
  <c r="H520" i="96" s="1"/>
  <c r="H521" i="96" s="1"/>
  <c r="H522" i="96" s="1"/>
  <c r="H523" i="96" s="1"/>
  <c r="H524" i="96" s="1"/>
  <c r="H525" i="96" s="1"/>
  <c r="H526" i="96" s="1"/>
  <c r="H527" i="96" s="1"/>
  <c r="H528" i="96" s="1"/>
  <c r="H529" i="96" s="1"/>
  <c r="H530" i="96" s="1"/>
  <c r="H531" i="96" s="1"/>
  <c r="H532" i="96" s="1"/>
  <c r="H533" i="96" s="1"/>
  <c r="H534" i="96" s="1"/>
  <c r="H535" i="96" s="1"/>
  <c r="H536" i="96" s="1"/>
  <c r="H537" i="96" s="1"/>
  <c r="H538" i="96" s="1"/>
  <c r="H539" i="96" s="1"/>
  <c r="H540" i="96" s="1"/>
  <c r="H541" i="96" s="1"/>
  <c r="H542" i="96" s="1"/>
  <c r="H543" i="96" s="1"/>
  <c r="H544" i="96" s="1"/>
  <c r="H545" i="96" s="1"/>
  <c r="H546" i="96" s="1"/>
  <c r="H547" i="96" s="1"/>
  <c r="H548" i="96" s="1"/>
  <c r="H549" i="96" s="1"/>
  <c r="H550" i="96" s="1"/>
  <c r="H551" i="96" s="1"/>
  <c r="H552" i="96" s="1"/>
  <c r="H553" i="96" s="1"/>
  <c r="H554" i="96" s="1"/>
  <c r="H555" i="96" s="1"/>
  <c r="H556" i="96" s="1"/>
  <c r="H557" i="96" s="1"/>
  <c r="H558" i="96" s="1"/>
  <c r="H559" i="96" s="1"/>
  <c r="H560" i="96" s="1"/>
  <c r="H561" i="96" s="1"/>
  <c r="H562" i="96" s="1"/>
  <c r="H563" i="96" s="1"/>
  <c r="H564" i="96" s="1"/>
  <c r="H565" i="96" s="1"/>
  <c r="H566" i="96" s="1"/>
  <c r="H567" i="96" s="1"/>
  <c r="H568" i="96" s="1"/>
  <c r="H569" i="96" s="1"/>
  <c r="H570" i="96" s="1"/>
  <c r="H571" i="96" s="1"/>
  <c r="H572" i="96" s="1"/>
  <c r="H573" i="96" s="1"/>
  <c r="H574" i="96" s="1"/>
  <c r="H575" i="96" s="1"/>
  <c r="H576" i="96" s="1"/>
  <c r="H577" i="96" s="1"/>
  <c r="H578" i="96" s="1"/>
  <c r="H579" i="96" s="1"/>
  <c r="H580" i="96" s="1"/>
  <c r="H581" i="96" s="1"/>
  <c r="H582" i="96" s="1"/>
  <c r="H583" i="96" s="1"/>
  <c r="H584" i="96" s="1"/>
  <c r="H585" i="96" s="1"/>
  <c r="H586" i="96" s="1"/>
  <c r="H587" i="96" s="1"/>
  <c r="H588" i="96" s="1"/>
  <c r="H589" i="96" s="1"/>
  <c r="H590" i="96" s="1"/>
  <c r="H591" i="96" s="1"/>
  <c r="H592" i="96" s="1"/>
  <c r="H593" i="96" s="1"/>
  <c r="H594" i="96" s="1"/>
  <c r="H595" i="96" s="1"/>
  <c r="H596" i="96" s="1"/>
  <c r="H597" i="96" s="1"/>
  <c r="H598" i="96" s="1"/>
  <c r="H599" i="96" s="1"/>
  <c r="H600" i="96" s="1"/>
  <c r="H601" i="96" s="1"/>
  <c r="H602" i="96" s="1"/>
  <c r="H603" i="96" s="1"/>
  <c r="H604" i="96" s="1"/>
  <c r="H605" i="96" s="1"/>
  <c r="H606" i="96" s="1"/>
  <c r="H607" i="96" s="1"/>
  <c r="H608" i="96" s="1"/>
  <c r="H609" i="96" s="1"/>
  <c r="H610" i="96" s="1"/>
  <c r="H611" i="96" s="1"/>
  <c r="H612" i="96" s="1"/>
  <c r="H613" i="96" s="1"/>
  <c r="H614" i="96" s="1"/>
  <c r="H615" i="96" s="1"/>
  <c r="H616" i="96" s="1"/>
  <c r="H617" i="96" s="1"/>
  <c r="H618" i="96" s="1"/>
  <c r="H619" i="96" s="1"/>
  <c r="H620" i="96" s="1"/>
  <c r="H621" i="96" s="1"/>
  <c r="H622" i="96" s="1"/>
  <c r="H623" i="96" s="1"/>
  <c r="H624" i="96" s="1"/>
  <c r="H625" i="96" s="1"/>
  <c r="H626" i="96" s="1"/>
  <c r="H627" i="96" s="1"/>
  <c r="H628" i="96" s="1"/>
  <c r="H629" i="96" s="1"/>
  <c r="H630" i="96" s="1"/>
  <c r="H631" i="96" s="1"/>
  <c r="H632" i="96" s="1"/>
  <c r="H633" i="96" s="1"/>
  <c r="H634" i="96" s="1"/>
  <c r="H635" i="96" s="1"/>
  <c r="H636" i="96" s="1"/>
  <c r="H637" i="96" s="1"/>
  <c r="H638" i="96" s="1"/>
  <c r="H639" i="96" s="1"/>
  <c r="H640" i="96" s="1"/>
  <c r="H641" i="96" s="1"/>
  <c r="H642" i="96" s="1"/>
  <c r="H643" i="96" s="1"/>
  <c r="H644" i="96" s="1"/>
  <c r="H645" i="96" s="1"/>
  <c r="H646" i="96" s="1"/>
  <c r="H647" i="96" s="1"/>
  <c r="H648" i="96" s="1"/>
  <c r="H649" i="96" s="1"/>
  <c r="H650" i="96" s="1"/>
  <c r="H651" i="96" s="1"/>
  <c r="H652" i="96" s="1"/>
  <c r="H653" i="96" s="1"/>
  <c r="H654" i="96" s="1"/>
  <c r="H655" i="96" s="1"/>
  <c r="H656" i="96" s="1"/>
  <c r="H657" i="96" s="1"/>
  <c r="H658" i="96" s="1"/>
  <c r="H659" i="96" s="1"/>
  <c r="H660" i="96" s="1"/>
  <c r="H661" i="96" s="1"/>
  <c r="H662" i="96" s="1"/>
  <c r="H663" i="96" s="1"/>
  <c r="H664" i="96" s="1"/>
  <c r="H665" i="96" s="1"/>
  <c r="H666" i="96" s="1"/>
  <c r="H667" i="96" s="1"/>
  <c r="H668" i="96" s="1"/>
  <c r="H669" i="96" s="1"/>
  <c r="H670" i="96" s="1"/>
  <c r="H671" i="96" s="1"/>
  <c r="H672" i="96" s="1"/>
  <c r="H673" i="96" s="1"/>
  <c r="H674" i="96" s="1"/>
  <c r="H675" i="96" s="1"/>
  <c r="H676" i="96" s="1"/>
  <c r="H677" i="96" s="1"/>
  <c r="H678" i="96" s="1"/>
  <c r="H679" i="96" s="1"/>
  <c r="H680" i="96" s="1"/>
  <c r="H681" i="96" s="1"/>
  <c r="H682" i="96" s="1"/>
  <c r="H683" i="96" s="1"/>
  <c r="H684" i="96" s="1"/>
  <c r="H685" i="96" s="1"/>
  <c r="H686" i="96" s="1"/>
  <c r="H687" i="96" s="1"/>
  <c r="H688" i="96" s="1"/>
  <c r="H689" i="96" s="1"/>
  <c r="H690" i="96" s="1"/>
  <c r="H691" i="96" s="1"/>
  <c r="H692" i="96" s="1"/>
  <c r="H693" i="96" s="1"/>
  <c r="H694" i="96" s="1"/>
  <c r="H695" i="96" s="1"/>
  <c r="H696" i="96" s="1"/>
  <c r="H697" i="96" s="1"/>
  <c r="H698" i="96" s="1"/>
  <c r="H699" i="96" s="1"/>
  <c r="H700" i="96" s="1"/>
  <c r="H701" i="96" s="1"/>
  <c r="H702" i="96" s="1"/>
  <c r="H703" i="96" s="1"/>
  <c r="H704" i="96" s="1"/>
  <c r="H705" i="96" s="1"/>
  <c r="H706" i="96" s="1"/>
  <c r="H707" i="96" s="1"/>
  <c r="H708" i="96" s="1"/>
  <c r="H709" i="96" s="1"/>
  <c r="H710" i="96" s="1"/>
  <c r="H711" i="96" s="1"/>
  <c r="H712" i="96" s="1"/>
  <c r="H713" i="96" s="1"/>
  <c r="H714" i="96" s="1"/>
  <c r="H715" i="96" s="1"/>
  <c r="H716" i="96" s="1"/>
  <c r="H717" i="96" s="1"/>
  <c r="H718" i="96" s="1"/>
  <c r="H719" i="96" s="1"/>
  <c r="H720" i="96" s="1"/>
  <c r="H721" i="96" s="1"/>
  <c r="H722" i="96" s="1"/>
  <c r="H723" i="96" s="1"/>
  <c r="H724" i="96" s="1"/>
  <c r="H725" i="96" s="1"/>
  <c r="H726" i="96" s="1"/>
  <c r="H727" i="96" s="1"/>
  <c r="H728" i="96" s="1"/>
  <c r="H729" i="96" s="1"/>
  <c r="H730" i="96" s="1"/>
  <c r="H731" i="96" s="1"/>
  <c r="H732" i="96" s="1"/>
  <c r="H733" i="96" s="1"/>
  <c r="H734" i="96" s="1"/>
  <c r="H735" i="96" s="1"/>
  <c r="H736" i="96" s="1"/>
  <c r="H737" i="96" s="1"/>
  <c r="H738" i="96" s="1"/>
  <c r="H739" i="96" s="1"/>
  <c r="H740" i="96" s="1"/>
  <c r="H741" i="96" s="1"/>
  <c r="H742" i="96" s="1"/>
  <c r="H743" i="96" s="1"/>
  <c r="H744" i="96" s="1"/>
  <c r="H745" i="96" s="1"/>
  <c r="H746" i="96" s="1"/>
  <c r="H747" i="96" s="1"/>
  <c r="H748" i="96" s="1"/>
  <c r="H749" i="96" s="1"/>
  <c r="H750" i="96" s="1"/>
  <c r="H751" i="96" s="1"/>
  <c r="H752" i="96" s="1"/>
  <c r="H753" i="96" s="1"/>
  <c r="H754" i="96" s="1"/>
  <c r="H755" i="96" s="1"/>
  <c r="H756" i="96" s="1"/>
  <c r="H757" i="96" s="1"/>
  <c r="H758" i="96" s="1"/>
  <c r="H759" i="96" s="1"/>
  <c r="H760" i="96" s="1"/>
  <c r="H761" i="96" s="1"/>
  <c r="H762" i="96" s="1"/>
  <c r="H763" i="96" s="1"/>
  <c r="H764" i="96" s="1"/>
  <c r="H765" i="96" s="1"/>
  <c r="H766" i="96" s="1"/>
  <c r="H767" i="96" s="1"/>
  <c r="H768" i="96" s="1"/>
  <c r="H769" i="96" s="1"/>
  <c r="H770" i="96" s="1"/>
  <c r="H771" i="96" s="1"/>
  <c r="H772" i="96" s="1"/>
  <c r="H773" i="96" s="1"/>
  <c r="H774" i="96" s="1"/>
  <c r="H775" i="96" s="1"/>
  <c r="H776" i="96" s="1"/>
  <c r="H777" i="96" s="1"/>
  <c r="H778" i="96" s="1"/>
  <c r="H779" i="96" s="1"/>
  <c r="H780" i="96" s="1"/>
  <c r="H781" i="96" s="1"/>
  <c r="H782" i="96" s="1"/>
  <c r="H783" i="96" s="1"/>
  <c r="H784" i="96" s="1"/>
  <c r="H785" i="96" s="1"/>
  <c r="H786" i="96" s="1"/>
  <c r="H787" i="96" s="1"/>
  <c r="H788" i="96" s="1"/>
  <c r="H789" i="96" s="1"/>
  <c r="H790" i="96" s="1"/>
  <c r="H791" i="96" s="1"/>
  <c r="H792" i="96" s="1"/>
  <c r="H793" i="96" s="1"/>
  <c r="H794" i="96" s="1"/>
  <c r="H795" i="96" s="1"/>
  <c r="H796" i="96" s="1"/>
  <c r="H797" i="96" s="1"/>
  <c r="H798" i="96" s="1"/>
  <c r="H799" i="96" s="1"/>
  <c r="H800" i="96" s="1"/>
  <c r="H801" i="96" s="1"/>
  <c r="H802" i="96" s="1"/>
  <c r="H803" i="96" s="1"/>
  <c r="H804" i="96" s="1"/>
  <c r="H805" i="96" s="1"/>
  <c r="H806" i="96" s="1"/>
  <c r="H807" i="96" s="1"/>
  <c r="H808" i="96" s="1"/>
  <c r="H809" i="96" s="1"/>
  <c r="H810" i="96" s="1"/>
  <c r="H811" i="96" s="1"/>
  <c r="H812" i="96" s="1"/>
  <c r="H813" i="96" s="1"/>
  <c r="H814" i="96" s="1"/>
  <c r="H815" i="96" s="1"/>
  <c r="H816" i="96" s="1"/>
  <c r="H817" i="96" s="1"/>
  <c r="H818" i="96" s="1"/>
  <c r="H819" i="96" s="1"/>
  <c r="H820" i="96" s="1"/>
  <c r="H821" i="96" s="1"/>
  <c r="H822" i="96" s="1"/>
  <c r="H823" i="96" s="1"/>
  <c r="H824" i="96" s="1"/>
  <c r="H825" i="96" s="1"/>
  <c r="H826" i="96" s="1"/>
  <c r="H827" i="96" s="1"/>
  <c r="H828" i="96" s="1"/>
  <c r="H829" i="96" s="1"/>
  <c r="H830" i="96" s="1"/>
  <c r="H831" i="96" s="1"/>
  <c r="H832" i="96" s="1"/>
  <c r="H833" i="96" s="1"/>
  <c r="H834" i="96" s="1"/>
  <c r="H835" i="96" s="1"/>
  <c r="H836" i="96" s="1"/>
  <c r="H837" i="96" s="1"/>
  <c r="H838" i="96" s="1"/>
  <c r="H839" i="96" s="1"/>
  <c r="H840" i="96" s="1"/>
  <c r="H841" i="96" s="1"/>
  <c r="H842" i="96" s="1"/>
  <c r="H843" i="96" s="1"/>
  <c r="H844" i="96" s="1"/>
  <c r="H845" i="96" s="1"/>
  <c r="H846" i="96" s="1"/>
  <c r="H847" i="96" s="1"/>
  <c r="H848" i="96" s="1"/>
  <c r="H849" i="96" s="1"/>
  <c r="H850" i="96" s="1"/>
  <c r="H851" i="96" s="1"/>
  <c r="H852" i="96" s="1"/>
  <c r="H853" i="96" s="1"/>
  <c r="H854" i="96" s="1"/>
  <c r="H855" i="96" s="1"/>
  <c r="H856" i="96" s="1"/>
  <c r="H857" i="96" s="1"/>
  <c r="H858" i="96" s="1"/>
  <c r="H859" i="96" s="1"/>
  <c r="H860" i="96" s="1"/>
  <c r="H861" i="96" s="1"/>
  <c r="H862" i="96" s="1"/>
  <c r="H863" i="96" s="1"/>
  <c r="H864" i="96" s="1"/>
  <c r="H865" i="96" s="1"/>
  <c r="H866" i="96" s="1"/>
  <c r="H867" i="96" s="1"/>
  <c r="H868" i="96" s="1"/>
  <c r="H869" i="96" s="1"/>
  <c r="H870" i="96" s="1"/>
  <c r="H871" i="96" s="1"/>
  <c r="H872" i="96" s="1"/>
  <c r="H873" i="96" s="1"/>
  <c r="H874" i="96" s="1"/>
  <c r="H875" i="96" s="1"/>
  <c r="H876" i="96" s="1"/>
  <c r="H877" i="96" s="1"/>
  <c r="H878" i="96" s="1"/>
  <c r="H879" i="96" s="1"/>
  <c r="H880" i="96" s="1"/>
  <c r="H881" i="96" s="1"/>
  <c r="H882" i="96" s="1"/>
  <c r="H883" i="96" s="1"/>
  <c r="H884" i="96" s="1"/>
  <c r="H885" i="96" s="1"/>
  <c r="H886" i="96" s="1"/>
  <c r="H887" i="96" s="1"/>
  <c r="H888" i="96" s="1"/>
  <c r="H889" i="96" s="1"/>
  <c r="H890" i="96" s="1"/>
  <c r="H891" i="96" s="1"/>
  <c r="H892" i="96" s="1"/>
  <c r="H893" i="96" s="1"/>
  <c r="H894" i="96" s="1"/>
  <c r="H895" i="96" s="1"/>
  <c r="H896" i="96" s="1"/>
  <c r="H897" i="96" s="1"/>
  <c r="H898" i="96" s="1"/>
  <c r="H899" i="96" s="1"/>
  <c r="H900" i="96" s="1"/>
  <c r="H901" i="96" s="1"/>
  <c r="H902" i="96" s="1"/>
  <c r="H903" i="96" s="1"/>
  <c r="H904" i="96" s="1"/>
  <c r="H905" i="96" s="1"/>
  <c r="H906" i="96" s="1"/>
  <c r="H907" i="96" s="1"/>
  <c r="H908" i="96" s="1"/>
  <c r="H909" i="96" s="1"/>
  <c r="H910" i="96" s="1"/>
  <c r="H911" i="96" s="1"/>
  <c r="H912" i="96" s="1"/>
  <c r="H913" i="96" s="1"/>
  <c r="H914" i="96" s="1"/>
  <c r="H915" i="96" s="1"/>
  <c r="H916" i="96" s="1"/>
  <c r="H917" i="96" s="1"/>
  <c r="H918" i="96" s="1"/>
  <c r="H919" i="96" s="1"/>
  <c r="H920" i="96" s="1"/>
  <c r="H921" i="96" s="1"/>
  <c r="H922" i="96" s="1"/>
  <c r="H923" i="96" s="1"/>
  <c r="H924" i="96" s="1"/>
  <c r="H925" i="96" s="1"/>
  <c r="H926" i="96" s="1"/>
  <c r="H927" i="96" s="1"/>
  <c r="H928" i="96" s="1"/>
  <c r="H929" i="96" s="1"/>
  <c r="H930" i="96" s="1"/>
  <c r="H931" i="96" s="1"/>
  <c r="H932" i="96" s="1"/>
  <c r="H933" i="96" s="1"/>
  <c r="H934" i="96" s="1"/>
  <c r="H935" i="96" s="1"/>
  <c r="H936" i="96" s="1"/>
  <c r="H937" i="96" s="1"/>
  <c r="H938" i="96" s="1"/>
  <c r="H939" i="96" s="1"/>
  <c r="H940" i="96" s="1"/>
  <c r="H941" i="96" s="1"/>
  <c r="H942" i="96" s="1"/>
  <c r="H943" i="96" s="1"/>
  <c r="H944" i="96" s="1"/>
  <c r="H945" i="96" s="1"/>
  <c r="H946" i="96" s="1"/>
  <c r="H947" i="96" s="1"/>
  <c r="H948" i="96" s="1"/>
  <c r="H949" i="96" s="1"/>
  <c r="H950" i="96" s="1"/>
  <c r="H951" i="96" s="1"/>
  <c r="H952" i="96" s="1"/>
  <c r="H953" i="96" s="1"/>
  <c r="H954" i="96" s="1"/>
  <c r="H955" i="96" s="1"/>
  <c r="H956" i="96" s="1"/>
  <c r="H957" i="96" s="1"/>
  <c r="H958" i="96" s="1"/>
  <c r="H959" i="96" s="1"/>
  <c r="H960" i="96" s="1"/>
  <c r="H961" i="96" s="1"/>
  <c r="H962" i="96" s="1"/>
  <c r="H963" i="96" s="1"/>
  <c r="H964" i="96" s="1"/>
  <c r="H965" i="96" s="1"/>
  <c r="H966" i="96" s="1"/>
  <c r="H967" i="96" s="1"/>
  <c r="H968" i="96" s="1"/>
  <c r="H969" i="96" s="1"/>
  <c r="H970" i="96" s="1"/>
  <c r="H971" i="96" s="1"/>
  <c r="H972" i="96" s="1"/>
  <c r="H973" i="96" s="1"/>
  <c r="H974" i="96" s="1"/>
  <c r="H975" i="96" s="1"/>
  <c r="H976" i="96" s="1"/>
  <c r="H977" i="96" s="1"/>
  <c r="H978" i="96" s="1"/>
  <c r="H979" i="96" s="1"/>
  <c r="H980" i="96" s="1"/>
  <c r="H981" i="96" s="1"/>
  <c r="H982" i="96" s="1"/>
  <c r="H983" i="96" s="1"/>
  <c r="H984" i="96" s="1"/>
  <c r="H985" i="96" s="1"/>
  <c r="H986" i="96" s="1"/>
  <c r="H987" i="96" s="1"/>
  <c r="H988" i="96" s="1"/>
  <c r="H989" i="96" s="1"/>
  <c r="H990" i="96" s="1"/>
  <c r="H991" i="96" s="1"/>
  <c r="H992" i="96" s="1"/>
  <c r="H993" i="96" s="1"/>
  <c r="H994" i="96" s="1"/>
  <c r="H995" i="96" s="1"/>
  <c r="H996" i="96" s="1"/>
  <c r="H997" i="96" s="1"/>
  <c r="H998" i="96" s="1"/>
  <c r="H999" i="96" s="1"/>
  <c r="H1000" i="96" s="1"/>
  <c r="H1001" i="96" s="1"/>
  <c r="H1002" i="96" s="1"/>
  <c r="H1003" i="96" s="1"/>
  <c r="H1004" i="96" s="1"/>
  <c r="H1005" i="96" s="1"/>
  <c r="H1006" i="96" s="1"/>
  <c r="H1007" i="96" s="1"/>
  <c r="H1008" i="96" s="1"/>
  <c r="H1009" i="96" s="1"/>
  <c r="H1010" i="96" s="1"/>
  <c r="H1011" i="96" s="1"/>
  <c r="H1012" i="96" s="1"/>
  <c r="H1013" i="96" s="1"/>
  <c r="H1014" i="96" s="1"/>
  <c r="H1015" i="96" s="1"/>
  <c r="H1016" i="96" s="1"/>
  <c r="H1017" i="96" s="1"/>
  <c r="H1018" i="96" s="1"/>
  <c r="H1019" i="96" s="1"/>
  <c r="H1020" i="96" s="1"/>
  <c r="H1021" i="96" s="1"/>
  <c r="H1022" i="96" s="1"/>
  <c r="H1023" i="96" s="1"/>
  <c r="H1024" i="96" s="1"/>
  <c r="H1025" i="96" s="1"/>
  <c r="H1026" i="96" s="1"/>
  <c r="H1027" i="96" s="1"/>
  <c r="H1028" i="96" s="1"/>
  <c r="H1029" i="96" s="1"/>
  <c r="H1030" i="96" s="1"/>
  <c r="H1031" i="96" s="1"/>
  <c r="H1032" i="96" s="1"/>
  <c r="H1033" i="96" s="1"/>
  <c r="H1034" i="96" s="1"/>
  <c r="H1035" i="96" s="1"/>
  <c r="H1036" i="96" s="1"/>
  <c r="H1037" i="96" s="1"/>
  <c r="H1038" i="96" s="1"/>
  <c r="H1039" i="96" s="1"/>
  <c r="H1040" i="96" s="1"/>
  <c r="H1041" i="96" s="1"/>
  <c r="H1042" i="96" s="1"/>
  <c r="H1043" i="96" s="1"/>
  <c r="H1044" i="96" s="1"/>
  <c r="H1045" i="96" s="1"/>
  <c r="H1046" i="96" s="1"/>
  <c r="H1047" i="96" s="1"/>
  <c r="H1048" i="96" s="1"/>
  <c r="H1049" i="96" s="1"/>
  <c r="H1050" i="96" s="1"/>
  <c r="H1051" i="96" s="1"/>
  <c r="H1052" i="96" s="1"/>
  <c r="H1053" i="96" s="1"/>
  <c r="H1054" i="96" s="1"/>
  <c r="H1055" i="96" s="1"/>
  <c r="H1056" i="96" s="1"/>
  <c r="H1057" i="96" s="1"/>
  <c r="H1058" i="96" s="1"/>
  <c r="H1059" i="96" s="1"/>
  <c r="H1060" i="96" s="1"/>
  <c r="H1061" i="96" s="1"/>
  <c r="H1062" i="96" s="1"/>
  <c r="H1063" i="96" s="1"/>
  <c r="H1064" i="96" s="1"/>
  <c r="H1065" i="96" s="1"/>
  <c r="H1066" i="96" s="1"/>
  <c r="H1067" i="96" s="1"/>
  <c r="H1068" i="96" s="1"/>
  <c r="H1069" i="96" s="1"/>
  <c r="H1070" i="96" s="1"/>
  <c r="H1071" i="96" s="1"/>
  <c r="H1072" i="96" s="1"/>
  <c r="H1073" i="96" s="1"/>
  <c r="H1074" i="96" s="1"/>
  <c r="H1075" i="96" s="1"/>
  <c r="H1076" i="96" s="1"/>
  <c r="H1077" i="96" s="1"/>
  <c r="H1078" i="96" s="1"/>
  <c r="H1079" i="96" s="1"/>
  <c r="H1080" i="96" s="1"/>
  <c r="H1081" i="96" s="1"/>
  <c r="H1082" i="96" s="1"/>
  <c r="H1083" i="96" s="1"/>
  <c r="H1084" i="96" s="1"/>
  <c r="H1085" i="96" s="1"/>
  <c r="H1086" i="96" s="1"/>
  <c r="H1087" i="96" s="1"/>
  <c r="H1088" i="96" s="1"/>
  <c r="H1089" i="96" s="1"/>
  <c r="H1090" i="96" s="1"/>
  <c r="H1091" i="96" s="1"/>
  <c r="H1092" i="96" s="1"/>
  <c r="H1093" i="96" s="1"/>
  <c r="H1094" i="96" s="1"/>
  <c r="H1095" i="96" s="1"/>
  <c r="H1096" i="96" s="1"/>
  <c r="H1097" i="96" s="1"/>
  <c r="H1098" i="96" s="1"/>
  <c r="H1099" i="96" s="1"/>
  <c r="H1100" i="96" s="1"/>
  <c r="H1101" i="96" s="1"/>
  <c r="H1102" i="96" s="1"/>
  <c r="H1103" i="96" s="1"/>
  <c r="H1104" i="96" s="1"/>
  <c r="H1105" i="96" s="1"/>
  <c r="H1106" i="96" s="1"/>
  <c r="H1107" i="96" s="1"/>
  <c r="H1108" i="96" s="1"/>
  <c r="H1109" i="96" s="1"/>
  <c r="H1110" i="96" s="1"/>
  <c r="H1111" i="96" s="1"/>
  <c r="H1112" i="96" s="1"/>
  <c r="H1113" i="96" s="1"/>
  <c r="H1114" i="96" s="1"/>
  <c r="H1115" i="96" s="1"/>
  <c r="H1116" i="96" s="1"/>
  <c r="H1117" i="96" s="1"/>
  <c r="H1118" i="96" s="1"/>
  <c r="H1119" i="96" s="1"/>
  <c r="H1120" i="96" s="1"/>
  <c r="H1121" i="96" s="1"/>
  <c r="H1122" i="96" s="1"/>
  <c r="H1123" i="96" s="1"/>
  <c r="H1124" i="96" s="1"/>
  <c r="H1125" i="96" s="1"/>
  <c r="H1126" i="96" s="1"/>
  <c r="H1127" i="96" s="1"/>
  <c r="H1128" i="96" s="1"/>
  <c r="H1129" i="96" s="1"/>
  <c r="H1130" i="96" s="1"/>
  <c r="H1131" i="96" s="1"/>
  <c r="H1132" i="96" s="1"/>
  <c r="H1133" i="96" s="1"/>
  <c r="H1134" i="96" s="1"/>
  <c r="H1135" i="96" s="1"/>
  <c r="H1136" i="96" s="1"/>
  <c r="H1137" i="96" s="1"/>
  <c r="H1138" i="96" s="1"/>
  <c r="H1139" i="96" s="1"/>
  <c r="H1140" i="96" s="1"/>
  <c r="H1141" i="96" s="1"/>
  <c r="H1142" i="96" s="1"/>
  <c r="H1143" i="96" s="1"/>
  <c r="H1144" i="96" s="1"/>
  <c r="H1145" i="96" s="1"/>
  <c r="H1146" i="96" s="1"/>
  <c r="H1147" i="96" s="1"/>
  <c r="H1148" i="96" s="1"/>
  <c r="H1149" i="96" s="1"/>
  <c r="H1150" i="96" s="1"/>
  <c r="H1151" i="96" s="1"/>
  <c r="H1152" i="96" s="1"/>
  <c r="H1153" i="96" s="1"/>
  <c r="H1154" i="96" s="1"/>
  <c r="H1155" i="96" s="1"/>
  <c r="H1156" i="96" s="1"/>
  <c r="H1157" i="96" s="1"/>
  <c r="H1158" i="96" s="1"/>
  <c r="H1159" i="96" s="1"/>
  <c r="H1160" i="96" s="1"/>
  <c r="H1161" i="96" s="1"/>
  <c r="H1162" i="96" s="1"/>
  <c r="H1163" i="96" s="1"/>
  <c r="H1164" i="96" s="1"/>
  <c r="H1165" i="96" s="1"/>
  <c r="H1166" i="96" s="1"/>
  <c r="H1167" i="96" s="1"/>
  <c r="H1168" i="96" s="1"/>
  <c r="H1169" i="96" s="1"/>
  <c r="H1170" i="96" s="1"/>
  <c r="H1171" i="96" s="1"/>
  <c r="H1172" i="96" s="1"/>
  <c r="H1173" i="96" s="1"/>
  <c r="H1174" i="96" s="1"/>
  <c r="H1175" i="96" s="1"/>
  <c r="H1176" i="96" s="1"/>
  <c r="H1177" i="96" s="1"/>
  <c r="H1178" i="96" s="1"/>
  <c r="H1179" i="96" s="1"/>
  <c r="H1180" i="96" s="1"/>
  <c r="H1181" i="96" s="1"/>
  <c r="H1182" i="96" s="1"/>
  <c r="H1183" i="96" s="1"/>
  <c r="H1184" i="96" s="1"/>
  <c r="H1185" i="96" s="1"/>
  <c r="H1186" i="96" s="1"/>
  <c r="H1187" i="96" s="1"/>
  <c r="H1188" i="96" s="1"/>
  <c r="H1189" i="96" s="1"/>
  <c r="H1190" i="96" s="1"/>
  <c r="H1191" i="96" s="1"/>
  <c r="H1192" i="96" s="1"/>
  <c r="H1193" i="96" s="1"/>
  <c r="H1194" i="96" s="1"/>
  <c r="H1195" i="96" s="1"/>
  <c r="H1196" i="96" s="1"/>
  <c r="H1197" i="96" s="1"/>
  <c r="H1198" i="96" s="1"/>
  <c r="H1199" i="96" s="1"/>
  <c r="H1200" i="96" s="1"/>
  <c r="H1201" i="96" s="1"/>
  <c r="H1202" i="96" s="1"/>
  <c r="H1203" i="96" s="1"/>
  <c r="H1204" i="96" s="1"/>
  <c r="H1205" i="96" s="1"/>
  <c r="H1206" i="96" s="1"/>
  <c r="H1207" i="96" s="1"/>
  <c r="H1208" i="96" s="1"/>
  <c r="H1209" i="96" s="1"/>
  <c r="H1210" i="96" s="1"/>
  <c r="H1211" i="96" s="1"/>
  <c r="H1212" i="96" s="1"/>
  <c r="H1213" i="96" s="1"/>
  <c r="H1214" i="96" s="1"/>
  <c r="H1215" i="96" s="1"/>
  <c r="H1216" i="96" s="1"/>
  <c r="H1217" i="96" s="1"/>
  <c r="H1218" i="96" s="1"/>
  <c r="H1219" i="96" s="1"/>
  <c r="H1220" i="96" s="1"/>
  <c r="H1221" i="96" s="1"/>
  <c r="H1222" i="96" s="1"/>
  <c r="H1223" i="96" s="1"/>
  <c r="H1224" i="96" s="1"/>
  <c r="H1225" i="96" s="1"/>
  <c r="H1226" i="96" s="1"/>
  <c r="H1227" i="96" s="1"/>
  <c r="H1228" i="96" s="1"/>
  <c r="H1229" i="96" s="1"/>
  <c r="H1230" i="96" s="1"/>
  <c r="H1231" i="96" s="1"/>
  <c r="H1232" i="96" s="1"/>
  <c r="H1233" i="96" s="1"/>
  <c r="H1234" i="96" s="1"/>
  <c r="H1235" i="96" s="1"/>
  <c r="H1236" i="96" s="1"/>
  <c r="H1237" i="96" s="1"/>
  <c r="H1238" i="96" s="1"/>
  <c r="H1239" i="96" s="1"/>
  <c r="H1240" i="96" s="1"/>
  <c r="H1241" i="96" s="1"/>
  <c r="H1242" i="96" s="1"/>
  <c r="H1243" i="96" s="1"/>
  <c r="H1244" i="96" s="1"/>
  <c r="H1245" i="96" s="1"/>
  <c r="H1246" i="96" s="1"/>
  <c r="H1247" i="96" s="1"/>
  <c r="H1248" i="96" s="1"/>
  <c r="H1249" i="96" s="1"/>
  <c r="H1250" i="96" s="1"/>
  <c r="H1251" i="96" s="1"/>
  <c r="H1252" i="96" s="1"/>
  <c r="H1253" i="96" s="1"/>
  <c r="H1254" i="96" s="1"/>
  <c r="H1255" i="96" s="1"/>
  <c r="H1256" i="96" s="1"/>
  <c r="H1257" i="96" s="1"/>
  <c r="H1258" i="96" s="1"/>
  <c r="H1259" i="96" s="1"/>
  <c r="H1260" i="96" s="1"/>
  <c r="H1261" i="96" s="1"/>
  <c r="H1262" i="96" s="1"/>
  <c r="H1263" i="96" s="1"/>
  <c r="H1264" i="96" s="1"/>
  <c r="H1265" i="96" s="1"/>
  <c r="H1266" i="96" s="1"/>
  <c r="H1267" i="96" s="1"/>
  <c r="H1268" i="96" s="1"/>
  <c r="H1269" i="96" s="1"/>
  <c r="H1270" i="96" s="1"/>
  <c r="H1271" i="96" s="1"/>
  <c r="H1272" i="96" s="1"/>
  <c r="H1273" i="96" s="1"/>
  <c r="H1274" i="96" s="1"/>
  <c r="H1275" i="96" s="1"/>
  <c r="H1276" i="96" s="1"/>
  <c r="H1277" i="96" s="1"/>
  <c r="H1278" i="96" s="1"/>
  <c r="H1279" i="96" s="1"/>
  <c r="H1280" i="96" s="1"/>
  <c r="H1281" i="96" s="1"/>
  <c r="H1282" i="96" s="1"/>
  <c r="H1283" i="96" s="1"/>
  <c r="H1284" i="96" s="1"/>
  <c r="H1285" i="96" s="1"/>
  <c r="H1286" i="96" s="1"/>
  <c r="H1287" i="96" s="1"/>
  <c r="H1288" i="96" s="1"/>
  <c r="H1289" i="96" s="1"/>
  <c r="H1290" i="96" s="1"/>
  <c r="H1291" i="96" s="1"/>
  <c r="H1292" i="96" s="1"/>
  <c r="H1293" i="96" s="1"/>
  <c r="H1294" i="96" s="1"/>
  <c r="H1295" i="96" s="1"/>
  <c r="H1296" i="96" s="1"/>
  <c r="H1297" i="96" s="1"/>
  <c r="H1298" i="96" s="1"/>
  <c r="H1299" i="96" s="1"/>
  <c r="H1300" i="96" s="1"/>
  <c r="H1301" i="96" s="1"/>
  <c r="H1302" i="96" s="1"/>
  <c r="H1303" i="96" s="1"/>
  <c r="H1304" i="96" s="1"/>
  <c r="H1305" i="96" s="1"/>
  <c r="H1306" i="96" s="1"/>
  <c r="H1307" i="96" s="1"/>
  <c r="H1308" i="96" s="1"/>
  <c r="H1309" i="96" s="1"/>
  <c r="H1310" i="96" s="1"/>
  <c r="H1311" i="96" s="1"/>
  <c r="H1312" i="96" s="1"/>
  <c r="H1313" i="96" s="1"/>
  <c r="H1314" i="96" s="1"/>
  <c r="H1315" i="96" s="1"/>
  <c r="H1316" i="96" s="1"/>
  <c r="H1317" i="96" s="1"/>
  <c r="H1318" i="96" s="1"/>
  <c r="H1319" i="96" s="1"/>
  <c r="H1320" i="96" s="1"/>
  <c r="H1321" i="96" s="1"/>
  <c r="H1322" i="96" s="1"/>
  <c r="H1323" i="96" s="1"/>
  <c r="H1324" i="96" s="1"/>
  <c r="H1325" i="96" s="1"/>
  <c r="H1326" i="96" s="1"/>
  <c r="H1327" i="96" s="1"/>
  <c r="H1328" i="96" s="1"/>
  <c r="H1329" i="96" s="1"/>
  <c r="H1330" i="96" s="1"/>
  <c r="H1331" i="96" s="1"/>
  <c r="H1332" i="96" s="1"/>
  <c r="H1333" i="96" s="1"/>
  <c r="H1334" i="96" s="1"/>
  <c r="H1335" i="96" s="1"/>
  <c r="H1336" i="96" s="1"/>
  <c r="H1337" i="96" s="1"/>
  <c r="H1338" i="96" s="1"/>
  <c r="H1339" i="96" s="1"/>
  <c r="H1340" i="96" s="1"/>
  <c r="H1341" i="96" s="1"/>
  <c r="H1342" i="96" s="1"/>
  <c r="H1343" i="96" s="1"/>
  <c r="H1344" i="96" s="1"/>
  <c r="H1345" i="96" s="1"/>
  <c r="H1346" i="96" s="1"/>
  <c r="H1347" i="96" s="1"/>
  <c r="H1348" i="96" s="1"/>
  <c r="H1349" i="96" s="1"/>
  <c r="H1350" i="96" s="1"/>
  <c r="H1351" i="96" s="1"/>
  <c r="H1352" i="96" s="1"/>
  <c r="H1353" i="96" s="1"/>
  <c r="H1354" i="96" s="1"/>
  <c r="H1355" i="96" s="1"/>
  <c r="H1356" i="96" s="1"/>
  <c r="H1357" i="96" s="1"/>
  <c r="H1358" i="96" s="1"/>
  <c r="H1359" i="96" s="1"/>
  <c r="H1360" i="96" s="1"/>
  <c r="H1361" i="96" s="1"/>
  <c r="H1362" i="96" s="1"/>
  <c r="H1363" i="96" s="1"/>
  <c r="H1364" i="96" s="1"/>
  <c r="H1365" i="96" s="1"/>
  <c r="H1366" i="96" s="1"/>
  <c r="H1367" i="96" s="1"/>
  <c r="H1368" i="96" s="1"/>
  <c r="H1369" i="96" s="1"/>
  <c r="H1370" i="96" s="1"/>
  <c r="H1371" i="96" s="1"/>
  <c r="H1372" i="96" s="1"/>
  <c r="H1373" i="96" s="1"/>
  <c r="H1374" i="96" s="1"/>
  <c r="H1375" i="96" s="1"/>
  <c r="H1376" i="96" s="1"/>
  <c r="H1377" i="96" s="1"/>
  <c r="H1378" i="96" s="1"/>
  <c r="H1379" i="96" s="1"/>
  <c r="H1380" i="96" s="1"/>
  <c r="H1381" i="96" s="1"/>
  <c r="H1382" i="96" s="1"/>
  <c r="H1383" i="96" s="1"/>
  <c r="H1384" i="96" s="1"/>
  <c r="H1385" i="96" s="1"/>
  <c r="H1386" i="96" s="1"/>
  <c r="H1387" i="96" s="1"/>
  <c r="H1388" i="96" s="1"/>
  <c r="H1389" i="96" s="1"/>
  <c r="H1390" i="96" s="1"/>
  <c r="H1391" i="96" s="1"/>
  <c r="H1392" i="96" s="1"/>
  <c r="H1393" i="96" s="1"/>
  <c r="H1394" i="96" s="1"/>
  <c r="H1395" i="96" s="1"/>
  <c r="H1396" i="96" s="1"/>
  <c r="H1397" i="96" s="1"/>
  <c r="H1398" i="96" s="1"/>
  <c r="H1399" i="96" s="1"/>
  <c r="H1400" i="96" s="1"/>
  <c r="H1401" i="96" s="1"/>
  <c r="H1402" i="96" s="1"/>
  <c r="H1403" i="96" s="1"/>
  <c r="H1404" i="96" s="1"/>
  <c r="H1405" i="96" s="1"/>
  <c r="H1406" i="96" s="1"/>
  <c r="H1407" i="96" s="1"/>
  <c r="H1408" i="96" s="1"/>
  <c r="H1409" i="96" s="1"/>
  <c r="H1410" i="96" s="1"/>
  <c r="H1411" i="96" s="1"/>
  <c r="H1412" i="96" s="1"/>
  <c r="H1413" i="96" s="1"/>
  <c r="H1414" i="96" s="1"/>
  <c r="H1415" i="96" s="1"/>
  <c r="H1416" i="96" s="1"/>
  <c r="H1417" i="96" s="1"/>
  <c r="H1418" i="96" s="1"/>
  <c r="H1419" i="96" s="1"/>
  <c r="H1420" i="96" s="1"/>
  <c r="H1421" i="96" s="1"/>
  <c r="H1422" i="96" s="1"/>
  <c r="H1423" i="96" s="1"/>
  <c r="H1424" i="96" s="1"/>
  <c r="H1425" i="96" s="1"/>
  <c r="H1426" i="96" s="1"/>
  <c r="H1427" i="96" s="1"/>
  <c r="H1428" i="96" s="1"/>
  <c r="H1429" i="96" s="1"/>
  <c r="H1430" i="96" s="1"/>
  <c r="H1431" i="96" s="1"/>
  <c r="H1432" i="96" s="1"/>
  <c r="H1433" i="96" s="1"/>
  <c r="H1434" i="96" s="1"/>
  <c r="H1435" i="96" s="1"/>
  <c r="H1436" i="96" s="1"/>
  <c r="H1437" i="96" s="1"/>
  <c r="H1438" i="96" s="1"/>
  <c r="H1439" i="96" s="1"/>
  <c r="H1440" i="96" s="1"/>
  <c r="H1441" i="96" s="1"/>
  <c r="H1442" i="96" s="1"/>
  <c r="H1443" i="96" s="1"/>
  <c r="H1444" i="96" s="1"/>
  <c r="H1445" i="96" s="1"/>
  <c r="H1446" i="96" s="1"/>
  <c r="H1447" i="96" s="1"/>
  <c r="H1448" i="96" s="1"/>
  <c r="H1449" i="96" s="1"/>
  <c r="H1450" i="96" s="1"/>
  <c r="H1451" i="96" s="1"/>
  <c r="H1452" i="96" s="1"/>
  <c r="H1453" i="96" s="1"/>
  <c r="H1454" i="96" s="1"/>
  <c r="H1455" i="96" s="1"/>
  <c r="H1456" i="96" s="1"/>
  <c r="H1457" i="96" s="1"/>
  <c r="H1458" i="96" s="1"/>
  <c r="H1459" i="96" s="1"/>
  <c r="H1460" i="96" s="1"/>
  <c r="H1461" i="96" s="1"/>
  <c r="H1462" i="96" s="1"/>
  <c r="H1463" i="96" s="1"/>
  <c r="H1464" i="96" s="1"/>
  <c r="H1465" i="96" s="1"/>
  <c r="H1466" i="96" s="1"/>
  <c r="H1467" i="96" s="1"/>
  <c r="H1468" i="96" s="1"/>
  <c r="H1469" i="96" s="1"/>
  <c r="H1470" i="96" s="1"/>
  <c r="H1471" i="96" s="1"/>
  <c r="H1472" i="96" s="1"/>
  <c r="H1473" i="96" s="1"/>
  <c r="H1474" i="96" s="1"/>
  <c r="H1475" i="96" s="1"/>
  <c r="H1476" i="96" s="1"/>
  <c r="H1477" i="96" s="1"/>
  <c r="H1478" i="96" s="1"/>
  <c r="H1479" i="96" s="1"/>
  <c r="H1480" i="96" s="1"/>
  <c r="H1481" i="96" s="1"/>
  <c r="H1482" i="96" s="1"/>
  <c r="H1483" i="96" s="1"/>
  <c r="H1484" i="96" s="1"/>
  <c r="H1485" i="96" s="1"/>
  <c r="H1486" i="96" s="1"/>
  <c r="H1487" i="96" s="1"/>
  <c r="F1" i="96"/>
  <c r="B1636" i="96" l="1"/>
  <c r="H1636" i="96" s="1"/>
  <c r="H1488" i="96"/>
  <c r="H1489" i="96" s="1"/>
  <c r="H1490" i="96" s="1"/>
  <c r="H1491" i="96" s="1"/>
  <c r="H1555" i="96" l="1"/>
  <c r="H1556" i="96" s="1"/>
  <c r="H1557" i="96" s="1"/>
  <c r="H1558" i="96" s="1"/>
  <c r="H1559" i="96" s="1"/>
  <c r="H1560" i="96" s="1"/>
  <c r="H1561" i="96" s="1"/>
  <c r="H1562" i="96" s="1"/>
  <c r="H1563" i="96" s="1"/>
  <c r="H1564" i="96" s="1"/>
  <c r="H1565" i="96" s="1"/>
  <c r="H1566" i="96" s="1"/>
  <c r="H1567" i="96" s="1"/>
  <c r="H1568" i="96" s="1"/>
  <c r="H1569" i="96" s="1"/>
  <c r="H1570" i="96" s="1"/>
  <c r="H1571" i="96" s="1"/>
  <c r="H1572" i="96" s="1"/>
  <c r="H1573" i="96" s="1"/>
  <c r="H1574" i="96" s="1"/>
  <c r="H1575" i="96" s="1"/>
  <c r="H1576" i="96" s="1"/>
  <c r="H1577" i="96" s="1"/>
  <c r="H1578" i="96" s="1"/>
  <c r="H1579" i="96" s="1"/>
  <c r="H1580" i="96" s="1"/>
  <c r="H1581" i="96" s="1"/>
  <c r="H1582" i="96" s="1"/>
  <c r="H1583" i="96" s="1"/>
  <c r="H1584" i="96" s="1"/>
  <c r="H1585" i="96" s="1"/>
  <c r="H1586" i="96" s="1"/>
  <c r="H1587" i="96" s="1"/>
  <c r="H1588" i="96" s="1"/>
  <c r="H1589" i="96" s="1"/>
  <c r="H1590" i="96" s="1"/>
  <c r="H1591" i="96" s="1"/>
  <c r="H1592" i="96" s="1"/>
  <c r="H1593" i="96" s="1"/>
  <c r="H1594" i="96" s="1"/>
  <c r="H1595" i="96" s="1"/>
  <c r="H1596" i="96" s="1"/>
  <c r="H1597" i="96" s="1"/>
  <c r="H1598" i="96" s="1"/>
  <c r="H1599" i="96" s="1"/>
  <c r="H1600" i="96" s="1"/>
  <c r="H1601" i="96" s="1"/>
  <c r="H1602" i="96" s="1"/>
  <c r="H1603" i="96" s="1"/>
  <c r="H1604" i="96" s="1"/>
  <c r="H1605" i="96" s="1"/>
  <c r="H1606" i="96" s="1"/>
  <c r="H1607" i="96" s="1"/>
  <c r="H1608" i="96" s="1"/>
  <c r="H1609" i="96" s="1"/>
  <c r="H1610" i="96" s="1"/>
  <c r="H1611" i="96" s="1"/>
  <c r="H1612" i="96" s="1"/>
  <c r="H1613" i="96" s="1"/>
  <c r="H1614" i="96" s="1"/>
  <c r="H1615" i="96" s="1"/>
  <c r="H1616" i="96" s="1"/>
  <c r="H1617" i="96" s="1"/>
  <c r="H1618" i="96" s="1"/>
  <c r="H1619" i="96" s="1"/>
  <c r="H1620" i="96" s="1"/>
  <c r="H1621" i="96" s="1"/>
  <c r="H1622" i="96" s="1"/>
  <c r="H1623" i="96" s="1"/>
  <c r="H1624" i="96" s="1"/>
  <c r="H1625" i="96" s="1"/>
  <c r="H1626" i="96" s="1"/>
  <c r="H1627" i="96" s="1"/>
  <c r="H1628" i="96" s="1"/>
  <c r="H1629" i="96" s="1"/>
  <c r="H1630" i="96" s="1"/>
  <c r="H1631" i="96" s="1"/>
  <c r="H1632" i="96" s="1"/>
  <c r="H1633" i="96" s="1"/>
  <c r="K20" i="95" l="1"/>
  <c r="K21" i="95"/>
  <c r="K24" i="95" s="1"/>
  <c r="K140" i="95"/>
  <c r="K138" i="95" s="1"/>
  <c r="A149" i="95"/>
  <c r="I22" i="95"/>
  <c r="G3" i="95"/>
  <c r="E21" i="95"/>
  <c r="E19" i="95" s="1"/>
  <c r="E51" i="95"/>
  <c r="K51" i="95"/>
  <c r="K80" i="95"/>
  <c r="E80" i="95"/>
  <c r="H139" i="95"/>
  <c r="G139" i="95"/>
  <c r="K116" i="95"/>
  <c r="E116" i="95"/>
  <c r="H112" i="95"/>
  <c r="B112" i="95"/>
  <c r="K111" i="95"/>
  <c r="E111" i="95"/>
  <c r="G112" i="95"/>
  <c r="A112" i="95"/>
  <c r="A114" i="95" s="1"/>
  <c r="A116" i="95" s="1"/>
  <c r="C115" i="95" s="1"/>
  <c r="C117" i="95" s="1"/>
  <c r="K85" i="95"/>
  <c r="E85" i="95"/>
  <c r="H81" i="95"/>
  <c r="G81" i="95"/>
  <c r="B81" i="95"/>
  <c r="A81" i="95"/>
  <c r="K56" i="95"/>
  <c r="E56" i="95"/>
  <c r="B52" i="95"/>
  <c r="A52" i="95"/>
  <c r="H52" i="95"/>
  <c r="G52" i="95"/>
  <c r="H20" i="95"/>
  <c r="G20" i="95"/>
  <c r="B20" i="95"/>
  <c r="A20" i="95"/>
  <c r="A91" i="94"/>
  <c r="A108" i="94" s="1"/>
  <c r="E112" i="94"/>
  <c r="B108" i="94"/>
  <c r="E107" i="94"/>
  <c r="K139" i="94"/>
  <c r="H135" i="94"/>
  <c r="K134" i="94"/>
  <c r="G135" i="94"/>
  <c r="G91" i="94"/>
  <c r="G108" i="94" s="1"/>
  <c r="K112" i="94"/>
  <c r="H108" i="94"/>
  <c r="K107" i="94"/>
  <c r="K76" i="94"/>
  <c r="K81" i="94"/>
  <c r="H77" i="94"/>
  <c r="G77" i="94"/>
  <c r="G31" i="94"/>
  <c r="G48" i="94" s="1"/>
  <c r="H33" i="94"/>
  <c r="H48" i="94" s="1"/>
  <c r="K52" i="94"/>
  <c r="K24" i="94"/>
  <c r="H20" i="94"/>
  <c r="G20" i="94"/>
  <c r="G83" i="95" l="1"/>
  <c r="G85" i="95" s="1"/>
  <c r="I84" i="95" s="1"/>
  <c r="I86" i="95" s="1"/>
  <c r="E24" i="95"/>
  <c r="K19" i="95"/>
  <c r="A22" i="95"/>
  <c r="A24" i="95" s="1"/>
  <c r="C23" i="95" s="1"/>
  <c r="C25" i="95" s="1"/>
  <c r="G114" i="95"/>
  <c r="G116" i="95" s="1"/>
  <c r="I115" i="95" s="1"/>
  <c r="I117" i="95" s="1"/>
  <c r="K143" i="95"/>
  <c r="G141" i="95"/>
  <c r="G143" i="95" s="1"/>
  <c r="I142" i="95" s="1"/>
  <c r="I144" i="95" s="1"/>
  <c r="A83" i="95"/>
  <c r="A85" i="95" s="1"/>
  <c r="C84" i="95" s="1"/>
  <c r="C86" i="95" s="1"/>
  <c r="G54" i="95"/>
  <c r="G56" i="95" s="1"/>
  <c r="A54" i="95"/>
  <c r="A56" i="95" s="1"/>
  <c r="C55" i="95" s="1"/>
  <c r="C57" i="95" s="1"/>
  <c r="G22" i="95"/>
  <c r="G24" i="95" s="1"/>
  <c r="I23" i="95" s="1"/>
  <c r="I25" i="95" s="1"/>
  <c r="A110" i="94"/>
  <c r="A112" i="94" s="1"/>
  <c r="C111" i="94" s="1"/>
  <c r="C113" i="94" s="1"/>
  <c r="G137" i="94"/>
  <c r="G139" i="94" s="1"/>
  <c r="I138" i="94" s="1"/>
  <c r="I140" i="94" s="1"/>
  <c r="G110" i="94"/>
  <c r="G112" i="94" s="1"/>
  <c r="I111" i="94" s="1"/>
  <c r="I113" i="94" s="1"/>
  <c r="G79" i="94"/>
  <c r="G81" i="94" s="1"/>
  <c r="I80" i="94" s="1"/>
  <c r="I82" i="94" s="1"/>
  <c r="G50" i="94"/>
  <c r="G52" i="94" s="1"/>
  <c r="I51" i="94" s="1"/>
  <c r="I53" i="94" s="1"/>
  <c r="G22" i="94"/>
  <c r="G24" i="94" s="1"/>
  <c r="I23" i="94" s="1"/>
  <c r="I25" i="94" s="1"/>
  <c r="I55" i="95" l="1"/>
  <c r="I57" i="95" s="1"/>
  <c r="C79" i="94"/>
  <c r="A77" i="94"/>
  <c r="E81" i="94"/>
  <c r="B77" i="94"/>
  <c r="A79" i="94" l="1"/>
  <c r="A81" i="94" s="1"/>
  <c r="C80" i="94" s="1"/>
  <c r="C82" i="94" s="1"/>
  <c r="E47" i="94" l="1"/>
  <c r="C50" i="94"/>
  <c r="E52" i="94"/>
  <c r="B48" i="94"/>
  <c r="A48" i="94"/>
  <c r="C22" i="94"/>
  <c r="E24" i="94"/>
  <c r="A20" i="94"/>
  <c r="B20" i="94"/>
  <c r="B205" i="88"/>
  <c r="B217" i="88" s="1"/>
  <c r="A205" i="88"/>
  <c r="A217" i="88" s="1"/>
  <c r="E217" i="88"/>
  <c r="E221" i="88"/>
  <c r="A184" i="88"/>
  <c r="A196" i="88" s="1"/>
  <c r="E200" i="88"/>
  <c r="E195" i="88" s="1"/>
  <c r="B196" i="88"/>
  <c r="E175" i="88"/>
  <c r="C177" i="88"/>
  <c r="A163" i="88"/>
  <c r="A175" i="88" s="1"/>
  <c r="E179" i="88"/>
  <c r="B175" i="88"/>
  <c r="E153" i="88"/>
  <c r="C155" i="88"/>
  <c r="E157" i="88"/>
  <c r="E152" i="88" s="1"/>
  <c r="B153" i="88"/>
  <c r="A153" i="88"/>
  <c r="E67" i="88"/>
  <c r="A120" i="88"/>
  <c r="A132" i="88" s="1"/>
  <c r="E136" i="88"/>
  <c r="E131" i="88" s="1"/>
  <c r="B132" i="88"/>
  <c r="A22" i="94" l="1"/>
  <c r="A24" i="94" s="1"/>
  <c r="C23" i="94" s="1"/>
  <c r="C25" i="94" s="1"/>
  <c r="A50" i="94"/>
  <c r="A52" i="94" s="1"/>
  <c r="C51" i="94" s="1"/>
  <c r="C53" i="94" s="1"/>
  <c r="E216" i="88"/>
  <c r="A219" i="88"/>
  <c r="A221" i="88" s="1"/>
  <c r="C220" i="88" s="1"/>
  <c r="C222" i="88" s="1"/>
  <c r="A198" i="88"/>
  <c r="A200" i="88" s="1"/>
  <c r="C199" i="88" s="1"/>
  <c r="C201" i="88" s="1"/>
  <c r="E174" i="88"/>
  <c r="A177" i="88"/>
  <c r="A179" i="88" s="1"/>
  <c r="C178" i="88" s="1"/>
  <c r="C180" i="88" s="1"/>
  <c r="A155" i="88"/>
  <c r="A157" i="88" s="1"/>
  <c r="C156" i="88" s="1"/>
  <c r="C158" i="88" s="1"/>
  <c r="A134" i="88"/>
  <c r="A136" i="88" s="1"/>
  <c r="C135" i="88" s="1"/>
  <c r="C137" i="88" s="1"/>
  <c r="E112" i="88" l="1"/>
  <c r="E115" i="88" s="1"/>
  <c r="A99" i="88"/>
  <c r="A111" i="88" s="1"/>
  <c r="E111" i="88"/>
  <c r="C113" i="88"/>
  <c r="B111" i="88"/>
  <c r="H2171" i="91" l="1"/>
  <c r="H2172" i="91" s="1"/>
  <c r="H2173" i="91" s="1"/>
  <c r="H2174" i="91" s="1"/>
  <c r="H2175" i="91" s="1"/>
  <c r="H2176" i="91" s="1"/>
  <c r="H2177" i="91" s="1"/>
  <c r="H2178" i="91" s="1"/>
  <c r="H2179" i="91" s="1"/>
  <c r="H2180" i="91" s="1"/>
  <c r="H2181" i="91" s="1"/>
  <c r="H2182" i="91" s="1"/>
  <c r="H2183" i="91" s="1"/>
  <c r="H2184" i="91" s="1"/>
  <c r="H2185" i="91" s="1"/>
  <c r="H2186" i="91" s="1"/>
  <c r="H2187" i="91" s="1"/>
  <c r="H2188" i="91" s="1"/>
  <c r="H2189" i="91" s="1"/>
  <c r="H2190" i="91" s="1"/>
  <c r="H2191" i="91" s="1"/>
  <c r="H2192" i="91" s="1"/>
  <c r="H2193" i="91" s="1"/>
  <c r="H2194" i="91" s="1"/>
  <c r="H2195" i="91" s="1"/>
  <c r="H2196" i="91" s="1"/>
  <c r="H2197" i="91" s="1"/>
  <c r="H2198" i="91" s="1"/>
  <c r="H2199" i="91" s="1"/>
  <c r="H2200" i="91" s="1"/>
  <c r="H2201" i="91" s="1"/>
  <c r="H2202" i="91" s="1"/>
  <c r="H2203" i="91" s="1"/>
  <c r="H2204" i="91" s="1"/>
  <c r="H2205" i="91" s="1"/>
  <c r="H2206" i="91" s="1"/>
  <c r="H2207" i="91" s="1"/>
  <c r="H2208" i="91" s="1"/>
  <c r="H2209" i="91" s="1"/>
  <c r="H2210" i="91" s="1"/>
  <c r="H2211" i="91" s="1"/>
  <c r="H2212" i="91" s="1"/>
  <c r="H2213" i="91" s="1"/>
  <c r="H2214" i="91" s="1"/>
  <c r="H2215" i="91" s="1"/>
  <c r="H2216" i="91" s="1"/>
  <c r="H2217" i="91" s="1"/>
  <c r="H2218" i="91" s="1"/>
  <c r="H2219" i="91" s="1"/>
  <c r="H2220" i="91" s="1"/>
  <c r="H2221" i="91" s="1"/>
  <c r="H2222" i="91" s="1"/>
  <c r="H2223" i="91" s="1"/>
  <c r="H2224" i="91" s="1"/>
  <c r="H2225" i="91" s="1"/>
  <c r="H2226" i="91" s="1"/>
  <c r="H2227" i="91" s="1"/>
  <c r="H2228" i="91" s="1"/>
  <c r="H2229" i="91" s="1"/>
  <c r="H2230" i="91" s="1"/>
  <c r="H2231" i="91" s="1"/>
  <c r="H2232" i="91" s="1"/>
  <c r="H2233" i="91" s="1"/>
  <c r="H2234" i="91" s="1"/>
  <c r="H2235" i="91" s="1"/>
  <c r="H2236" i="91" s="1"/>
  <c r="H2237" i="91" s="1"/>
  <c r="H2238" i="91" s="1"/>
  <c r="H2239" i="91" s="1"/>
  <c r="H2240" i="91" s="1"/>
  <c r="H2241" i="91" s="1"/>
  <c r="H2242" i="91" s="1"/>
  <c r="H2243" i="91" s="1"/>
  <c r="H2244" i="91" s="1"/>
  <c r="H2245" i="91" s="1"/>
  <c r="H2246" i="91" s="1"/>
  <c r="H2247" i="91" s="1"/>
  <c r="H2248" i="91" s="1"/>
  <c r="H2249" i="91" s="1"/>
  <c r="H2250" i="91" s="1"/>
  <c r="H2251" i="91" s="1"/>
  <c r="H2252" i="91" s="1"/>
  <c r="H2253" i="91" s="1"/>
  <c r="H2254" i="91" s="1"/>
  <c r="H2255" i="91" s="1"/>
  <c r="H2256" i="91" s="1"/>
  <c r="H2257" i="91" s="1"/>
  <c r="H2258" i="91" s="1"/>
  <c r="H2259" i="91" s="1"/>
  <c r="H2260" i="91" s="1"/>
  <c r="H2261" i="91" s="1"/>
  <c r="H2262" i="91" s="1"/>
  <c r="H2263" i="91" s="1"/>
  <c r="H2264" i="91" s="1"/>
  <c r="H2265" i="91" s="1"/>
  <c r="H2266" i="91" s="1"/>
  <c r="H2267" i="91" s="1"/>
  <c r="H2268" i="91" s="1"/>
  <c r="H2269" i="91" s="1"/>
  <c r="H2270" i="91" s="1"/>
  <c r="H2271" i="91" s="1"/>
  <c r="H2272" i="91" s="1"/>
  <c r="H2273" i="91" s="1"/>
  <c r="H2274" i="91" s="1"/>
  <c r="H2275" i="91" s="1"/>
  <c r="H2276" i="91" s="1"/>
  <c r="H2277" i="91" s="1"/>
  <c r="H2278" i="91" s="1"/>
  <c r="H2279" i="91" s="1"/>
  <c r="H2280" i="91" s="1"/>
  <c r="H2281" i="91" s="1"/>
  <c r="H2282" i="91" s="1"/>
  <c r="H2283" i="91" s="1"/>
  <c r="H2284" i="91" s="1"/>
  <c r="H2285" i="91" s="1"/>
  <c r="H2286" i="91" s="1"/>
  <c r="H2287" i="91" s="1"/>
  <c r="H2288" i="91" s="1"/>
  <c r="H2289" i="91" s="1"/>
  <c r="H2290" i="91" s="1"/>
  <c r="H2291" i="91" s="1"/>
  <c r="H2292" i="91" s="1"/>
  <c r="H2293" i="91" s="1"/>
  <c r="H2294" i="91" s="1"/>
  <c r="H2295" i="91" s="1"/>
  <c r="H2296" i="91" s="1"/>
  <c r="H2297" i="91" s="1"/>
  <c r="H2298" i="91" s="1"/>
  <c r="H2299" i="91" s="1"/>
  <c r="H2300" i="91" s="1"/>
  <c r="H2301" i="91" s="1"/>
  <c r="H2302" i="91" s="1"/>
  <c r="H2303" i="91" s="1"/>
  <c r="H2304" i="91" s="1"/>
  <c r="H2305" i="91" s="1"/>
  <c r="H2306" i="91" s="1"/>
  <c r="H2307" i="91" s="1"/>
  <c r="H2308" i="91" s="1"/>
  <c r="H2309" i="91" s="1"/>
  <c r="H2310" i="91" s="1"/>
  <c r="H2311" i="91" s="1"/>
  <c r="H2312" i="91" s="1"/>
  <c r="H2313" i="91" s="1"/>
  <c r="H2314" i="91" s="1"/>
  <c r="H2315" i="91" s="1"/>
  <c r="H2316" i="91" s="1"/>
  <c r="H2317" i="91" s="1"/>
  <c r="H2318" i="91" s="1"/>
  <c r="H2319" i="91" s="1"/>
  <c r="H2320" i="91" s="1"/>
  <c r="H2321" i="91" s="1"/>
  <c r="H2322" i="91" s="1"/>
  <c r="H2323" i="91" s="1"/>
  <c r="H2324" i="91" s="1"/>
  <c r="H2325" i="91" s="1"/>
  <c r="H2326" i="91" s="1"/>
  <c r="H2327" i="91" s="1"/>
  <c r="H2328" i="91" s="1"/>
  <c r="H2329" i="91" s="1"/>
  <c r="H2330" i="91" s="1"/>
  <c r="H2331" i="91" s="1"/>
  <c r="H2332" i="91" s="1"/>
  <c r="H2333" i="91" s="1"/>
  <c r="H2334" i="91" s="1"/>
  <c r="H2335" i="91" s="1"/>
  <c r="H2336" i="91" s="1"/>
  <c r="H2337" i="91" s="1"/>
  <c r="H2338" i="91" s="1"/>
  <c r="H2339" i="91" s="1"/>
  <c r="H2340" i="91" s="1"/>
  <c r="H2341" i="91" s="1"/>
  <c r="H2342" i="91" s="1"/>
  <c r="H2343" i="91" s="1"/>
  <c r="H2344" i="91" s="1"/>
  <c r="H2345" i="91" s="1"/>
  <c r="H2346" i="91" s="1"/>
  <c r="H2347" i="91" s="1"/>
  <c r="H2348" i="91" s="1"/>
  <c r="H2349" i="91" s="1"/>
  <c r="H2350" i="91" s="1"/>
  <c r="H2351" i="91" s="1"/>
  <c r="H2352" i="91" s="1"/>
  <c r="H2353" i="91" s="1"/>
  <c r="H2354" i="91" s="1"/>
  <c r="H2355" i="91" s="1"/>
  <c r="H2356" i="91" s="1"/>
  <c r="H2357" i="91" s="1"/>
  <c r="H2358" i="91" s="1"/>
  <c r="H2359" i="91" s="1"/>
  <c r="H2360" i="91" s="1"/>
  <c r="H2361" i="91" s="1"/>
  <c r="H2362" i="91" s="1"/>
  <c r="H2363" i="91" s="1"/>
  <c r="H2364" i="91" s="1"/>
  <c r="H2365" i="91" s="1"/>
  <c r="H2366" i="91" s="1"/>
  <c r="H2367" i="91" s="1"/>
  <c r="H2368" i="91" s="1"/>
  <c r="H2369" i="91" s="1"/>
  <c r="H2370" i="91" s="1"/>
  <c r="H2371" i="91" s="1"/>
  <c r="H2372" i="91" s="1"/>
  <c r="H2373" i="91" s="1"/>
  <c r="H2374" i="91" s="1"/>
  <c r="H2375" i="91" s="1"/>
  <c r="H2376" i="91" s="1"/>
  <c r="H2377" i="91" s="1"/>
  <c r="H2378" i="91" s="1"/>
  <c r="H2379" i="91" s="1"/>
  <c r="H2380" i="91" s="1"/>
  <c r="H2381" i="91" s="1"/>
  <c r="H2382" i="91" s="1"/>
  <c r="H2383" i="91" s="1"/>
  <c r="H2384" i="91" s="1"/>
  <c r="H2385" i="91" s="1"/>
  <c r="H2386" i="91" s="1"/>
  <c r="H2387" i="91" s="1"/>
  <c r="H2388" i="91" s="1"/>
  <c r="H2389" i="91" s="1"/>
  <c r="H2390" i="91" s="1"/>
  <c r="H2391" i="91" s="1"/>
  <c r="H2392" i="91" s="1"/>
  <c r="H2393" i="91" s="1"/>
  <c r="H2394" i="91" s="1"/>
  <c r="H2395" i="91" s="1"/>
  <c r="H2396" i="91" s="1"/>
  <c r="H2397" i="91" s="1"/>
  <c r="H2398" i="91" s="1"/>
  <c r="H2399" i="91" s="1"/>
  <c r="H2400" i="91" s="1"/>
  <c r="H2401" i="91" s="1"/>
  <c r="H2402" i="91" s="1"/>
  <c r="H2403" i="91" s="1"/>
  <c r="H2404" i="91" s="1"/>
  <c r="H2405" i="91" s="1"/>
  <c r="H2406" i="91" s="1"/>
  <c r="H2407" i="91" s="1"/>
  <c r="H2408" i="91" s="1"/>
  <c r="H2409" i="91" s="1"/>
  <c r="H2410" i="91" s="1"/>
  <c r="H2411" i="91" s="1"/>
  <c r="H2412" i="91" s="1"/>
  <c r="H2413" i="91" s="1"/>
  <c r="H2414" i="91" s="1"/>
  <c r="E110" i="88"/>
  <c r="A113" i="88"/>
  <c r="A115" i="88" s="1"/>
  <c r="C114" i="88" s="1"/>
  <c r="C116" i="88" s="1"/>
  <c r="E91" i="88" l="1"/>
  <c r="E94" i="88" s="1"/>
  <c r="E89" i="88" s="1"/>
  <c r="A78" i="88"/>
  <c r="A90" i="88" s="1"/>
  <c r="B90" i="88"/>
  <c r="C69" i="88"/>
  <c r="E68" i="88"/>
  <c r="A92" i="88" l="1"/>
  <c r="A94" i="88" s="1"/>
  <c r="C93" i="88" s="1"/>
  <c r="C95" i="88" s="1"/>
  <c r="C191" i="87" l="1"/>
  <c r="A182" i="87"/>
  <c r="A189" i="87" s="1"/>
  <c r="E193" i="87"/>
  <c r="E188" i="87" s="1"/>
  <c r="B189" i="87"/>
  <c r="C178" i="87"/>
  <c r="A167" i="87"/>
  <c r="A174" i="87" s="1"/>
  <c r="E178" i="87"/>
  <c r="E173" i="87" s="1"/>
  <c r="B174" i="87"/>
  <c r="E104" i="87"/>
  <c r="E160" i="87"/>
  <c r="E163" i="87" s="1"/>
  <c r="E159" i="87"/>
  <c r="A152" i="87"/>
  <c r="A159" i="87" s="1"/>
  <c r="C161" i="87"/>
  <c r="B159" i="87"/>
  <c r="E145" i="87"/>
  <c r="E144" i="87"/>
  <c r="C146" i="87"/>
  <c r="A137" i="87"/>
  <c r="A144" i="87" s="1"/>
  <c r="E148" i="87"/>
  <c r="B144" i="87"/>
  <c r="E129" i="87"/>
  <c r="E132" i="87" s="1"/>
  <c r="E128" i="87"/>
  <c r="A121" i="87"/>
  <c r="A128" i="87" s="1"/>
  <c r="B128" i="87"/>
  <c r="G106" i="87"/>
  <c r="E117" i="87"/>
  <c r="E112" i="87" s="1"/>
  <c r="B113" i="87"/>
  <c r="A113" i="87"/>
  <c r="A47" i="93"/>
  <c r="E127" i="87" l="1"/>
  <c r="A130" i="87"/>
  <c r="A132" i="87" s="1"/>
  <c r="C131" i="87" s="1"/>
  <c r="C133" i="87" s="1"/>
  <c r="A191" i="87"/>
  <c r="A193" i="87" s="1"/>
  <c r="C192" i="87" s="1"/>
  <c r="C194" i="87" s="1"/>
  <c r="A176" i="87"/>
  <c r="A178" i="87" s="1"/>
  <c r="C177" i="87" s="1"/>
  <c r="C179" i="87" s="1"/>
  <c r="E158" i="87"/>
  <c r="A161" i="87"/>
  <c r="A163" i="87" s="1"/>
  <c r="C162" i="87" s="1"/>
  <c r="C164" i="87" s="1"/>
  <c r="E143" i="87"/>
  <c r="A146" i="87"/>
  <c r="A148" i="87" s="1"/>
  <c r="C147" i="87" s="1"/>
  <c r="C149" i="87" s="1"/>
  <c r="A115" i="87"/>
  <c r="A117" i="87" s="1"/>
  <c r="C116" i="87" s="1"/>
  <c r="C118" i="87" s="1"/>
  <c r="E67" i="87" l="1"/>
  <c r="E84" i="87"/>
  <c r="E85" i="87"/>
  <c r="E88" i="87" s="1"/>
  <c r="A75" i="87"/>
  <c r="A84" i="87" s="1"/>
  <c r="B84" i="87"/>
  <c r="E83" i="87" l="1"/>
  <c r="A86" i="87"/>
  <c r="A88" i="87" s="1"/>
  <c r="C87" i="87" s="1"/>
  <c r="C89" i="87" s="1"/>
  <c r="E68" i="87" l="1"/>
  <c r="A58" i="87"/>
  <c r="C69" i="87"/>
  <c r="B67" i="87"/>
  <c r="B2516" i="91" l="1"/>
  <c r="A153" i="93"/>
  <c r="A166" i="93" s="1"/>
  <c r="E170" i="93"/>
  <c r="E165" i="93" s="1"/>
  <c r="C166" i="93"/>
  <c r="A132" i="93"/>
  <c r="A145" i="93" s="1"/>
  <c r="E149" i="93"/>
  <c r="E144" i="93" s="1"/>
  <c r="C145" i="93"/>
  <c r="C125" i="93"/>
  <c r="A110" i="93"/>
  <c r="A123" i="93" s="1"/>
  <c r="E127" i="93"/>
  <c r="E122" i="93" s="1"/>
  <c r="C123" i="93"/>
  <c r="E102" i="93"/>
  <c r="E103" i="93"/>
  <c r="E2516" i="91"/>
  <c r="C104" i="93"/>
  <c r="A89" i="93"/>
  <c r="A102" i="93" s="1"/>
  <c r="E106" i="93"/>
  <c r="C102" i="93"/>
  <c r="G350" i="93"/>
  <c r="F330" i="93"/>
  <c r="C83" i="93"/>
  <c r="E82" i="93"/>
  <c r="E85" i="93" s="1"/>
  <c r="E81" i="93"/>
  <c r="C81" i="93"/>
  <c r="A68" i="93"/>
  <c r="A81" i="93" s="1"/>
  <c r="C62" i="93"/>
  <c r="E61" i="93"/>
  <c r="E64" i="93" s="1"/>
  <c r="E60" i="93"/>
  <c r="C60" i="93"/>
  <c r="A60" i="93"/>
  <c r="D42" i="93"/>
  <c r="B42" i="93"/>
  <c r="E103" i="85"/>
  <c r="E102" i="85"/>
  <c r="E101" i="85"/>
  <c r="B21" i="85"/>
  <c r="A83" i="93" l="1"/>
  <c r="A85" i="93" s="1"/>
  <c r="C84" i="93" s="1"/>
  <c r="C86" i="93" s="1"/>
  <c r="E101" i="93"/>
  <c r="H2516" i="91"/>
  <c r="D43" i="93"/>
  <c r="E59" i="93"/>
  <c r="E80" i="93"/>
  <c r="A168" i="93"/>
  <c r="A170" i="93" s="1"/>
  <c r="C169" i="93" s="1"/>
  <c r="C171" i="93" s="1"/>
  <c r="A147" i="93"/>
  <c r="A149" i="93" s="1"/>
  <c r="C148" i="93" s="1"/>
  <c r="C150" i="93" s="1"/>
  <c r="A125" i="93"/>
  <c r="A127" i="93" s="1"/>
  <c r="C126" i="93" s="1"/>
  <c r="C128" i="93" s="1"/>
  <c r="A104" i="93"/>
  <c r="A106" i="93" s="1"/>
  <c r="C105" i="93" s="1"/>
  <c r="C107" i="93" s="1"/>
  <c r="A62" i="93"/>
  <c r="A64" i="93" s="1"/>
  <c r="C63" i="93" s="1"/>
  <c r="C65" i="93" s="1"/>
  <c r="B240" i="85"/>
  <c r="B239" i="85"/>
  <c r="B238" i="85"/>
  <c r="B237" i="85"/>
  <c r="B236" i="85"/>
  <c r="B233" i="85"/>
  <c r="B232" i="85"/>
  <c r="B230" i="85"/>
  <c r="B229" i="85"/>
  <c r="B228" i="85"/>
  <c r="B227" i="85"/>
  <c r="B226" i="85"/>
  <c r="B225" i="85"/>
  <c r="E214" i="85"/>
  <c r="E215" i="85"/>
  <c r="E219" i="85" s="1"/>
  <c r="A205" i="85"/>
  <c r="A214" i="85" s="1"/>
  <c r="C214" i="85"/>
  <c r="E195" i="85"/>
  <c r="E196" i="85"/>
  <c r="E200" i="85" s="1"/>
  <c r="A186" i="85"/>
  <c r="A195" i="85" s="1"/>
  <c r="C195" i="85"/>
  <c r="E194" i="85" l="1"/>
  <c r="E213" i="85"/>
  <c r="A216" i="85"/>
  <c r="A218" i="85" s="1"/>
  <c r="C217" i="85" s="1"/>
  <c r="C219" i="85" s="1"/>
  <c r="A197" i="85"/>
  <c r="A199" i="85" s="1"/>
  <c r="C198" i="85" s="1"/>
  <c r="C200" i="85" s="1"/>
  <c r="E177" i="85" l="1"/>
  <c r="E178" i="85"/>
  <c r="C179" i="85"/>
  <c r="E161" i="85" l="1"/>
  <c r="B3" i="85"/>
  <c r="B96" i="85" s="1"/>
  <c r="E182" i="85" l="1"/>
  <c r="E176" i="85" s="1"/>
  <c r="C177" i="85"/>
  <c r="A177" i="85"/>
  <c r="E152" i="85"/>
  <c r="E146" i="85" s="1"/>
  <c r="C147" i="85"/>
  <c r="A147" i="85"/>
  <c r="A179" i="85" l="1"/>
  <c r="A181" i="85" s="1"/>
  <c r="C180" i="85" s="1"/>
  <c r="C182" i="85" s="1"/>
  <c r="A149" i="85"/>
  <c r="A151" i="85" s="1"/>
  <c r="C150" i="85" s="1"/>
  <c r="C152" i="85" s="1"/>
  <c r="D29" i="85"/>
  <c r="D96" i="85" s="1"/>
  <c r="E129" i="85"/>
  <c r="E133" i="85" s="1"/>
  <c r="E128" i="85"/>
  <c r="A119" i="85"/>
  <c r="A128" i="85" s="1"/>
  <c r="C128" i="85"/>
  <c r="E110" i="85"/>
  <c r="E111" i="85"/>
  <c r="A101" i="85"/>
  <c r="E229" i="83"/>
  <c r="E230" i="83"/>
  <c r="E233" i="83" s="1"/>
  <c r="C231" i="83"/>
  <c r="A206" i="83"/>
  <c r="A229" i="83" s="1"/>
  <c r="C229" i="83"/>
  <c r="E199" i="83"/>
  <c r="E202" i="83" s="1"/>
  <c r="E198" i="83"/>
  <c r="A193" i="83"/>
  <c r="A198" i="83" s="1"/>
  <c r="C198" i="83"/>
  <c r="A173" i="83"/>
  <c r="E127" i="85" l="1"/>
  <c r="A130" i="85"/>
  <c r="A132" i="85" s="1"/>
  <c r="C131" i="85" s="1"/>
  <c r="C133" i="85" s="1"/>
  <c r="A231" i="83"/>
  <c r="A233" i="83" s="1"/>
  <c r="C232" i="83" s="1"/>
  <c r="C234" i="83" s="1"/>
  <c r="E197" i="83"/>
  <c r="E228" i="83"/>
  <c r="A200" i="83"/>
  <c r="A202" i="83" s="1"/>
  <c r="C201" i="83" s="1"/>
  <c r="C203" i="83" s="1"/>
  <c r="E188" i="83"/>
  <c r="E183" i="83" s="1"/>
  <c r="C184" i="83"/>
  <c r="A184" i="83"/>
  <c r="E62" i="90"/>
  <c r="B12" i="83"/>
  <c r="D43" i="83"/>
  <c r="A153" i="83"/>
  <c r="A164" i="83" s="1"/>
  <c r="E164" i="83"/>
  <c r="E168" i="83"/>
  <c r="C164" i="83"/>
  <c r="E93" i="82"/>
  <c r="B3" i="83"/>
  <c r="E148" i="83"/>
  <c r="C144" i="83"/>
  <c r="A144" i="83"/>
  <c r="E121" i="83"/>
  <c r="A110" i="83"/>
  <c r="A121" i="83" s="1"/>
  <c r="E125" i="83"/>
  <c r="C121" i="83"/>
  <c r="A186" i="83" l="1"/>
  <c r="A188" i="83" s="1"/>
  <c r="C187" i="83" s="1"/>
  <c r="C189" i="83" s="1"/>
  <c r="E163" i="83"/>
  <c r="A166" i="83"/>
  <c r="A168" i="83" s="1"/>
  <c r="C167" i="83" s="1"/>
  <c r="C169" i="83" s="1"/>
  <c r="E120" i="83"/>
  <c r="A146" i="83"/>
  <c r="A148" i="83" s="1"/>
  <c r="C147" i="83" s="1"/>
  <c r="C149" i="83" s="1"/>
  <c r="A123" i="83"/>
  <c r="A125" i="83" s="1"/>
  <c r="C124" i="83" s="1"/>
  <c r="C126" i="83" s="1"/>
  <c r="A96" i="83" l="1"/>
  <c r="E104" i="83"/>
  <c r="E103" i="83"/>
  <c r="E102" i="83"/>
  <c r="G348" i="90"/>
  <c r="F328" i="90"/>
  <c r="D53" i="90"/>
  <c r="B53" i="90"/>
  <c r="G349" i="88"/>
  <c r="F329" i="88"/>
  <c r="E71" i="88"/>
  <c r="E66" i="88" s="1"/>
  <c r="A67" i="88"/>
  <c r="D53" i="88"/>
  <c r="B53" i="88"/>
  <c r="G344" i="87"/>
  <c r="F324" i="87"/>
  <c r="E71" i="87"/>
  <c r="E66" i="87" s="1"/>
  <c r="A67" i="87"/>
  <c r="D53" i="87"/>
  <c r="B53" i="87"/>
  <c r="G373" i="85"/>
  <c r="F353" i="85"/>
  <c r="E115" i="85"/>
  <c r="E109" i="85" s="1"/>
  <c r="C110" i="85"/>
  <c r="A110" i="85"/>
  <c r="E255" i="82"/>
  <c r="E256" i="82"/>
  <c r="E259" i="82" s="1"/>
  <c r="A235" i="82"/>
  <c r="A255" i="82" s="1"/>
  <c r="C255" i="82"/>
  <c r="A210" i="82"/>
  <c r="A226" i="82" s="1"/>
  <c r="E230" i="82"/>
  <c r="E225" i="82" s="1"/>
  <c r="C226" i="82"/>
  <c r="E202" i="82"/>
  <c r="C204" i="82"/>
  <c r="A186" i="82"/>
  <c r="A202" i="82" s="1"/>
  <c r="B19" i="82"/>
  <c r="E206" i="82"/>
  <c r="E201" i="82" s="1"/>
  <c r="C202" i="82"/>
  <c r="B3" i="82"/>
  <c r="E178" i="82"/>
  <c r="E181" i="82" s="1"/>
  <c r="E176" i="82" s="1"/>
  <c r="A173" i="82"/>
  <c r="A177" i="82" s="1"/>
  <c r="C177" i="82"/>
  <c r="D54" i="90" l="1"/>
  <c r="A69" i="87"/>
  <c r="A71" i="87" s="1"/>
  <c r="C70" i="87" s="1"/>
  <c r="C72" i="87" s="1"/>
  <c r="D54" i="87"/>
  <c r="A112" i="85"/>
  <c r="A114" i="85" s="1"/>
  <c r="C113" i="85" s="1"/>
  <c r="C115" i="85" s="1"/>
  <c r="D54" i="88"/>
  <c r="D97" i="85"/>
  <c r="E254" i="82"/>
  <c r="A257" i="82"/>
  <c r="A259" i="82" s="1"/>
  <c r="C258" i="82" s="1"/>
  <c r="C260" i="82" s="1"/>
  <c r="A228" i="82"/>
  <c r="A230" i="82" s="1"/>
  <c r="C229" i="82" s="1"/>
  <c r="C231" i="82" s="1"/>
  <c r="A204" i="82"/>
  <c r="A206" i="82" s="1"/>
  <c r="C205" i="82" s="1"/>
  <c r="C207" i="82" s="1"/>
  <c r="A179" i="82"/>
  <c r="A181" i="82" s="1"/>
  <c r="C180" i="82" s="1"/>
  <c r="C182" i="82" s="1"/>
  <c r="E164" i="82" l="1"/>
  <c r="E165" i="82"/>
  <c r="E168" i="82" s="1"/>
  <c r="A153" i="82"/>
  <c r="A164" i="82" s="1"/>
  <c r="E157" i="82"/>
  <c r="C164" i="82"/>
  <c r="B3" i="81"/>
  <c r="D31" i="82"/>
  <c r="E163" i="82" l="1"/>
  <c r="A166" i="82"/>
  <c r="A168" i="82" s="1"/>
  <c r="C167" i="82" s="1"/>
  <c r="C169" i="82" s="1"/>
  <c r="H25" i="82" l="1"/>
  <c r="H26" i="82"/>
  <c r="H24" i="82"/>
  <c r="E144" i="82"/>
  <c r="E145" i="82"/>
  <c r="C144" i="82"/>
  <c r="A133" i="82"/>
  <c r="A144" i="82" s="1"/>
  <c r="E127" i="82"/>
  <c r="E123" i="82"/>
  <c r="C123" i="82"/>
  <c r="A114" i="82"/>
  <c r="A123" i="82" s="1"/>
  <c r="H27" i="82" l="1"/>
  <c r="E122" i="82"/>
  <c r="A125" i="82"/>
  <c r="A127" i="82" s="1"/>
  <c r="C126" i="82" s="1"/>
  <c r="C128" i="82" s="1"/>
  <c r="A234" i="81" l="1"/>
  <c r="A242" i="81" s="1"/>
  <c r="E246" i="81"/>
  <c r="E240" i="81" s="1"/>
  <c r="C242" i="81"/>
  <c r="C227" i="81"/>
  <c r="A217" i="81"/>
  <c r="A225" i="81" s="1"/>
  <c r="E229" i="81"/>
  <c r="E223" i="81" s="1"/>
  <c r="C225" i="81"/>
  <c r="E207" i="81"/>
  <c r="E208" i="81"/>
  <c r="E212" i="81" s="1"/>
  <c r="A200" i="81"/>
  <c r="A208" i="81" s="1"/>
  <c r="C208" i="81"/>
  <c r="A244" i="81" l="1"/>
  <c r="A246" i="81" s="1"/>
  <c r="C245" i="81" s="1"/>
  <c r="C247" i="81" s="1"/>
  <c r="A227" i="81"/>
  <c r="A229" i="81" s="1"/>
  <c r="C228" i="81" s="1"/>
  <c r="C230" i="81" s="1"/>
  <c r="E206" i="81"/>
  <c r="A210" i="81"/>
  <c r="A212" i="81" s="1"/>
  <c r="C211" i="81" s="1"/>
  <c r="C213" i="81" s="1"/>
  <c r="E192" i="81"/>
  <c r="E196" i="81" s="1"/>
  <c r="E190" i="81" s="1"/>
  <c r="C194" i="81"/>
  <c r="A179" i="81"/>
  <c r="A192" i="81" s="1"/>
  <c r="C192" i="81"/>
  <c r="B3" i="73"/>
  <c r="A153" i="81"/>
  <c r="A171" i="81" s="1"/>
  <c r="E175" i="81"/>
  <c r="E169" i="81" s="1"/>
  <c r="C171" i="81"/>
  <c r="B12" i="81"/>
  <c r="E148" i="81"/>
  <c r="E142" i="81" s="1"/>
  <c r="C144" i="81"/>
  <c r="A144" i="81"/>
  <c r="E119" i="81"/>
  <c r="A194" i="81" l="1"/>
  <c r="A196" i="81" s="1"/>
  <c r="C195" i="81" s="1"/>
  <c r="C197" i="81" s="1"/>
  <c r="A146" i="81"/>
  <c r="A148" i="81" s="1"/>
  <c r="C147" i="81" s="1"/>
  <c r="C149" i="81" s="1"/>
  <c r="A173" i="81"/>
  <c r="A175" i="81" s="1"/>
  <c r="C174" i="81" s="1"/>
  <c r="C176" i="81" s="1"/>
  <c r="E133" i="81" l="1"/>
  <c r="E132" i="81"/>
  <c r="C128" i="81"/>
  <c r="C132" i="81" s="1"/>
  <c r="E131" i="81"/>
  <c r="A121" i="81"/>
  <c r="A132" i="81" s="1"/>
  <c r="B11" i="80"/>
  <c r="E113" i="81"/>
  <c r="E111" i="81"/>
  <c r="E112" i="81"/>
  <c r="A103" i="81"/>
  <c r="E136" i="81" l="1"/>
  <c r="E130" i="81" s="1"/>
  <c r="E116" i="81"/>
  <c r="A134" i="81"/>
  <c r="A136" i="81" s="1"/>
  <c r="C135" i="81" s="1"/>
  <c r="C137" i="81" s="1"/>
  <c r="B4" i="80" l="1"/>
  <c r="E248" i="80"/>
  <c r="E250" i="80" s="1"/>
  <c r="E246" i="80" s="1"/>
  <c r="C248" i="80"/>
  <c r="A234" i="80"/>
  <c r="A246" i="80" s="1"/>
  <c r="C246" i="80"/>
  <c r="C220" i="80"/>
  <c r="C226" i="80" s="1"/>
  <c r="A220" i="80"/>
  <c r="A226" i="80" s="1"/>
  <c r="E230" i="80"/>
  <c r="E226" i="80" s="1"/>
  <c r="C214" i="80"/>
  <c r="E213" i="80"/>
  <c r="E214" i="80"/>
  <c r="E216" i="80" s="1"/>
  <c r="B23" i="80"/>
  <c r="A192" i="80"/>
  <c r="A212" i="80" s="1"/>
  <c r="C212" i="80"/>
  <c r="C185" i="80"/>
  <c r="A182" i="80"/>
  <c r="A183" i="80" s="1"/>
  <c r="E173" i="80"/>
  <c r="E177" i="80"/>
  <c r="E174" i="80"/>
  <c r="E184" i="80"/>
  <c r="E188" i="80"/>
  <c r="C183" i="80"/>
  <c r="A163" i="80"/>
  <c r="A173" i="80" s="1"/>
  <c r="C173" i="80"/>
  <c r="G82" i="79"/>
  <c r="G83" i="79" s="1"/>
  <c r="B17" i="80"/>
  <c r="A228" i="80" l="1"/>
  <c r="A230" i="80" s="1"/>
  <c r="C229" i="80" s="1"/>
  <c r="C231" i="80" s="1"/>
  <c r="A248" i="80"/>
  <c r="A250" i="80" s="1"/>
  <c r="C249" i="80" s="1"/>
  <c r="C251" i="80" s="1"/>
  <c r="E212" i="80"/>
  <c r="E178" i="80"/>
  <c r="E172" i="80" s="1"/>
  <c r="A214" i="80"/>
  <c r="A216" i="80" s="1"/>
  <c r="C215" i="80" s="1"/>
  <c r="C217" i="80" s="1"/>
  <c r="E183" i="80"/>
  <c r="A185" i="80"/>
  <c r="A187" i="80" s="1"/>
  <c r="C186" i="80" s="1"/>
  <c r="C188" i="80" s="1"/>
  <c r="A175" i="80"/>
  <c r="A177" i="80" s="1"/>
  <c r="C176" i="80" s="1"/>
  <c r="C178" i="80" s="1"/>
  <c r="E153" i="80" l="1"/>
  <c r="D81" i="79" l="1"/>
  <c r="A148" i="80"/>
  <c r="A152" i="80" s="1"/>
  <c r="E156" i="80"/>
  <c r="E151" i="80" s="1"/>
  <c r="C152" i="80"/>
  <c r="A154" i="80" l="1"/>
  <c r="A156" i="80" s="1"/>
  <c r="C155" i="80" s="1"/>
  <c r="C157" i="80" s="1"/>
  <c r="B10" i="80" l="1"/>
  <c r="A107" i="80"/>
  <c r="E140" i="80"/>
  <c r="E143" i="80" s="1"/>
  <c r="E139" i="80"/>
  <c r="A125" i="80"/>
  <c r="A139" i="80" s="1"/>
  <c r="D102" i="80"/>
  <c r="C139" i="80"/>
  <c r="E138" i="80" l="1"/>
  <c r="B102" i="80"/>
  <c r="A141" i="80"/>
  <c r="A143" i="80" s="1"/>
  <c r="C142" i="80" s="1"/>
  <c r="C144" i="80" s="1"/>
  <c r="B3" i="79" l="1"/>
  <c r="B3" i="74"/>
  <c r="B129" i="74" s="1"/>
  <c r="B22" i="79"/>
  <c r="E206" i="79"/>
  <c r="C208" i="79"/>
  <c r="A204" i="79"/>
  <c r="A206" i="79" s="1"/>
  <c r="E210" i="79"/>
  <c r="C206" i="79"/>
  <c r="E197" i="79"/>
  <c r="E195" i="79"/>
  <c r="E196" i="79"/>
  <c r="E187" i="79"/>
  <c r="C197" i="79"/>
  <c r="A174" i="79"/>
  <c r="A195" i="79" s="1"/>
  <c r="C195" i="79"/>
  <c r="E165" i="79"/>
  <c r="E166" i="79"/>
  <c r="E169" i="79" s="1"/>
  <c r="C167" i="79"/>
  <c r="A151" i="79"/>
  <c r="A165" i="79" s="1"/>
  <c r="C165" i="79"/>
  <c r="E134" i="79"/>
  <c r="E143" i="79"/>
  <c r="E146" i="79" s="1"/>
  <c r="A133" i="79"/>
  <c r="A142" i="79" s="1"/>
  <c r="E142" i="79"/>
  <c r="C142" i="79"/>
  <c r="D31" i="79"/>
  <c r="D92" i="79" s="1"/>
  <c r="D91" i="83"/>
  <c r="E199" i="79" l="1"/>
  <c r="E194" i="79" s="1"/>
  <c r="A208" i="79"/>
  <c r="A210" i="79" s="1"/>
  <c r="C209" i="79" s="1"/>
  <c r="C211" i="79" s="1"/>
  <c r="E205" i="79"/>
  <c r="A197" i="79"/>
  <c r="A199" i="79" s="1"/>
  <c r="C198" i="79" s="1"/>
  <c r="C200" i="79" s="1"/>
  <c r="E164" i="79"/>
  <c r="A167" i="79"/>
  <c r="A169" i="79" s="1"/>
  <c r="C168" i="79" s="1"/>
  <c r="C170" i="79" s="1"/>
  <c r="E141" i="79"/>
  <c r="A144" i="79"/>
  <c r="A146" i="79" s="1"/>
  <c r="C145" i="79" s="1"/>
  <c r="C147" i="79" s="1"/>
  <c r="B9" i="79" l="1"/>
  <c r="E126" i="79"/>
  <c r="E124" i="79"/>
  <c r="E125" i="79"/>
  <c r="A115" i="79"/>
  <c r="A124" i="79" s="1"/>
  <c r="C124" i="79"/>
  <c r="E115" i="79"/>
  <c r="B6" i="79"/>
  <c r="B92" i="79" l="1"/>
  <c r="E128" i="79"/>
  <c r="E123" i="79" s="1"/>
  <c r="A126" i="79"/>
  <c r="A128" i="79" s="1"/>
  <c r="C127" i="79" s="1"/>
  <c r="C129" i="79" s="1"/>
  <c r="G360" i="83" l="1"/>
  <c r="F340" i="83"/>
  <c r="E106" i="83"/>
  <c r="E101" i="83" s="1"/>
  <c r="C102" i="83"/>
  <c r="A102" i="83"/>
  <c r="G385" i="82"/>
  <c r="F365" i="82"/>
  <c r="E148" i="82"/>
  <c r="E143" i="82" s="1"/>
  <c r="A146" i="82"/>
  <c r="A148" i="82" s="1"/>
  <c r="C147" i="82" s="1"/>
  <c r="C149" i="82" s="1"/>
  <c r="D102" i="82"/>
  <c r="B102" i="82"/>
  <c r="G337" i="81"/>
  <c r="F317" i="81"/>
  <c r="E110" i="81"/>
  <c r="C112" i="81"/>
  <c r="A112" i="81"/>
  <c r="D98" i="81"/>
  <c r="B98" i="81"/>
  <c r="G377" i="80"/>
  <c r="F357" i="80"/>
  <c r="E120" i="80"/>
  <c r="E115" i="80" s="1"/>
  <c r="C116" i="80"/>
  <c r="A116" i="80"/>
  <c r="E106" i="79"/>
  <c r="E107" i="79"/>
  <c r="E110" i="79" s="1"/>
  <c r="A97" i="79"/>
  <c r="A106" i="79" s="1"/>
  <c r="C106" i="79"/>
  <c r="A114" i="81" l="1"/>
  <c r="A116" i="81" s="1"/>
  <c r="C115" i="81" s="1"/>
  <c r="C117" i="81" s="1"/>
  <c r="D103" i="82"/>
  <c r="D99" i="81"/>
  <c r="A104" i="83"/>
  <c r="A106" i="83" s="1"/>
  <c r="C105" i="83" s="1"/>
  <c r="C107" i="83" s="1"/>
  <c r="D103" i="80"/>
  <c r="A118" i="80"/>
  <c r="A120" i="80" s="1"/>
  <c r="C119" i="80" s="1"/>
  <c r="C121" i="80" s="1"/>
  <c r="A108" i="79"/>
  <c r="A110" i="79" s="1"/>
  <c r="C109" i="79" s="1"/>
  <c r="C111" i="79" s="1"/>
  <c r="G360" i="79"/>
  <c r="F340" i="79"/>
  <c r="D93" i="79" l="1"/>
  <c r="C187" i="78" l="1"/>
  <c r="A176" i="78"/>
  <c r="A185" i="78" s="1"/>
  <c r="E189" i="78"/>
  <c r="E184" i="78" s="1"/>
  <c r="B185" i="78"/>
  <c r="D36" i="78"/>
  <c r="E168" i="78"/>
  <c r="E169" i="78"/>
  <c r="E172" i="78" s="1"/>
  <c r="A168" i="78"/>
  <c r="B168" i="78"/>
  <c r="A187" i="78" l="1"/>
  <c r="A189" i="78" s="1"/>
  <c r="C188" i="78" s="1"/>
  <c r="C190" i="78" s="1"/>
  <c r="E167" i="78"/>
  <c r="A170" i="78"/>
  <c r="A172" i="78" s="1"/>
  <c r="C171" i="78" s="1"/>
  <c r="C173" i="78" s="1"/>
  <c r="C152" i="78"/>
  <c r="E141" i="78"/>
  <c r="E150" i="78"/>
  <c r="E151" i="78"/>
  <c r="E154" i="78" s="1"/>
  <c r="B150" i="78"/>
  <c r="A150" i="78"/>
  <c r="A123" i="78"/>
  <c r="A132" i="78" s="1"/>
  <c r="B17" i="78"/>
  <c r="E136" i="78"/>
  <c r="E131" i="78" s="1"/>
  <c r="B132" i="78"/>
  <c r="A106" i="78"/>
  <c r="A115" i="78" s="1"/>
  <c r="E115" i="78"/>
  <c r="E119" i="78"/>
  <c r="B115" i="78"/>
  <c r="E79" i="78"/>
  <c r="E80" i="78"/>
  <c r="B8" i="78"/>
  <c r="E70" i="78"/>
  <c r="A70" i="78"/>
  <c r="E149" i="78" l="1"/>
  <c r="A152" i="78"/>
  <c r="A154" i="78" s="1"/>
  <c r="C153" i="78" s="1"/>
  <c r="C155" i="78" s="1"/>
  <c r="E114" i="78"/>
  <c r="A134" i="78"/>
  <c r="A136" i="78" s="1"/>
  <c r="C135" i="78" s="1"/>
  <c r="C137" i="78" s="1"/>
  <c r="A117" i="78"/>
  <c r="A119" i="78" s="1"/>
  <c r="C118" i="78" s="1"/>
  <c r="C120" i="78" s="1"/>
  <c r="E98" i="78" l="1"/>
  <c r="E101" i="78" s="1"/>
  <c r="E97" i="78"/>
  <c r="A88" i="78"/>
  <c r="A97" i="78" s="1"/>
  <c r="B97" i="78"/>
  <c r="G346" i="78"/>
  <c r="F326" i="78"/>
  <c r="E83" i="78"/>
  <c r="E78" i="78" s="1"/>
  <c r="B79" i="78"/>
  <c r="A79" i="78"/>
  <c r="D63" i="78"/>
  <c r="B63" i="78"/>
  <c r="C218" i="77"/>
  <c r="A210" i="77"/>
  <c r="A216" i="77" s="1"/>
  <c r="E220" i="77"/>
  <c r="E215" i="77" s="1"/>
  <c r="B216" i="77"/>
  <c r="B20" i="77"/>
  <c r="D56" i="77"/>
  <c r="A195" i="77"/>
  <c r="A201" i="77" s="1"/>
  <c r="E202" i="77"/>
  <c r="E201" i="77"/>
  <c r="E204" i="77"/>
  <c r="E203" i="77"/>
  <c r="B201" i="77"/>
  <c r="A149" i="77"/>
  <c r="A179" i="77"/>
  <c r="A185" i="77" s="1"/>
  <c r="E189" i="77"/>
  <c r="E184" i="77" s="1"/>
  <c r="B185" i="77"/>
  <c r="E170" i="77"/>
  <c r="C172" i="77"/>
  <c r="E174" i="77"/>
  <c r="B170" i="77"/>
  <c r="A170" i="77"/>
  <c r="B13" i="77"/>
  <c r="E150" i="77"/>
  <c r="E153" i="77" s="1"/>
  <c r="E148" i="77" s="1"/>
  <c r="E119" i="76"/>
  <c r="B149" i="77"/>
  <c r="B3" i="77"/>
  <c r="E138" i="77"/>
  <c r="C140" i="77"/>
  <c r="A130" i="77"/>
  <c r="A129" i="77"/>
  <c r="E142" i="77"/>
  <c r="E137" i="77" s="1"/>
  <c r="B138" i="77"/>
  <c r="B8" i="77"/>
  <c r="E96" i="78" l="1"/>
  <c r="A99" i="78"/>
  <c r="A101" i="78" s="1"/>
  <c r="C100" i="78" s="1"/>
  <c r="C102" i="78" s="1"/>
  <c r="D64" i="78"/>
  <c r="A81" i="78"/>
  <c r="A83" i="78" s="1"/>
  <c r="C82" i="78" s="1"/>
  <c r="C84" i="78" s="1"/>
  <c r="A218" i="77"/>
  <c r="A220" i="77" s="1"/>
  <c r="C219" i="77" s="1"/>
  <c r="C221" i="77" s="1"/>
  <c r="E205" i="77"/>
  <c r="E200" i="77" s="1"/>
  <c r="A203" i="77"/>
  <c r="A205" i="77" s="1"/>
  <c r="C204" i="77" s="1"/>
  <c r="C206" i="77" s="1"/>
  <c r="E169" i="77"/>
  <c r="A187" i="77"/>
  <c r="A189" i="77" s="1"/>
  <c r="C188" i="77" s="1"/>
  <c r="C190" i="77" s="1"/>
  <c r="A138" i="77"/>
  <c r="A140" i="77" s="1"/>
  <c r="A142" i="77" s="1"/>
  <c r="C141" i="77" s="1"/>
  <c r="C143" i="77" s="1"/>
  <c r="A151" i="77"/>
  <c r="A153" i="77" s="1"/>
  <c r="C152" i="77" s="1"/>
  <c r="C154" i="77" s="1"/>
  <c r="A172" i="77"/>
  <c r="A174" i="77" s="1"/>
  <c r="C173" i="77" s="1"/>
  <c r="C175" i="77" s="1"/>
  <c r="E120" i="77" l="1"/>
  <c r="E121" i="77"/>
  <c r="E124" i="77" s="1"/>
  <c r="A111" i="77"/>
  <c r="A120" i="77" s="1"/>
  <c r="B120" i="77"/>
  <c r="D9" i="77"/>
  <c r="D86" i="77" s="1"/>
  <c r="E103" i="77"/>
  <c r="E106" i="77" s="1"/>
  <c r="E102" i="77"/>
  <c r="A93" i="77"/>
  <c r="A102" i="77" s="1"/>
  <c r="G346" i="77"/>
  <c r="F326" i="77"/>
  <c r="B102" i="77"/>
  <c r="B86" i="77"/>
  <c r="D89" i="76"/>
  <c r="E119" i="77" l="1"/>
  <c r="A122" i="77"/>
  <c r="A124" i="77" s="1"/>
  <c r="C123" i="77" s="1"/>
  <c r="C125" i="77" s="1"/>
  <c r="D87" i="77"/>
  <c r="E101" i="77"/>
  <c r="A104" i="77"/>
  <c r="A106" i="77" s="1"/>
  <c r="C105" i="77" s="1"/>
  <c r="C107" i="77" s="1"/>
  <c r="A287" i="76"/>
  <c r="A299" i="76" s="1"/>
  <c r="E303" i="76"/>
  <c r="E298" i="76" s="1"/>
  <c r="B299" i="76"/>
  <c r="A301" i="76" l="1"/>
  <c r="A303" i="76" s="1"/>
  <c r="C302" i="76" s="1"/>
  <c r="C304" i="76" s="1"/>
  <c r="D83" i="76" l="1"/>
  <c r="E279" i="76"/>
  <c r="A267" i="76"/>
  <c r="A279" i="76" s="1"/>
  <c r="E280" i="76"/>
  <c r="E283" i="76" s="1"/>
  <c r="B279" i="76"/>
  <c r="A247" i="76"/>
  <c r="A259" i="76" s="1"/>
  <c r="E263" i="76"/>
  <c r="E258" i="76" s="1"/>
  <c r="B259" i="76"/>
  <c r="A238" i="76"/>
  <c r="D62" i="76"/>
  <c r="E239" i="76"/>
  <c r="E242" i="76" s="1"/>
  <c r="E238" i="76"/>
  <c r="B238" i="76"/>
  <c r="B4" i="76"/>
  <c r="E120" i="76"/>
  <c r="E126" i="76" s="1"/>
  <c r="E218" i="76"/>
  <c r="E219" i="76"/>
  <c r="E222" i="76" s="1"/>
  <c r="C220" i="76"/>
  <c r="A206" i="76"/>
  <c r="A218" i="76" s="1"/>
  <c r="B218" i="76"/>
  <c r="E198" i="76"/>
  <c r="C200" i="76"/>
  <c r="A186" i="76"/>
  <c r="C180" i="76"/>
  <c r="E179" i="76"/>
  <c r="E182" i="76" s="1"/>
  <c r="E178" i="76"/>
  <c r="B178" i="76"/>
  <c r="A165" i="76"/>
  <c r="A178" i="76" s="1"/>
  <c r="A281" i="76" l="1"/>
  <c r="A283" i="76" s="1"/>
  <c r="C282" i="76" s="1"/>
  <c r="C284" i="76" s="1"/>
  <c r="E278" i="76"/>
  <c r="A261" i="76"/>
  <c r="A263" i="76" s="1"/>
  <c r="E217" i="76"/>
  <c r="A180" i="76"/>
  <c r="A182" i="76" s="1"/>
  <c r="C181" i="76" s="1"/>
  <c r="C183" i="76" s="1"/>
  <c r="E237" i="76"/>
  <c r="A240" i="76"/>
  <c r="A242" i="76" s="1"/>
  <c r="C241" i="76" s="1"/>
  <c r="C243" i="76" s="1"/>
  <c r="A220" i="76"/>
  <c r="A222" i="76" s="1"/>
  <c r="C221" i="76" s="1"/>
  <c r="C223" i="76" s="1"/>
  <c r="E177" i="76"/>
  <c r="C262" i="76" l="1"/>
  <c r="C264" i="76" s="1"/>
  <c r="G22" i="74"/>
  <c r="D21" i="76" l="1"/>
  <c r="D116" i="76" s="1"/>
  <c r="A198" i="76"/>
  <c r="E202" i="76"/>
  <c r="E197" i="76" s="1"/>
  <c r="B198" i="76"/>
  <c r="C159" i="76"/>
  <c r="E161" i="76"/>
  <c r="E156" i="76" s="1"/>
  <c r="B157" i="76"/>
  <c r="A157" i="76"/>
  <c r="E136" i="76"/>
  <c r="E137" i="76"/>
  <c r="E140" i="76" s="1"/>
  <c r="A123" i="76"/>
  <c r="A136" i="76" s="1"/>
  <c r="G364" i="76"/>
  <c r="F344" i="76"/>
  <c r="B243" i="76"/>
  <c r="B136" i="76"/>
  <c r="B116" i="76"/>
  <c r="E135" i="76" l="1"/>
  <c r="A200" i="76"/>
  <c r="A202" i="76" s="1"/>
  <c r="C201" i="76" s="1"/>
  <c r="C203" i="76" s="1"/>
  <c r="A159" i="76"/>
  <c r="A161" i="76" s="1"/>
  <c r="C160" i="76" s="1"/>
  <c r="C162" i="76" s="1"/>
  <c r="D117" i="76"/>
  <c r="A138" i="76"/>
  <c r="A140" i="76" s="1"/>
  <c r="C139" i="76" s="1"/>
  <c r="C141" i="76" s="1"/>
  <c r="E169" i="75" l="1"/>
  <c r="E170" i="75"/>
  <c r="E173" i="75" s="1"/>
  <c r="E193" i="75"/>
  <c r="B189" i="75"/>
  <c r="A189" i="75"/>
  <c r="B169" i="75"/>
  <c r="A157" i="75"/>
  <c r="A169" i="75" s="1"/>
  <c r="A191" i="75" l="1"/>
  <c r="A193" i="75" s="1"/>
  <c r="C192" i="75" s="1"/>
  <c r="C194" i="75" s="1"/>
  <c r="A171" i="75"/>
  <c r="A173" i="75" s="1"/>
  <c r="C172" i="75" s="1"/>
  <c r="C174" i="75" s="1"/>
  <c r="B3" i="75" l="1"/>
  <c r="E149" i="75" l="1"/>
  <c r="C151" i="75"/>
  <c r="E153" i="75"/>
  <c r="B149" i="75"/>
  <c r="A149" i="75"/>
  <c r="E129" i="75"/>
  <c r="E130" i="75"/>
  <c r="E133" i="75" s="1"/>
  <c r="B129" i="75"/>
  <c r="A129" i="75"/>
  <c r="A151" i="75" l="1"/>
  <c r="A153" i="75" s="1"/>
  <c r="C152" i="75" s="1"/>
  <c r="C154" i="75" s="1"/>
  <c r="A131" i="75"/>
  <c r="A133" i="75" s="1"/>
  <c r="C132" i="75" s="1"/>
  <c r="C134" i="75" s="1"/>
  <c r="D28" i="75"/>
  <c r="D25" i="75"/>
  <c r="E113" i="75" l="1"/>
  <c r="E114" i="75"/>
  <c r="E117" i="75" s="1"/>
  <c r="A105" i="75"/>
  <c r="A113" i="75" s="1"/>
  <c r="B113" i="75"/>
  <c r="E96" i="75"/>
  <c r="E97" i="75"/>
  <c r="A88" i="75"/>
  <c r="A115" i="75" l="1"/>
  <c r="A117" i="75" s="1"/>
  <c r="C116" i="75" s="1"/>
  <c r="C118" i="75" s="1"/>
  <c r="B81" i="75" l="1"/>
  <c r="D3" i="75"/>
  <c r="D81" i="75" s="1"/>
  <c r="G359" i="75"/>
  <c r="F339" i="75"/>
  <c r="E100" i="75"/>
  <c r="B96" i="75"/>
  <c r="A96" i="75"/>
  <c r="D217" i="75"/>
  <c r="B203" i="75"/>
  <c r="B202" i="75"/>
  <c r="B194" i="75"/>
  <c r="E318" i="74"/>
  <c r="E319" i="74"/>
  <c r="E322" i="74" s="1"/>
  <c r="A312" i="74"/>
  <c r="A318" i="74" s="1"/>
  <c r="B318" i="74"/>
  <c r="G287" i="74"/>
  <c r="C305" i="74"/>
  <c r="E307" i="74"/>
  <c r="B303" i="74"/>
  <c r="A303" i="74"/>
  <c r="F276" i="74"/>
  <c r="G36" i="74"/>
  <c r="G99" i="74"/>
  <c r="G98" i="74"/>
  <c r="C286" i="74"/>
  <c r="A276" i="74"/>
  <c r="A284" i="74" s="1"/>
  <c r="E288" i="74"/>
  <c r="B284" i="74"/>
  <c r="G15" i="74"/>
  <c r="G16" i="74" s="1"/>
  <c r="G90" i="74"/>
  <c r="C269" i="74"/>
  <c r="A267" i="74"/>
  <c r="E271" i="74"/>
  <c r="B267" i="74"/>
  <c r="E242" i="74"/>
  <c r="E245" i="74" s="1"/>
  <c r="E241" i="74"/>
  <c r="B249" i="74"/>
  <c r="B251" i="74" s="1"/>
  <c r="A249" i="74"/>
  <c r="A251" i="74" s="1"/>
  <c r="E255" i="74"/>
  <c r="A237" i="74"/>
  <c r="A241" i="74" s="1"/>
  <c r="B241" i="74"/>
  <c r="D67" i="74"/>
  <c r="D66" i="74"/>
  <c r="D63" i="74"/>
  <c r="A98" i="75" l="1"/>
  <c r="A100" i="75" s="1"/>
  <c r="C99" i="75" s="1"/>
  <c r="C101" i="75" s="1"/>
  <c r="D82" i="75"/>
  <c r="A320" i="74"/>
  <c r="A322" i="74" s="1"/>
  <c r="C321" i="74" s="1"/>
  <c r="C323" i="74" s="1"/>
  <c r="A305" i="74"/>
  <c r="A307" i="74" s="1"/>
  <c r="C306" i="74" s="1"/>
  <c r="C308" i="74" s="1"/>
  <c r="A286" i="74"/>
  <c r="A288" i="74" s="1"/>
  <c r="C287" i="74" s="1"/>
  <c r="C289" i="74" s="1"/>
  <c r="A269" i="74"/>
  <c r="A271" i="74" s="1"/>
  <c r="C270" i="74" s="1"/>
  <c r="C272" i="74" s="1"/>
  <c r="A253" i="74"/>
  <c r="A255" i="74" s="1"/>
  <c r="C254" i="74" s="1"/>
  <c r="C256" i="74" s="1"/>
  <c r="A243" i="74"/>
  <c r="A245" i="74" s="1"/>
  <c r="C244" i="74" s="1"/>
  <c r="C246" i="74" s="1"/>
  <c r="B142" i="74" l="1"/>
  <c r="B212" i="74" l="1"/>
  <c r="B228" i="74" s="1"/>
  <c r="A211" i="74"/>
  <c r="A228" i="74" s="1"/>
  <c r="C230" i="74"/>
  <c r="E232" i="74"/>
  <c r="E202" i="74"/>
  <c r="E203" i="74"/>
  <c r="E206" i="74" s="1"/>
  <c r="A199" i="74"/>
  <c r="A202" i="74" s="1"/>
  <c r="B202" i="74"/>
  <c r="D36" i="74"/>
  <c r="D129" i="74" s="1"/>
  <c r="E190" i="74"/>
  <c r="C192" i="74"/>
  <c r="A181" i="74"/>
  <c r="A190" i="74" s="1"/>
  <c r="E194" i="74"/>
  <c r="B190" i="74"/>
  <c r="C174" i="74"/>
  <c r="A168" i="74"/>
  <c r="A172" i="74" s="1"/>
  <c r="E176" i="74"/>
  <c r="B172" i="74"/>
  <c r="E160" i="74"/>
  <c r="E163" i="74" s="1"/>
  <c r="E159" i="74"/>
  <c r="A151" i="74"/>
  <c r="A159" i="74" s="1"/>
  <c r="B159" i="74"/>
  <c r="E155" i="74"/>
  <c r="E143" i="74"/>
  <c r="E146" i="74" s="1"/>
  <c r="E142" i="74"/>
  <c r="A136" i="74"/>
  <c r="A142" i="74" s="1"/>
  <c r="E140" i="74"/>
  <c r="G31" i="74"/>
  <c r="E84" i="73"/>
  <c r="I113" i="74"/>
  <c r="E216" i="73"/>
  <c r="E219" i="73" s="1"/>
  <c r="E215" i="73"/>
  <c r="A204" i="73"/>
  <c r="A215" i="73" s="1"/>
  <c r="B215" i="73"/>
  <c r="D38" i="73"/>
  <c r="A184" i="73"/>
  <c r="A195" i="73" s="1"/>
  <c r="C197" i="73"/>
  <c r="E199" i="73"/>
  <c r="B195" i="73"/>
  <c r="D134" i="73"/>
  <c r="B80" i="73"/>
  <c r="E178" i="73"/>
  <c r="B174" i="73"/>
  <c r="A174" i="73"/>
  <c r="E148" i="73"/>
  <c r="B144" i="73"/>
  <c r="A144" i="73"/>
  <c r="D34" i="73"/>
  <c r="A105" i="73"/>
  <c r="A116" i="73" s="1"/>
  <c r="B105" i="73"/>
  <c r="B116" i="73" s="1"/>
  <c r="E116" i="73"/>
  <c r="E117" i="73"/>
  <c r="E120" i="73" s="1"/>
  <c r="G16" i="73"/>
  <c r="D100" i="73"/>
  <c r="G8" i="73"/>
  <c r="A85" i="73"/>
  <c r="A96" i="73" s="1"/>
  <c r="B86" i="73"/>
  <c r="B96" i="73" s="1"/>
  <c r="I102" i="73"/>
  <c r="E174" i="34"/>
  <c r="E173" i="34"/>
  <c r="G51" i="34"/>
  <c r="D54" i="34"/>
  <c r="B184" i="34"/>
  <c r="A184" i="34"/>
  <c r="B160" i="34"/>
  <c r="B168" i="34"/>
  <c r="E92" i="34"/>
  <c r="E94" i="34"/>
  <c r="G26" i="34"/>
  <c r="G25" i="34"/>
  <c r="G24" i="34"/>
  <c r="D164" i="34"/>
  <c r="D150" i="34"/>
  <c r="D149" i="34"/>
  <c r="B150" i="34"/>
  <c r="B148" i="34"/>
  <c r="B144" i="34"/>
  <c r="B140" i="34"/>
  <c r="A137" i="34"/>
  <c r="D132" i="34"/>
  <c r="D134" i="34" s="1"/>
  <c r="D131" i="34"/>
  <c r="B135" i="34"/>
  <c r="B130" i="34"/>
  <c r="E107" i="34"/>
  <c r="E115" i="34"/>
  <c r="E114" i="34"/>
  <c r="C114" i="34"/>
  <c r="C127" i="34" s="1"/>
  <c r="B114" i="34"/>
  <c r="B127" i="34" s="1"/>
  <c r="C111" i="34"/>
  <c r="B111" i="34"/>
  <c r="D96" i="34"/>
  <c r="D98" i="34" s="1"/>
  <c r="B95" i="34"/>
  <c r="B103" i="34" s="1"/>
  <c r="E115" i="73" l="1"/>
  <c r="A230" i="74"/>
  <c r="A232" i="74" s="1"/>
  <c r="C231" i="74" s="1"/>
  <c r="C233" i="74" s="1"/>
  <c r="A192" i="74"/>
  <c r="A194" i="74" s="1"/>
  <c r="C193" i="74" s="1"/>
  <c r="C195" i="74" s="1"/>
  <c r="A204" i="74"/>
  <c r="A206" i="74" s="1"/>
  <c r="C205" i="74" s="1"/>
  <c r="C207" i="74" s="1"/>
  <c r="A174" i="74"/>
  <c r="A176" i="74" s="1"/>
  <c r="C175" i="74" s="1"/>
  <c r="C177" i="74" s="1"/>
  <c r="A161" i="74"/>
  <c r="A163" i="74" s="1"/>
  <c r="C162" i="74" s="1"/>
  <c r="C164" i="74" s="1"/>
  <c r="D130" i="74"/>
  <c r="A144" i="74"/>
  <c r="A146" i="74" s="1"/>
  <c r="C145" i="74" s="1"/>
  <c r="C147" i="74" s="1"/>
  <c r="A197" i="73"/>
  <c r="A199" i="73" s="1"/>
  <c r="C198" i="73" s="1"/>
  <c r="C200" i="73" s="1"/>
  <c r="A217" i="73"/>
  <c r="A219" i="73" s="1"/>
  <c r="C218" i="73" s="1"/>
  <c r="C220" i="73" s="1"/>
  <c r="D80" i="73"/>
  <c r="D81" i="73" s="1"/>
  <c r="A146" i="73"/>
  <c r="A148" i="73" s="1"/>
  <c r="C147" i="73" s="1"/>
  <c r="C149" i="73" s="1"/>
  <c r="A176" i="73"/>
  <c r="A178" i="73" s="1"/>
  <c r="C177" i="73" s="1"/>
  <c r="C179" i="73" s="1"/>
  <c r="A118" i="73"/>
  <c r="A120" i="73" s="1"/>
  <c r="C119" i="73" s="1"/>
  <c r="C121" i="73" s="1"/>
  <c r="A98" i="73"/>
  <c r="A100" i="73" s="1"/>
  <c r="C99" i="73" s="1"/>
  <c r="C101" i="73" s="1"/>
  <c r="A186" i="34"/>
  <c r="A188" i="34" s="1"/>
  <c r="B169" i="34"/>
  <c r="B145" i="34"/>
  <c r="B136" i="34"/>
  <c r="B154" i="34"/>
  <c r="I120" i="34"/>
  <c r="B89" i="34"/>
  <c r="C146" i="73" l="1"/>
  <c r="D89" i="34"/>
  <c r="D90" i="34" s="1"/>
  <c r="E105" i="79"/>
  <c r="B91" i="83"/>
  <c r="D92" i="83" s="1"/>
  <c r="B67" i="88"/>
  <c r="A69" i="88" l="1"/>
  <c r="A71" i="88" s="1"/>
  <c r="C70" i="88" s="1"/>
  <c r="C72" i="88" s="1"/>
  <c r="K56" i="104"/>
  <c r="J56" i="10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</author>
  </authors>
  <commentList>
    <comment ref="C2000" authorId="0" shapeId="0" xr:uid="{53D80ECD-00CF-4967-A785-348218894861}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رامز لقاها ف شنطة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</author>
  </authors>
  <commentList>
    <comment ref="H486" authorId="0" shapeId="0" xr:uid="{E51EF67C-CFA1-4096-9954-B4394BA17CFF}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lمطابق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1BEF79-9A8A-42A1-8B03-F3857C11DA2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8843F0C-DD97-4720-8813-C470D02D54EA}" name="WorksheetConnection_ايرادات شهر 7 نهائي.xlsx!Table12" type="102" refreshedVersion="8" minRefreshableVersion="5">
    <extLst>
      <ext xmlns:x15="http://schemas.microsoft.com/office/spreadsheetml/2010/11/main" uri="{DE250136-89BD-433C-8126-D09CA5730AF9}">
        <x15:connection id="Table12">
          <x15:rangePr sourceName="_xlcn.WorksheetConnection_ايراداتشهر7نهائي.xlsxTable121"/>
        </x15:connection>
      </ext>
    </extLst>
  </connection>
  <connection id="3" xr16:uid="{8886F5EA-9AAF-4B97-A82B-1C5197C4BF5C}" name="WorksheetConnection_ايرادات شهر 7 نهائي.xlsx!Table13" type="102" refreshedVersion="8" minRefreshableVersion="5">
    <extLst>
      <ext xmlns:x15="http://schemas.microsoft.com/office/spreadsheetml/2010/11/main" uri="{DE250136-89BD-433C-8126-D09CA5730AF9}">
        <x15:connection id="Table13">
          <x15:rangePr sourceName="_xlcn.WorksheetConnection_ايراداتشهر7نهائي.xlsxTable131"/>
        </x15:connection>
      </ext>
    </extLst>
  </connection>
</connections>
</file>

<file path=xl/sharedStrings.xml><?xml version="1.0" encoding="utf-8"?>
<sst xmlns="http://schemas.openxmlformats.org/spreadsheetml/2006/main" count="15787" uniqueCount="1616">
  <si>
    <t>التاريخ</t>
  </si>
  <si>
    <t xml:space="preserve">ايرادات </t>
  </si>
  <si>
    <t>Column1</t>
  </si>
  <si>
    <t>مصروفات</t>
  </si>
  <si>
    <t>Column2</t>
  </si>
  <si>
    <t>Column3</t>
  </si>
  <si>
    <t>محمود</t>
  </si>
  <si>
    <t>عم يوسف</t>
  </si>
  <si>
    <t>حسام</t>
  </si>
  <si>
    <t>عمر</t>
  </si>
  <si>
    <t>ابراهيم</t>
  </si>
  <si>
    <t>الخواجة</t>
  </si>
  <si>
    <t>الرضوان</t>
  </si>
  <si>
    <t>ادم</t>
  </si>
  <si>
    <t>رويال</t>
  </si>
  <si>
    <t>عادل</t>
  </si>
  <si>
    <t>بيض</t>
  </si>
  <si>
    <t>الحجاز</t>
  </si>
  <si>
    <t>فوري</t>
  </si>
  <si>
    <t>كريم</t>
  </si>
  <si>
    <t>فرايداي</t>
  </si>
  <si>
    <t>زياد</t>
  </si>
  <si>
    <t>فودافون كاش المحل</t>
  </si>
  <si>
    <t>مقدم+ مصاريف تعاقد</t>
  </si>
  <si>
    <t>خلف</t>
  </si>
  <si>
    <t>ابو عمار</t>
  </si>
  <si>
    <t>ربيع</t>
  </si>
  <si>
    <t>فودافون كاش</t>
  </si>
  <si>
    <t>عمر ممكن</t>
  </si>
  <si>
    <t>مصطفى</t>
  </si>
  <si>
    <t>صلاح</t>
  </si>
  <si>
    <t>الجزار شخصي</t>
  </si>
  <si>
    <t>المراكبي</t>
  </si>
  <si>
    <t>قهوة</t>
  </si>
  <si>
    <t>عصفور</t>
  </si>
  <si>
    <t>فضة</t>
  </si>
  <si>
    <t xml:space="preserve">محمود </t>
  </si>
  <si>
    <t>دانون</t>
  </si>
  <si>
    <t>عبده داوود</t>
  </si>
  <si>
    <t>صهيب</t>
  </si>
  <si>
    <t xml:space="preserve">مهاب </t>
  </si>
  <si>
    <t>محمد سليمان</t>
  </si>
  <si>
    <t>كراتين</t>
  </si>
  <si>
    <t>ممكن</t>
  </si>
  <si>
    <t>كادبري</t>
  </si>
  <si>
    <t>جيرسي</t>
  </si>
  <si>
    <t>ميلك تشيز</t>
  </si>
  <si>
    <t>ايديتا</t>
  </si>
  <si>
    <t>خزنة</t>
  </si>
  <si>
    <t>اريال</t>
  </si>
  <si>
    <t>مهاب شخصي</t>
  </si>
  <si>
    <t>اوكسي</t>
  </si>
  <si>
    <t>ش.مؤمن</t>
  </si>
  <si>
    <t>دريم</t>
  </si>
  <si>
    <t>ش.مؤمن شحن</t>
  </si>
  <si>
    <t>خضار</t>
  </si>
  <si>
    <t>دومتي</t>
  </si>
  <si>
    <t>جهينة لبن</t>
  </si>
  <si>
    <t>مونجيني</t>
  </si>
  <si>
    <t xml:space="preserve">مصطفي </t>
  </si>
  <si>
    <t>رامز</t>
  </si>
  <si>
    <t>الطيب</t>
  </si>
  <si>
    <t>رامز ممكن</t>
  </si>
  <si>
    <t>بريزيدون</t>
  </si>
  <si>
    <t>ممكن عادل</t>
  </si>
  <si>
    <t>كاش</t>
  </si>
  <si>
    <t>اولكر</t>
  </si>
  <si>
    <t>ش.مؤمن مشتريات</t>
  </si>
  <si>
    <t>هاينز المصرية</t>
  </si>
  <si>
    <t>كيلوجز</t>
  </si>
  <si>
    <t>دولسي نستلة</t>
  </si>
  <si>
    <t xml:space="preserve">ادم </t>
  </si>
  <si>
    <t>عبده سعد</t>
  </si>
  <si>
    <t>مرتجع</t>
  </si>
  <si>
    <t>الجزار</t>
  </si>
  <si>
    <t>فيزا</t>
  </si>
  <si>
    <t>ريماس</t>
  </si>
  <si>
    <t>هاينز</t>
  </si>
  <si>
    <t>مهاب</t>
  </si>
  <si>
    <t>المراعي</t>
  </si>
  <si>
    <t>العدوي</t>
  </si>
  <si>
    <t>العدوي ممكن</t>
  </si>
  <si>
    <t>اسلام عبده</t>
  </si>
  <si>
    <t>عيش ناشف</t>
  </si>
  <si>
    <t>فكة العدوي</t>
  </si>
  <si>
    <t>كريم سعيد</t>
  </si>
  <si>
    <t>بلال</t>
  </si>
  <si>
    <t>فارس يومية</t>
  </si>
  <si>
    <t>كند</t>
  </si>
  <si>
    <t>محمود الديب</t>
  </si>
  <si>
    <t>عادل فوري</t>
  </si>
  <si>
    <t>ايمن يومية</t>
  </si>
  <si>
    <t>عادل يومية</t>
  </si>
  <si>
    <t>محمود فوري</t>
  </si>
  <si>
    <t>مكنة</t>
  </si>
  <si>
    <t>يسر حلواني</t>
  </si>
  <si>
    <t>مهاب مشاريب</t>
  </si>
  <si>
    <t>خلف مشتريات</t>
  </si>
  <si>
    <t>الماسة الزرقاء فائز بث ماشر</t>
  </si>
  <si>
    <t>اجمالي</t>
  </si>
  <si>
    <t>بدون فيزا</t>
  </si>
  <si>
    <t>ياسين يومية</t>
  </si>
  <si>
    <t>فايز نبض بورسعيد</t>
  </si>
  <si>
    <t>اكراميات ثلاجة</t>
  </si>
  <si>
    <t>فيشة</t>
  </si>
  <si>
    <t>مشتريات المحل</t>
  </si>
  <si>
    <t>مشتريات ايمن</t>
  </si>
  <si>
    <t>يومية عادل</t>
  </si>
  <si>
    <t>جمعية مصطفى</t>
  </si>
  <si>
    <t>4285 بيض يتدفع شوية كدا</t>
  </si>
  <si>
    <t>الرضوان 670 يتدفع شوية كدا</t>
  </si>
  <si>
    <t>3 علب الوراق 5 كيلو لابو الخير</t>
  </si>
  <si>
    <t xml:space="preserve">رومي </t>
  </si>
  <si>
    <t>عجز شحن</t>
  </si>
  <si>
    <t>ابو عمار شحن وردية العدوي</t>
  </si>
  <si>
    <t>ابو عمار شحن وردية عمر</t>
  </si>
  <si>
    <t>الجزار نبض بورسعيد</t>
  </si>
  <si>
    <t>مرتب محمد ارضية</t>
  </si>
  <si>
    <t>صدقة</t>
  </si>
  <si>
    <t>الماركت</t>
  </si>
  <si>
    <t>عهدة متداولة الحرية</t>
  </si>
  <si>
    <t>محمود البدراني</t>
  </si>
  <si>
    <t>عهدة متداولة الاسراء</t>
  </si>
  <si>
    <t>الماركت الحرية</t>
  </si>
  <si>
    <t>مرتجع محمود</t>
  </si>
  <si>
    <t xml:space="preserve">عبد لرحمن </t>
  </si>
  <si>
    <t xml:space="preserve">مرتجع </t>
  </si>
  <si>
    <t xml:space="preserve">الشيخ مؤمن </t>
  </si>
  <si>
    <t xml:space="preserve">كاش </t>
  </si>
  <si>
    <t>خالد الشركه (فكه)</t>
  </si>
  <si>
    <t xml:space="preserve">فودفون كاش المحل </t>
  </si>
  <si>
    <t>كند ممكن</t>
  </si>
  <si>
    <t xml:space="preserve">مبيد حشري </t>
  </si>
  <si>
    <t xml:space="preserve">الخواجه </t>
  </si>
  <si>
    <t xml:space="preserve">يحيي </t>
  </si>
  <si>
    <t>عوض بتاع الرز نزل شغل 44000 ( 10 قديم)</t>
  </si>
  <si>
    <t>300 فودافون كاش المحل محمد مبروك الفرع التاني</t>
  </si>
  <si>
    <t>الكاش</t>
  </si>
  <si>
    <t>بيان</t>
  </si>
  <si>
    <t>كاش +
 مصروفات</t>
  </si>
  <si>
    <t>قبض اسلام</t>
  </si>
  <si>
    <t>200 فودافون كاش المحل محمد مبروك الفرع التاني</t>
  </si>
  <si>
    <t>غلطة حساب</t>
  </si>
  <si>
    <t>اوردر الفرع التاني(الجزار)</t>
  </si>
  <si>
    <t>مرتجع رامز</t>
  </si>
  <si>
    <t>خزنة كند يوم1/7</t>
  </si>
  <si>
    <t>7000 فودافون كاش ابو عمار</t>
  </si>
  <si>
    <t>فودافون كاش المحل الحرية</t>
  </si>
  <si>
    <t>ارما سامح ابو النور</t>
  </si>
  <si>
    <t>دنكار خلطات مهاب</t>
  </si>
  <si>
    <t>الرضوان يومين</t>
  </si>
  <si>
    <t>نرتجع</t>
  </si>
  <si>
    <t>عمر جاد دفعة</t>
  </si>
  <si>
    <t>مرتجع عمر</t>
  </si>
  <si>
    <t>جهينة عصير باقي 10000</t>
  </si>
  <si>
    <t>ليبتون</t>
  </si>
  <si>
    <t>توابل لمهاب</t>
  </si>
  <si>
    <t>باقي فاتورة برسيل</t>
  </si>
  <si>
    <t>الطيارة لحد المراجعة</t>
  </si>
  <si>
    <t>قبض العدوي</t>
  </si>
  <si>
    <t>برنجلز وكورن فليكس</t>
  </si>
  <si>
    <t>ابو عوف بن</t>
  </si>
  <si>
    <t>الوراق 4 كيلو لجراند هايبر</t>
  </si>
  <si>
    <t>لقيتها على الكشير</t>
  </si>
  <si>
    <t>مجموع</t>
  </si>
  <si>
    <t>مبشرة وبهارات</t>
  </si>
  <si>
    <t>رومي مبشور</t>
  </si>
  <si>
    <t>النجار بن</t>
  </si>
  <si>
    <t>كريم حريه</t>
  </si>
  <si>
    <t xml:space="preserve">جائزه سحب </t>
  </si>
  <si>
    <t xml:space="preserve">مرتجعات </t>
  </si>
  <si>
    <t xml:space="preserve">يوميه فارس </t>
  </si>
  <si>
    <t xml:space="preserve">يوميه عبد الرحمن </t>
  </si>
  <si>
    <t>يوميه ايمن</t>
  </si>
  <si>
    <t xml:space="preserve">مسامير </t>
  </si>
  <si>
    <t xml:space="preserve">مشترك </t>
  </si>
  <si>
    <t xml:space="preserve">امير الصاروخ </t>
  </si>
  <si>
    <t xml:space="preserve">فاتوره شيبسي </t>
  </si>
  <si>
    <t>يوميه ياسين</t>
  </si>
  <si>
    <t>يوميه عم يوسف</t>
  </si>
  <si>
    <t>جائزه البث</t>
  </si>
  <si>
    <t>مشتريات ماركت</t>
  </si>
  <si>
    <t xml:space="preserve">ممكن </t>
  </si>
  <si>
    <t>مرتب محمود</t>
  </si>
  <si>
    <t>نبض بورسعيد</t>
  </si>
  <si>
    <t>الطيارة باقي 5600</t>
  </si>
  <si>
    <t>وايت باقي 6000</t>
  </si>
  <si>
    <t>ز</t>
  </si>
  <si>
    <t>بكر كاشير وفوري تارجت</t>
  </si>
  <si>
    <t>جالكسي</t>
  </si>
  <si>
    <t>الوطنية للدواجن (الشروق)</t>
  </si>
  <si>
    <t>زيت</t>
  </si>
  <si>
    <t>ورق ميزان</t>
  </si>
  <si>
    <t>جائزة</t>
  </si>
  <si>
    <t>ملح للمحل الحرية</t>
  </si>
  <si>
    <t>يومية فارس</t>
  </si>
  <si>
    <t>ايس كريم نستلة</t>
  </si>
  <si>
    <t>طلعت يومية</t>
  </si>
  <si>
    <t>فراي داي</t>
  </si>
  <si>
    <t>ايس كريم نستلة الحرية</t>
  </si>
  <si>
    <t>بن لمار</t>
  </si>
  <si>
    <t>الجزار كزلك الحرية</t>
  </si>
  <si>
    <t>لقيتهم على الارض</t>
  </si>
  <si>
    <t>فريدة خالص</t>
  </si>
  <si>
    <t>مناديل للبقالة</t>
  </si>
  <si>
    <t>مرتجع(بيبسي 2.5 لتر)</t>
  </si>
  <si>
    <t>عبد الرحمن جبن امس</t>
  </si>
  <si>
    <t>جوائز</t>
  </si>
  <si>
    <t>مرتجع (سجق الجزار, كلوروكس الوان 1 لتر)</t>
  </si>
  <si>
    <t>عصفور عيش</t>
  </si>
  <si>
    <t>يونس</t>
  </si>
  <si>
    <t>سليمان</t>
  </si>
  <si>
    <t>محل</t>
  </si>
  <si>
    <t>حازم بقالة</t>
  </si>
  <si>
    <t>بن الفريدة</t>
  </si>
  <si>
    <t>بريداوي</t>
  </si>
  <si>
    <t>كند فوري</t>
  </si>
  <si>
    <t>ش.مؤمن من وردية كند امبارح</t>
  </si>
  <si>
    <t>حسم</t>
  </si>
  <si>
    <t>شلبي دفعة باقي 20000</t>
  </si>
  <si>
    <t>اسيل</t>
  </si>
  <si>
    <t>ايفل باقي 4000</t>
  </si>
  <si>
    <t>نوري</t>
  </si>
  <si>
    <t>ابو فارس</t>
  </si>
  <si>
    <t>غلطة زبون يوم الوقفة</t>
  </si>
  <si>
    <t>مهاب فلفل</t>
  </si>
  <si>
    <t>الجزار واجهة الباب بالمصنعية</t>
  </si>
  <si>
    <t>بالتة نونو الجزار</t>
  </si>
  <si>
    <t>محمود حلويات</t>
  </si>
  <si>
    <t>اعلام غسيل ومكوة ابراهيم</t>
  </si>
  <si>
    <t>ابو يوسف</t>
  </si>
  <si>
    <t>كاميرات</t>
  </si>
  <si>
    <t>ابو يوسف دفعة باقي 920</t>
  </si>
  <si>
    <t>كريم ممكن</t>
  </si>
  <si>
    <t>ابراهيم شحن</t>
  </si>
  <si>
    <t>كريم سعيد يوم 3/7</t>
  </si>
  <si>
    <t>خالد حلويات</t>
  </si>
  <si>
    <t>عيش سمسم</t>
  </si>
  <si>
    <t>للمحل معطر</t>
  </si>
  <si>
    <t>ابزام للمحل</t>
  </si>
  <si>
    <t>احمد حسن</t>
  </si>
  <si>
    <t>كريم سعيد اليوم</t>
  </si>
  <si>
    <t>مرتجع شاي ليبتون250 ناعم</t>
  </si>
  <si>
    <t>بقسماط محللب</t>
  </si>
  <si>
    <t>احمد بيكدر فاتورة</t>
  </si>
  <si>
    <t>نستلة</t>
  </si>
  <si>
    <t>كاميرا المصري</t>
  </si>
  <si>
    <t>يومية ياسين</t>
  </si>
  <si>
    <t>يومية ايمن</t>
  </si>
  <si>
    <t>عادل يوم 3/7</t>
  </si>
  <si>
    <t>فوري عادل</t>
  </si>
  <si>
    <t>كند 2/7</t>
  </si>
  <si>
    <t>ريتش بيك</t>
  </si>
  <si>
    <t>عبد المعبود بن</t>
  </si>
  <si>
    <t>محمود 3/7</t>
  </si>
  <si>
    <t>حازم</t>
  </si>
  <si>
    <t>المراكبي(خلف)</t>
  </si>
  <si>
    <t>محمود 2/7</t>
  </si>
  <si>
    <t>فوري محمود</t>
  </si>
  <si>
    <t>ش.مؤمن شخصي</t>
  </si>
  <si>
    <t>يومية يوسف</t>
  </si>
  <si>
    <t>ابو علم خالص ليوم 30/6</t>
  </si>
  <si>
    <t>ملف للفواتير</t>
  </si>
  <si>
    <t>محمصة دره</t>
  </si>
  <si>
    <t>ايفريدي دفعة</t>
  </si>
  <si>
    <t>برانش</t>
  </si>
  <si>
    <t>عمر جاد</t>
  </si>
  <si>
    <t>ايفريدي دفعة باقي 4070</t>
  </si>
  <si>
    <t>نيدو</t>
  </si>
  <si>
    <t xml:space="preserve">ورنيش </t>
  </si>
  <si>
    <t>نسكافيه</t>
  </si>
  <si>
    <t>غنام</t>
  </si>
  <si>
    <t>افيز</t>
  </si>
  <si>
    <t>فودافون كاش من الجزار من اجمالي 5300</t>
  </si>
  <si>
    <t>باقي حساب الكزلك 1800 مع الجزار</t>
  </si>
  <si>
    <t>بونجورنو</t>
  </si>
  <si>
    <t>شيبسي فاتورة باقي 12000</t>
  </si>
  <si>
    <t>كوباية نسكافيه</t>
  </si>
  <si>
    <t>عيش بيتي</t>
  </si>
  <si>
    <t>ابو علم</t>
  </si>
  <si>
    <t>ابو يوسف باقي 600</t>
  </si>
  <si>
    <t>بسطرمة</t>
  </si>
  <si>
    <t>مكرونة الملكة 4 كراتين</t>
  </si>
  <si>
    <t>صيانة ميزان</t>
  </si>
  <si>
    <t>يوسف</t>
  </si>
  <si>
    <t>كريستال</t>
  </si>
  <si>
    <t>باقي ايديتا</t>
  </si>
  <si>
    <t>ش.مؤمن من كند</t>
  </si>
  <si>
    <t>الديب</t>
  </si>
  <si>
    <t>كادبوري لبان</t>
  </si>
  <si>
    <t>عيش</t>
  </si>
  <si>
    <t>يحي</t>
  </si>
  <si>
    <t>دوبيلا</t>
  </si>
  <si>
    <t>وايت دفعة باقي 8000</t>
  </si>
  <si>
    <t>محمد برانش حلويات</t>
  </si>
  <si>
    <t>مهاب رشا</t>
  </si>
  <si>
    <t>مهاب كهرباء</t>
  </si>
  <si>
    <t>ش.مؤمن من كند مهاب كهرباء</t>
  </si>
  <si>
    <t>جود شيف باقي 3000</t>
  </si>
  <si>
    <t>الشيخ زواتين باقي 2907</t>
  </si>
  <si>
    <t>كريم فهمي</t>
  </si>
  <si>
    <t>خالد</t>
  </si>
  <si>
    <t>لوليتا</t>
  </si>
  <si>
    <t>ابراهيم سلفة</t>
  </si>
  <si>
    <t>باقي فاتورة عمارة 53 شقة 15</t>
  </si>
  <si>
    <t>مصطفى كاشير</t>
  </si>
  <si>
    <t>نت الشقة</t>
  </si>
  <si>
    <t>كهرباء الشقة</t>
  </si>
  <si>
    <t>شلبي باقي 10000</t>
  </si>
  <si>
    <t>زبون اجل</t>
  </si>
  <si>
    <t>عبده ثلاجة</t>
  </si>
  <si>
    <t>الطيارة خالص</t>
  </si>
  <si>
    <t>عيش عصفور</t>
  </si>
  <si>
    <t>لمبادا</t>
  </si>
  <si>
    <t>عبور لاند</t>
  </si>
  <si>
    <t>ماركت</t>
  </si>
  <si>
    <t>ماركت شحن</t>
  </si>
  <si>
    <t>سنبلة الفرات</t>
  </si>
  <si>
    <t>فتورة جالاكسي</t>
  </si>
  <si>
    <t>للمحل</t>
  </si>
  <si>
    <t>فاتورة جالاكسي</t>
  </si>
  <si>
    <t>جهينة عصير خالص</t>
  </si>
  <si>
    <t>عادل 4/7</t>
  </si>
  <si>
    <t>كريم سعيد 4/7</t>
  </si>
  <si>
    <t>سلفة محمود شحاتة</t>
  </si>
  <si>
    <t>تصليح تكييف</t>
  </si>
  <si>
    <t xml:space="preserve">ايديتا </t>
  </si>
  <si>
    <t>المراكبي يومية</t>
  </si>
  <si>
    <t>عادل ممكن</t>
  </si>
  <si>
    <t>حسام يومية</t>
  </si>
  <si>
    <t>نوري دفعة باقي 2487</t>
  </si>
  <si>
    <t>المراعي زبادي</t>
  </si>
  <si>
    <t>اسيل دفعة باقي  2000</t>
  </si>
  <si>
    <t>زبادي جهينة</t>
  </si>
  <si>
    <t>دومتي باتيه</t>
  </si>
  <si>
    <t>مرتجع العدوي</t>
  </si>
  <si>
    <t>الوطنية للدواجن</t>
  </si>
  <si>
    <t>الجزار مجمدات</t>
  </si>
  <si>
    <t>شيبسي دفعة</t>
  </si>
  <si>
    <t>عيش ردة</t>
  </si>
  <si>
    <t>برانش باتيه</t>
  </si>
  <si>
    <t>عبد الرحمن</t>
  </si>
  <si>
    <t>الشيخ مؤمن من كند</t>
  </si>
  <si>
    <t>كند 4/7</t>
  </si>
  <si>
    <t>البدراني</t>
  </si>
  <si>
    <t>الملكة</t>
  </si>
  <si>
    <t>بيبسي</t>
  </si>
  <si>
    <t>يومية</t>
  </si>
  <si>
    <t xml:space="preserve">فودافون كاش كريم </t>
  </si>
  <si>
    <t xml:space="preserve">كريم </t>
  </si>
  <si>
    <t>مهاب شحن</t>
  </si>
  <si>
    <t>كريم سعيد عجز</t>
  </si>
  <si>
    <t>لافاش كيري خالص</t>
  </si>
  <si>
    <t>عبد الرحمن جبن</t>
  </si>
  <si>
    <t>ابو احمد شحن (عمر جاد)</t>
  </si>
  <si>
    <t>زبون اجل(ابو حسن)  عمر جاد</t>
  </si>
  <si>
    <t>مونجيني الحرية</t>
  </si>
  <si>
    <t>مهاب مشتريات</t>
  </si>
  <si>
    <t>الشيخ مؤمن</t>
  </si>
  <si>
    <t>بلال يومية</t>
  </si>
  <si>
    <t>حماد وفي فاتورة اجل</t>
  </si>
  <si>
    <t>لورد</t>
  </si>
  <si>
    <t>مصطفى  مختار</t>
  </si>
  <si>
    <t>مصطفى مختار</t>
  </si>
  <si>
    <t>ايفل</t>
  </si>
  <si>
    <t>فودافون كاش كريم</t>
  </si>
  <si>
    <t xml:space="preserve">متر </t>
  </si>
  <si>
    <t>كريم ب105 باقي عليه خصم 55</t>
  </si>
  <si>
    <t>محاسب</t>
  </si>
  <si>
    <t>كهرباء</t>
  </si>
  <si>
    <t>اسلام</t>
  </si>
  <si>
    <t>فرايدي</t>
  </si>
  <si>
    <t>مهاب حداد</t>
  </si>
  <si>
    <t>الخال</t>
  </si>
  <si>
    <t>كريم شحن</t>
  </si>
  <si>
    <t>هالك عصير</t>
  </si>
  <si>
    <t>يوسف محمد</t>
  </si>
  <si>
    <t>محمد سليمان شحن</t>
  </si>
  <si>
    <t>الخال شحن</t>
  </si>
  <si>
    <t>قبض خلف يقبض شهر 7 كامل</t>
  </si>
  <si>
    <t>يومية يونس</t>
  </si>
  <si>
    <t>يومية يحيى</t>
  </si>
  <si>
    <t>يومية المراكبي</t>
  </si>
  <si>
    <t>باقي فاتورة ستار</t>
  </si>
  <si>
    <t>فاتورة ستار جديدة</t>
  </si>
  <si>
    <t>ملاحظات</t>
  </si>
  <si>
    <t>راجع فواتير ستار مسليات مع محمد</t>
  </si>
  <si>
    <t>مع عمر للبسطرمة</t>
  </si>
  <si>
    <t>مع عمر للبسطرمة 10000</t>
  </si>
  <si>
    <t>عيدية غنام</t>
  </si>
  <si>
    <t>قبض عمر جاد</t>
  </si>
  <si>
    <t>ابو احمد شحن (عمر جاد) خالص</t>
  </si>
  <si>
    <t>7 جنيه بتاع الزبون</t>
  </si>
  <si>
    <t>محمد صابر</t>
  </si>
  <si>
    <t>كرام</t>
  </si>
  <si>
    <t>السيد العباسي</t>
  </si>
  <si>
    <t>السيد العباسي ش.مؤمن</t>
  </si>
  <si>
    <t>مايونيز خلطات</t>
  </si>
  <si>
    <t>7 جنيه بتاع الزبون (عمر)</t>
  </si>
  <si>
    <t>عمرو</t>
  </si>
  <si>
    <t>ريتش باك</t>
  </si>
  <si>
    <t>ابو النور توم مفروم وجل 3 لتر</t>
  </si>
  <si>
    <t>فكة مصطفى</t>
  </si>
  <si>
    <t>المحل شحن</t>
  </si>
  <si>
    <t>شاهين بن</t>
  </si>
  <si>
    <t>شيبسي دفعة باقي 9500</t>
  </si>
  <si>
    <t>مهاب دم الغزال</t>
  </si>
  <si>
    <t>سامح ابو النور زيت</t>
  </si>
  <si>
    <t>عبده سعد سلفة</t>
  </si>
  <si>
    <t>يحيى يومية</t>
  </si>
  <si>
    <t>تاج الملوك</t>
  </si>
  <si>
    <t>يوسف مستورد</t>
  </si>
  <si>
    <t>شحن</t>
  </si>
  <si>
    <t>تايجر باقي 2000</t>
  </si>
  <si>
    <t>سامح سنيوريتا باقي 5000</t>
  </si>
  <si>
    <t>حازم 16 ساعة</t>
  </si>
  <si>
    <t>عيش بالرده</t>
  </si>
  <si>
    <t>جهينة زبادي</t>
  </si>
  <si>
    <t>ش.مؤمن ظابط</t>
  </si>
  <si>
    <t>اسلام يومية</t>
  </si>
  <si>
    <t>رومي وخضار لمهاب</t>
  </si>
  <si>
    <t>معتز العربي عسل اسود</t>
  </si>
  <si>
    <t>عجز يوسف عامر</t>
  </si>
  <si>
    <t>باقي زبون غلطة دليفري</t>
  </si>
  <si>
    <t>مرتجع كيس سمنة مصطفى</t>
  </si>
  <si>
    <t>قبض مصطفى</t>
  </si>
  <si>
    <t>رومي</t>
  </si>
  <si>
    <t>العربي رنجة شحن</t>
  </si>
  <si>
    <t>ابراهيم الخال</t>
  </si>
  <si>
    <t>الجزار  حساب (كشاف وصلة شاحن وشيكرتون) باقي 500</t>
  </si>
  <si>
    <t>سليمان خزنة</t>
  </si>
  <si>
    <t>الجزار 500 باقي حساب كهرباء امبارح و3150 حساب زجاج الثلاجة والبانرات</t>
  </si>
  <si>
    <t>يومية احمد حسن</t>
  </si>
  <si>
    <t>يومية فارق</t>
  </si>
  <si>
    <t>يومية محمود عادل</t>
  </si>
  <si>
    <t>فاتورة فيزا هتتدفع بكرا</t>
  </si>
  <si>
    <t>ملاحظات اليوم</t>
  </si>
  <si>
    <t>فاتورة هتتدفع بكرا مراجعة</t>
  </si>
  <si>
    <t>الوديان باقي 2000</t>
  </si>
  <si>
    <t>حلويات</t>
  </si>
  <si>
    <t>مهلبية</t>
  </si>
  <si>
    <t>صغير</t>
  </si>
  <si>
    <t>رز</t>
  </si>
  <si>
    <t>شحنة فوري</t>
  </si>
  <si>
    <t>باقي حساب شيدر ماينز مع خلف(3600)</t>
  </si>
  <si>
    <t>اجل زبون</t>
  </si>
  <si>
    <t>الجزار قهوة</t>
  </si>
  <si>
    <t>مهاب قهوة</t>
  </si>
  <si>
    <t>الشيخ قهوة</t>
  </si>
  <si>
    <t>ادم يومية</t>
  </si>
  <si>
    <t>عمر جاد شحن</t>
  </si>
  <si>
    <t>الجزار شحن</t>
  </si>
  <si>
    <t xml:space="preserve">كند </t>
  </si>
  <si>
    <t xml:space="preserve">محمود الديب </t>
  </si>
  <si>
    <t xml:space="preserve">اورنج كاش </t>
  </si>
  <si>
    <t xml:space="preserve">المجنون </t>
  </si>
  <si>
    <t>تبع الشيخ مؤمن(محمد بيه)</t>
  </si>
  <si>
    <t>خلف خزنة</t>
  </si>
  <si>
    <t>المحل</t>
  </si>
  <si>
    <t>كراتين وبلاستيك</t>
  </si>
  <si>
    <t>الرضوان الحرية</t>
  </si>
  <si>
    <t>يومية اسلام</t>
  </si>
  <si>
    <t>يومية يوسف محمد</t>
  </si>
  <si>
    <t>شراء لمبة</t>
  </si>
  <si>
    <t>مصروفات محل</t>
  </si>
  <si>
    <t>مصطفى ممكن</t>
  </si>
  <si>
    <t>قبض محمود سحاتة</t>
  </si>
  <si>
    <t>قبض صلاح</t>
  </si>
  <si>
    <t>يوسف عامر خالص</t>
  </si>
  <si>
    <t>ابو عمار خلطات</t>
  </si>
  <si>
    <t>رومي جديد</t>
  </si>
  <si>
    <t>ابو عمار شحن</t>
  </si>
  <si>
    <t>مهاب الحي</t>
  </si>
  <si>
    <t>شركة فل</t>
  </si>
  <si>
    <t>تاو تاو</t>
  </si>
  <si>
    <t>غلطة كريم شحن</t>
  </si>
  <si>
    <t>ابو ميمي</t>
  </si>
  <si>
    <t>اسيل دفعة باقي 1000</t>
  </si>
  <si>
    <t>حساب جهز التسعير سليمان</t>
  </si>
  <si>
    <t>شيبسي دفعة باقي 8500</t>
  </si>
  <si>
    <t>اوردارت اسلام عبده</t>
  </si>
  <si>
    <t>اوردارت ادم</t>
  </si>
  <si>
    <t>عبده بقال</t>
  </si>
  <si>
    <t>ابو يوسف دفعة باقي 2600</t>
  </si>
  <si>
    <t xml:space="preserve">الجزا ر سراير </t>
  </si>
  <si>
    <t>فاتورة الجزار مجمدات يوم 4/7</t>
  </si>
  <si>
    <t xml:space="preserve">ابو فارس </t>
  </si>
  <si>
    <t>الوديان خالص</t>
  </si>
  <si>
    <t>حماد خالص</t>
  </si>
  <si>
    <t>فل لمحل</t>
  </si>
  <si>
    <t>اسلام خزنة</t>
  </si>
  <si>
    <t>سباكة</t>
  </si>
  <si>
    <t>دهان</t>
  </si>
  <si>
    <t>زبادي فخار</t>
  </si>
  <si>
    <t>فارس</t>
  </si>
  <si>
    <t>الحي</t>
  </si>
  <si>
    <t>جبورة مخلل</t>
  </si>
  <si>
    <t>معجنات</t>
  </si>
  <si>
    <t>ايمن</t>
  </si>
  <si>
    <t>فاتورة برسيل</t>
  </si>
  <si>
    <t>عبده سعد شحن</t>
  </si>
  <si>
    <t>شرشوبة</t>
  </si>
  <si>
    <t>اساتك</t>
  </si>
  <si>
    <t>رشيدي الميزان</t>
  </si>
  <si>
    <t>قراميش</t>
  </si>
  <si>
    <t>جهينة</t>
  </si>
  <si>
    <t>بخور</t>
  </si>
  <si>
    <t>تسليك بلاعة</t>
  </si>
  <si>
    <t>تبع الشيخ</t>
  </si>
  <si>
    <t>سلفة كند</t>
  </si>
  <si>
    <t>عبد الله</t>
  </si>
  <si>
    <t>مصطفى مختار سلفة</t>
  </si>
  <si>
    <t>وايت دفعة باقي 18000</t>
  </si>
  <si>
    <t>كهرباء مهاب</t>
  </si>
  <si>
    <t>ابو علم خالص ليوم 7/7</t>
  </si>
  <si>
    <t>جود فرنس</t>
  </si>
  <si>
    <t>تميز</t>
  </si>
  <si>
    <t>بيبي جوي</t>
  </si>
  <si>
    <t>صيانه</t>
  </si>
  <si>
    <t>برافو</t>
  </si>
  <si>
    <t>اديتا</t>
  </si>
  <si>
    <t xml:space="preserve">عم يوسف </t>
  </si>
  <si>
    <t xml:space="preserve">بيروسول </t>
  </si>
  <si>
    <t>بضاعة خلل وقصافات الجزار</t>
  </si>
  <si>
    <t xml:space="preserve">2300 بيض </t>
  </si>
  <si>
    <t>ابو يوسف باقي 2000</t>
  </si>
  <si>
    <t>شيبسي باقي 9000</t>
  </si>
  <si>
    <t>اسيل فاتورة خالصة</t>
  </si>
  <si>
    <t>طرشي الطياره فاتورة خالصة</t>
  </si>
  <si>
    <t>ابو عمار من حساب الشركة</t>
  </si>
  <si>
    <t>عبده داوود سلفة</t>
  </si>
  <si>
    <t>سليمان محاسب</t>
  </si>
  <si>
    <t>فكة رامز</t>
  </si>
  <si>
    <t>كريم فهمي بعد عمر</t>
  </si>
  <si>
    <t>نوري باقي 1000</t>
  </si>
  <si>
    <t>كريم فهمي بدل عمر الفجر</t>
  </si>
  <si>
    <t>ايرادات</t>
  </si>
  <si>
    <t>المغربي باب خشب للمطبخ</t>
  </si>
  <si>
    <t>مهاب تكملة الحي</t>
  </si>
  <si>
    <t>كريم فهمي بدل عمر الفجر شحن</t>
  </si>
  <si>
    <t>تريد مارك كيندر  خالص</t>
  </si>
  <si>
    <t>زيادة</t>
  </si>
  <si>
    <t>احمد بيكدري باقي 2000</t>
  </si>
  <si>
    <t>هارون</t>
  </si>
  <si>
    <t>محمد سليمان شخصي</t>
  </si>
  <si>
    <t>دولسي باقي 2000</t>
  </si>
  <si>
    <t>خصم فاتورة اسامة الشيمي</t>
  </si>
  <si>
    <t xml:space="preserve">كريم فهمي </t>
  </si>
  <si>
    <t>هارون باقي 50000</t>
  </si>
  <si>
    <t>كريم فهمي ممكن</t>
  </si>
  <si>
    <t>ماركت الحرية منظفات</t>
  </si>
  <si>
    <t>كريم يومية</t>
  </si>
  <si>
    <t>يحيى</t>
  </si>
  <si>
    <t>كهربائي</t>
  </si>
  <si>
    <t>بريداواي</t>
  </si>
  <si>
    <t>خلطات</t>
  </si>
  <si>
    <t>فودافون كاش الحرية</t>
  </si>
  <si>
    <t>الرحاب دبل دير</t>
  </si>
  <si>
    <t>فةدافون كاش</t>
  </si>
  <si>
    <t>زبادي طواجن فخار</t>
  </si>
  <si>
    <t>9-7-2023'!A1</t>
  </si>
  <si>
    <t>كريم سعيد سحن</t>
  </si>
  <si>
    <t>مياه الماركت</t>
  </si>
  <si>
    <t>مرتب غنام وتم خصم 500</t>
  </si>
  <si>
    <t>UP</t>
  </si>
  <si>
    <t>برسيل</t>
  </si>
  <si>
    <t>عبده داوود سلفة خالص</t>
  </si>
  <si>
    <t>سامح ابو النور قلية</t>
  </si>
  <si>
    <t>باقي فاتورة البسطرمة</t>
  </si>
  <si>
    <t>الجزار مشتريات</t>
  </si>
  <si>
    <t>سامح ابو النور كريستال</t>
  </si>
  <si>
    <t>مزارع دينا</t>
  </si>
  <si>
    <t>لاكتيل</t>
  </si>
  <si>
    <t>مصطفى الكاشير سلفة خالص</t>
  </si>
  <si>
    <t>بقوليات</t>
  </si>
  <si>
    <t>البوادي</t>
  </si>
  <si>
    <t>كادبوري</t>
  </si>
  <si>
    <t>عيش الجندي</t>
  </si>
  <si>
    <t xml:space="preserve">زبادي جهينة </t>
  </si>
  <si>
    <t>شيبسي باقي 7000</t>
  </si>
  <si>
    <t>جالاكسي</t>
  </si>
  <si>
    <t>ابو يوسف باقي 1000</t>
  </si>
  <si>
    <t xml:space="preserve">يوسف محمد </t>
  </si>
  <si>
    <t>سينيوريتا  باقي 4000</t>
  </si>
  <si>
    <t xml:space="preserve">بيض </t>
  </si>
  <si>
    <t>سامح ابو النور فاتوره تخص الحرية اوكسي</t>
  </si>
  <si>
    <t>الزهار</t>
  </si>
  <si>
    <t>سمان</t>
  </si>
  <si>
    <t xml:space="preserve"> مصطفى</t>
  </si>
  <si>
    <t>حلويات خالد</t>
  </si>
  <si>
    <t>رومي مبشور مهاب</t>
  </si>
  <si>
    <t xml:space="preserve"> </t>
  </si>
  <si>
    <t>باقي حساب الجزار سراير</t>
  </si>
  <si>
    <t>حساب 2 انتينا للحرية</t>
  </si>
  <si>
    <t>شلبي</t>
  </si>
  <si>
    <t>حساب زبون</t>
  </si>
  <si>
    <t>جود شيف باقي 4000</t>
  </si>
  <si>
    <t>هارون دفعة باقي 40000</t>
  </si>
  <si>
    <t>مشتريات محل</t>
  </si>
  <si>
    <t xml:space="preserve">زياد التابعي </t>
  </si>
  <si>
    <t>خضار مهاب</t>
  </si>
  <si>
    <t>مصطفى مختار شحن</t>
  </si>
  <si>
    <t>زبادي طواجن</t>
  </si>
  <si>
    <t>جبنة فلاحي</t>
  </si>
  <si>
    <t>عبده سعد مشتريات</t>
  </si>
  <si>
    <t>اركان</t>
  </si>
  <si>
    <t>الطحان فاتورة باقي 3000</t>
  </si>
  <si>
    <t>Up</t>
  </si>
  <si>
    <t>الماسة فاتورة باقي ف الفاتورة الارز والسكر 5000</t>
  </si>
  <si>
    <t>باقي حساب خضار مهاب امبارح</t>
  </si>
  <si>
    <t xml:space="preserve">فودافون كاش </t>
  </si>
  <si>
    <t>زبادي جهينه</t>
  </si>
  <si>
    <t>برنش</t>
  </si>
  <si>
    <t>اولاد دره</t>
  </si>
  <si>
    <t>فراخ الحجاز</t>
  </si>
  <si>
    <t>العدوي شحن</t>
  </si>
  <si>
    <t>نوري خالص</t>
  </si>
  <si>
    <t>شيبسي باقي 6000</t>
  </si>
  <si>
    <t xml:space="preserve">البركة فودز للمواد الغذئية (فاتورة بن ابو عوف ) تخص الحرية </t>
  </si>
  <si>
    <t xml:space="preserve">صلاح سلفه لحد بليل </t>
  </si>
  <si>
    <t xml:space="preserve">عوض </t>
  </si>
  <si>
    <t xml:space="preserve">ابو يوسف خالص </t>
  </si>
  <si>
    <t>دفعة وايت باقي 16000</t>
  </si>
  <si>
    <t>ايفل دفعة باقي 5800</t>
  </si>
  <si>
    <t>مصطفى فؤاد خالص الى اليوم</t>
  </si>
  <si>
    <t>ابو عمار جبنة رومي</t>
  </si>
  <si>
    <t>سامح فاتورة</t>
  </si>
  <si>
    <t>جود شيف باقي 7950</t>
  </si>
  <si>
    <t>وليد</t>
  </si>
  <si>
    <t>خالد فوزي</t>
  </si>
  <si>
    <t>الحداد مهاب</t>
  </si>
  <si>
    <t>عجز</t>
  </si>
  <si>
    <t>هارون باقي 30000</t>
  </si>
  <si>
    <t>5000 اسلام طاووس</t>
  </si>
  <si>
    <t>4500 يفط</t>
  </si>
  <si>
    <t>اسلام برجل اكتبهم على الجزار</t>
  </si>
  <si>
    <t>كريم فهمي شحن</t>
  </si>
  <si>
    <t>اسلام طاووس الجزار</t>
  </si>
  <si>
    <t>الجزار يفط</t>
  </si>
  <si>
    <t>شحنة العربي خالص</t>
  </si>
  <si>
    <t>عبده البقال</t>
  </si>
  <si>
    <t>خلف شخصي</t>
  </si>
  <si>
    <t>الجندي</t>
  </si>
  <si>
    <t>عبد الرحمن البقال</t>
  </si>
  <si>
    <t>فرق حساب زبون</t>
  </si>
  <si>
    <t>كلوركس</t>
  </si>
  <si>
    <t>جلاكسي</t>
  </si>
  <si>
    <t>كمبوت خوخ</t>
  </si>
  <si>
    <t>الغباري</t>
  </si>
  <si>
    <t>بن اركان</t>
  </si>
  <si>
    <t>خلف شحن</t>
  </si>
  <si>
    <t>عمر جاد مشتريات</t>
  </si>
  <si>
    <t>عمر جاد شخصي</t>
  </si>
  <si>
    <t>المراعي لبن خالص</t>
  </si>
  <si>
    <t>باب الشام فاتورة</t>
  </si>
  <si>
    <t>كوكي باقي 12485</t>
  </si>
  <si>
    <t>باتيه دومتي</t>
  </si>
  <si>
    <t>زبادي المراعي</t>
  </si>
  <si>
    <t>اسيل خالص</t>
  </si>
  <si>
    <t>واي ام اتش كنور</t>
  </si>
  <si>
    <t>شحن انتينا</t>
  </si>
  <si>
    <t>مهاب رومي وبسطرمة للخلطات</t>
  </si>
  <si>
    <t>شيبسي باقي 5000</t>
  </si>
  <si>
    <t>البرنامج باقي 5000</t>
  </si>
  <si>
    <t xml:space="preserve">دولسي </t>
  </si>
  <si>
    <t xml:space="preserve">شلبي رز </t>
  </si>
  <si>
    <t xml:space="preserve">فاتورة كمارا </t>
  </si>
  <si>
    <t>جود شيف باقي 5000</t>
  </si>
  <si>
    <t>احمد بيكدري باقي 1000</t>
  </si>
  <si>
    <t>دولسي نستلة باقي 2000</t>
  </si>
  <si>
    <t>قبض كريم</t>
  </si>
  <si>
    <t>IFERROR(VLOOKUP([@البيان];'ايرادات شهر 7 نهائي.xlsx'!Table172023[[مصروفات]:[Column2]];2;0);0);</t>
  </si>
  <si>
    <t>IFERROR(VLOOKUP([@البيان];'ايرادات شهر 7 نهائي.xlsx'!Table272023[[مصروفات]:[Column2]];2;0);0);</t>
  </si>
  <si>
    <t>IFERROR(VLOOKUP([@البيان];'ايرادات شهر 7 نهائي.xlsx'!Table372023[[مصروفات]:[Column2]];2;0);0);</t>
  </si>
  <si>
    <t>IFERROR(VLOOKUP([@البيان];'ايرادات شهر 7 نهائي.xlsx'!Table472023[[مصروفات]:[Column2]];2;0);0);</t>
  </si>
  <si>
    <t>IFERROR(VLOOKUP([@البيان];'ايرادات شهر 7 نهائي.xlsx'!Table572023[[مصروفات]:[Column2]];2;0);0);</t>
  </si>
  <si>
    <t>IFERROR(VLOOKUP([@البيان];'ايرادات شهر 7 نهائي.xlsx'!Table672023[[مصروفات]:[Column2]];2;0);0);</t>
  </si>
  <si>
    <t>IFERROR(VLOOKUP([@البيان];'ايرادات شهر 7 نهائي.xlsx'!Table772023[[مصروفات]:[Column2]];2;0);0);</t>
  </si>
  <si>
    <t>IFERROR(VLOOKUP([@البيان];'ايرادات شهر 7 نهائي.xlsx'!Table872023[[مصروفات]:[Column2]];2;0);0);</t>
  </si>
  <si>
    <t>IFERROR(VLOOKUP([@البيان];'ايرادات شهر 7 نهائي.xlsx'!Table972023[[مصروفات]:[Column2]];2;0);0);</t>
  </si>
  <si>
    <t>IFERROR(VLOOKUP([@البيان];'ايرادات شهر 7 نهائي.xlsx'!Table1072023[[مصروفات]:[Column2]];2;0);0);</t>
  </si>
  <si>
    <t>IFERROR(VLOOKUP([@البيان];'ايرادات شهر 7 نهائي.xlsx'!Table1172023[[مصروفات]:[Column2]];2;0);0);</t>
  </si>
  <si>
    <t>IFERROR(VLOOKUP([@البيان];'ايرادات شهر 7 نهائي.xlsx'!Table1272023[[مصروفات]:[Column2]];2;0);0);</t>
  </si>
  <si>
    <t>IFERROR(VLOOKUP([@البيان];'ايرادات شهر 7 نهائي.xlsx'!Table1372023[[مصروفات]:[Column2]];2;0);0);</t>
  </si>
  <si>
    <t>IFERROR(VLOOKUP([@البيان];'ايرادات شهر 7 نهائي.xlsx'!Table1472023[[مصروفات]:[Column2]];2;0);0);</t>
  </si>
  <si>
    <t>IFERROR(VLOOKUP([@البيان];'ايرادات شهر 7 نهائي.xlsx'!Table1572023[[مصروفات]:[Column2]];2;0);0);</t>
  </si>
  <si>
    <t>IFERROR(VLOOKUP([@البيان];'ايرادات شهر 7 نهائي.xlsx'!Table1672023[[مصروفات]:[Column2]];2;0);0);</t>
  </si>
  <si>
    <t>IFERROR(VLOOKUP([@البيان];'ايرادات شهر 7 نهائي.xlsx'!Table1772023[[مصروفات]:[Column2]];2;0);0);</t>
  </si>
  <si>
    <t>IFERROR(VLOOKUP([@البيان];'ايرادات شهر 7 نهائي.xlsx'!Table1872023[[مصروفات]:[Column2]];2;0);0);</t>
  </si>
  <si>
    <t>IFERROR(VLOOKUP([@البيان];'ايرادات شهر 7 نهائي.xlsx'!Table1972023[[مصروفات]:[Column2]];2;0);0);</t>
  </si>
  <si>
    <t>IFERROR(VLOOKUP([@البيان];'ايرادات شهر 7 نهائي.xlsx'!Table2072023[[مصروفات]:[Column2]];2;0);0);</t>
  </si>
  <si>
    <t>IFERROR(VLOOKUP([@البيان];'ايرادات شهر 7 نهائي.xlsx'!Table2172023[[مصروفات]:[Column2]];2;0);0);</t>
  </si>
  <si>
    <t>IFERROR(VLOOKUP([@البيان];'ايرادات شهر 7 نهائي.xlsx'!Table2272023[[مصروفات]:[Column2]];2;0);0);</t>
  </si>
  <si>
    <t>IFERROR(VLOOKUP([@البيان];'ايرادات شهر 7 نهائي.xlsx'!Table2372023[[مصروفات]:[Column2]];2;0);0);</t>
  </si>
  <si>
    <t>IFERROR(VLOOKUP([@البيان];'ايرادات شهر 7 نهائي.xlsx'!Table2472023[[مصروفات]:[Column2]];2;0);0);</t>
  </si>
  <si>
    <t>IFERROR(VLOOKUP([@البيان];'ايرادات شهر 7 نهائي.xlsx'!Table2572023[[مصروفات]:[Column2]];2;0);0);</t>
  </si>
  <si>
    <t>IFERROR(VLOOKUP([@البيان];'ايرادات شهر 7 نهائي.xlsx'!Table2672023[[مصروفات]:[Column2]];2;0);0);</t>
  </si>
  <si>
    <t>IFERROR(VLOOKUP([@البيان];'ايرادات شهر 7 نهائي.xlsx'!Table2772023[[مصروفات]:[Column2]];2;0);0);</t>
  </si>
  <si>
    <t>IFERROR(VLOOKUP([@البيان];'ايرادات شهر 7 نهائي.xlsx'!Table2872023[[مصروفات]:[Column2]];2;0);0);</t>
  </si>
  <si>
    <t>IFERROR(VLOOKUP([@البيان];'ايرادات شهر 7 نهائي.xlsx'!Table2972023[[مصروفات]:[Column2]];2;0);0);</t>
  </si>
  <si>
    <t>IFERROR(VLOOKUP([@البيان];'ايرادات شهر 7 نهائي.xlsx'!Table302023[[مصروفات]:[Column2]];2;0);0);</t>
  </si>
  <si>
    <t>IFERROR(VLOOKUP([@البيان];'ايرادات شهر 7 نهائي.xlsx'!Table172023[[مصروفات]:[Column2]];2;0);0);IFERROR(VLOOKUP([@البيان];'ايرادات شهر 7 نهائي.xlsx'!Table272023[[مصروفات]:[Column2]];2;0);0);IFERROR(VLOOKUP([@البيان];'ايرادات شهر 7 نهائي.xlsx'!Table472023[[مصروفات]:[Column2]];2;0);0);IFERROR(VLOOKUP([@البيان];'ايرادات شهر 7 نهائي.xlsx'!Table572023[[مصروفات]:[Column2]];2;0);0);IFERROR(VLOOKUP([@البيان];'ايرادات شهر 7 نهائي.xlsx'!Table672023[[مصروفات]:[Column2]];2;0);0);IFERROR(VLOOKUP([@البيان];'ايرادات شهر 7 نهائي.xlsx'!Table772023[[مصروفات]:[Column2]];2;0);0);IFERROR(VLOOKUP([@البيان];'ايرادات شهر 7 نهائي.xlsx'!Table872023[[مصروفات]:[Column2]];2;0);0);IFERROR(VLOOKUP([@البيان];'ايرادات شهر 7 نهائي.xlsx'!Table972023[[مصروفات]:[Column2]];2;0);0);IFERROR(VLOOKUP([@البيان];'ايرادات شهر 7 نهائي.xlsx'!Table1072023[[مصروفات]:[Column2]];2;0);0);IFERROR(VLOOKUP([@البيان];'ايرادات شهر 7 نهائي.xlsx'!Table1172023[[مصروفات]:[Column2]];2;0);0);IFERROR(VLOOKUP([@البيان];'ايرادات شهر 7 نهائي.xlsx'!Table1272023[[مصروفات]:[Column2]];2;0);0);IFERROR(VLOOKUP([@البيان];'ايرادات شهر 7 نهائي.xlsx'!Table1372023[[مصروفات]:[Column2]];2;0);0);IFERROR(VLOOKUP([@البيان];'ايرادات شهر 7 نهائي.xlsx'!Table1472023[[مصروفات]:[Column2]];2;0);0);IFERROR(VLOOKUP([@البيان];'ايرادات شهر 7 نهائي.xlsx'!Table1572023[[مصروفات]:[Column2]];2;0);0);IFERROR(VLOOKUP([@البيان];'ايرادات شهر 7 نهائي.xlsx'!Table1672023[[مصروفات]:[Column2]];2;0);0);IFERROR(VLOOKUP([@البيان];'ايرادات شهر 7 نهائي.xlsx'!Table1772023[[مصروفات]:[Column2]];2;0);0);IFERROR(VLOOKUP([@البيان];'ايرادات شهر 7 نهائي.xlsx'!Table1872023[[مصروفات]:[Column2]];2;0);0);IFERROR(VLOOKUP([@البيان];'ايرادات شهر 7 نهائي.xlsx'!Table1972023[[مصروفات]:[Column2]];2;0);0);IFERROR(VLOOKUP([@البيان];'ايرادات شهر 7 نهائي.xlsx'!Table2072023[[مصروفات]:[Column2]];2;0);0);IFERROR(VLOOKUP([@البيان];'ايرادات شهر 7 نهائي.xlsx'!Table2172023[[مصروفات]:[Column2]];2;0);0);IFERROR(VLOOKUP([@البيان];'ايرادات شهر 7 نهائي.xlsx'!Table2272023[[مصروفات]:[Column2]];2;0);0);IFERROR(VLOOKUP([@البيان];'ايرادات شهر 7 نهائي.xlsx'!Table2372023[[مصروفات]:[Column2]];2;0);0);IFERROR(VLOOKUP([@البيان];'ايرادات شهر 7 نهائي.xlsx'!Table2472023[[مصروفات]:[Column2]];2;0);0);IFERROR(VLOOKUP([@البيان];'ايرادات شهر 7 نهائي.xlsx'!Table2572023[[مصروفات]:[Column2]];2;0);0);IFERROR(VLOOKUP([@البيان];'ايرادات شهر 7 نهائي.xlsx'!Table2672023[[مصروفات]:[Column2]];2;0);0);IFERROR(VLOOKUP([@البيان];'ايرادات شهر 7 نهائي.xlsx'!Table2772023[[مصروفات]:[Column2]];2;0);0);IFERROR(VLOOKUP([@البيان];'ايرادات شهر 7 نهائي.xlsx'!Table2872023[[مصروفات]:[Column2]];2;0);0);IFERROR(VLOOKUP([@البيان];'ايرادات شهر 7 نهائي.xlsx'!Table2972023[[مصروفات]:[Column2]];2;0);0);IFERROR(VLOOKUP([@البيان];'ايرادات شهر 7 نهائي.xlsx'!Table302023[[مصروفات]:[Column2]];2;0);0);IFERROR(VLOOKUP([@البيان];'ايرادات شهر 7 نهائي.xlsx'!Table372023[[مصروفات]:[Column2]];2;0);0);</t>
  </si>
  <si>
    <t>SUM(IFERROR(VLOOKUP([@البيان];'ايرادات شهر 7 نهائي.xlsx'!Table172023[[مصروفات]:[Column2]];2;0);0);IFERROR(VLOOKUP([@البيان];'ايرادات شهر 7 نهائي.xlsx'!Table272023[[مصروفات]:[Column2]];2;0);0);IFERROR(VLOOKUP([@البيان];'ايرادات شهر 7 نهائي.xlsx'!Table472023[[مصروفات]:[Column2]];2;0);0);IFERROR(VLOOKUP([@البيان];'ايرادات شهر 7 نهائي.xlsx'!Table572023[[مصروفات]:[Column2]];2;0);0);IFERROR(VLOOKUP([@البيان];'ايرادات شهر 7 نهائي.xlsx'!Table672023[[مصروفات]:[Column2]];2;0);0);IFERROR(VLOOKUP([@البيان];'ايرادات شهر 7 نهائي.xlsx'!Table772023[[مصروفات]:[Column2]];2;0);0);IFERROR(VLOOKUP([@البيان];'ايرادات شهر 7 نهائي.xlsx'!Table872023[[مصروفات]:[Column2]];2;0);0);IFERROR(VLOOKUP([@البيان];'ايرادات شهر 7 نهائي.xlsx'!Table972023[[مصروفات]:[Column2]];2;0);0);IFERROR(VLOOKUP([@البيان];'ايرادات شهر 7 نهائي.xlsx'!Table1072023[[مصروفات]:[Column2]];2;0);0);IFERROR(VLOOKUP([@البيان];'ايرادات شهر 7 نهائي.xlsx'!Table1172023[[مصروفات]:[Column2]];2;0);0);IFERROR(VLOOKUP([@البيان];'ايرادات شهر 7 نهائي.xlsx'!Table1272023[[مصروفات]:[Column2]];2;0);0);IFERROR(VLOOKUP([@البيان];'ايرادات شهر 7 نهائي.xlsx'!Table1372023[[مصروفات]:[Column2]];2;0);0);IFERROR(VLOOKUP([@البيان];'ايرادات شهر 7 نهائي.xlsx'!Table1472023[[مصروفات]:[Column2]];2;0);0);IFERROR(VLOOKUP([@البيان];'ايرادات شهر 7 نهائي.xlsx'!Table1572023[[مصروفات]:[Column2]];2;0);0);IFERROR(VLOOKUP([@البيان];'ايرادات شهر 7 نهائي.xlsx'!Table1672023[[مصروفات]:[Column2]];2;0);0);IFERROR(VLOOKUP([@البيان];'ايرادات شهر 7 نهائي.xlsx'!Table1772023[[مصروفات]:[Column2]];2;0);0);IFERROR(VLOOKUP([@البيان];'ايرادات شهر 7 نهائي.xlsx'!Table1872023[[مصروفات]:[Column2]];2;0);0);IFERROR(VLOOKUP([@البيان];'ايرادات شهر 7 نهائي.xlsx'!Table1972023[[مصروفات]:[Column2]];2;0);0);IFERROR(VLOOKUP([@البيان];'ايرادات شهر 7 نهائي.xlsx'!Table2072023[[مصروفات]:[Column2]];2;0);0);IFERROR(VLOOKUP([@البيان];'ايرادات شهر 7 نهائي.xlsx'!Table2172023[[مصروفات]:[Column2]];2;0);0);IFERROR(VLOOKUP([@البيان];'ايرادات شهر 7 نهائي.xlsx'!Table2272023[[مصروفات]:[Column2]];2;0);0);IFERROR(VLOOKUP([@البيان];'ايرادات شهر 7 نهائي.xlsx'!Table2372023[[مصروفات]:[Column2]];2;0);0);IFERROR(VLOOKUP([@البيان];'ايرادات شهر 7 نهائي.xlsx'!Table2472023[[مصروفات]:[Column2]];2;0);0);IFERROR(VLOOKUP([@البيان];'ايرادات شهر 7 نهائي.xlsx'!Table2572023[[مصروفات]:[Column2]];2;0);0);IFERROR(VLOOKUP([@البيان];'ايرادات شهر 7 نهائي.xlsx'!Table2672023[[مصروفات]:[Column2]];2;0);0);IFERROR(VLOOKUP([@البيان];'ايرادات شهر 7 نهائي.xlsx'!Table2772023[[مصروفات]:[Column2]];2;0);0);IFERROR(VLOOKUP([@البيان];'ايرادات شهر 7 نهائي.xlsx'!Table2872023[[مصروفات]:[Column2]];2;0);0);IFERROR(VLOOKUP([@البيان];'ايرادات شهر 7 نهائي.xlsx'!Table2972023[[مصروفات]:[Column2]];2;0);0);IFERROR(VLOOKUP([@البيان];'ايرادات شهر 7 نهائي.xlsx'!Table302023[[مصروفات]:[Column2]];2;0);0);IFERROR(VLOOKUP([@البيان];'ايرادات شهر 7 نهائي.xlsx'!Table372023[[مصروفات]:[Column2]];2;0);0))</t>
  </si>
  <si>
    <t xml:space="preserve"> مهاب المغربي لدهان الشقة ف الشركة</t>
  </si>
  <si>
    <t>ايجار المخزن اللبانة</t>
  </si>
  <si>
    <t>عربون العربية اخدته منه الشهر اللي فات رجع للجزار</t>
  </si>
  <si>
    <t>فاتورة مخلل</t>
  </si>
  <si>
    <t>عيش بالردة</t>
  </si>
  <si>
    <t>ابو كريم</t>
  </si>
  <si>
    <t>ابو ياسين</t>
  </si>
  <si>
    <t>محمود البدراني فوري</t>
  </si>
  <si>
    <t>هارون باقي 20000</t>
  </si>
  <si>
    <t>محمد الكيلاني</t>
  </si>
  <si>
    <t>محمد عادل</t>
  </si>
  <si>
    <t>عيش لبناني</t>
  </si>
  <si>
    <t>محلب</t>
  </si>
  <si>
    <t>طرابية</t>
  </si>
  <si>
    <t>عيش تورتيلا</t>
  </si>
  <si>
    <t>نستلة دولسي</t>
  </si>
  <si>
    <t>مصطفى الحرية</t>
  </si>
  <si>
    <t>صيانة نت</t>
  </si>
  <si>
    <t>لافاش كيري الحرية</t>
  </si>
  <si>
    <t>لافاش كيري وابو الولد خالص</t>
  </si>
  <si>
    <t>حلويات فكة اليت</t>
  </si>
  <si>
    <t>اشرف خضار مهاب</t>
  </si>
  <si>
    <t>نيدو ونيسكويك وماجي</t>
  </si>
  <si>
    <t>محمد</t>
  </si>
  <si>
    <t>كريم سلفة</t>
  </si>
  <si>
    <t>رونيسكا</t>
  </si>
  <si>
    <t>غندور خالص</t>
  </si>
  <si>
    <t>الطحان دفعة باقي 2000</t>
  </si>
  <si>
    <t>لافاش كيري كرتونة 8 قطع</t>
  </si>
  <si>
    <t>الجزار مجمدات الحرية</t>
  </si>
  <si>
    <t>عدة بايظة ف ماركت الحرية</t>
  </si>
  <si>
    <t>محمد جبنة</t>
  </si>
  <si>
    <t>باقى فاتورة الجزار</t>
  </si>
  <si>
    <t>كتد</t>
  </si>
  <si>
    <t>شيبسى</t>
  </si>
  <si>
    <t>شيبسى دفعة باقى 3500</t>
  </si>
  <si>
    <t>دولسى</t>
  </si>
  <si>
    <t>شركة وايت- دفعة</t>
  </si>
  <si>
    <t>مصطفى فؤاد</t>
  </si>
  <si>
    <t>ايرادات متنوعة ( بيع كراتين وصفائح)</t>
  </si>
  <si>
    <t>مصروف محل</t>
  </si>
  <si>
    <t>عم خالد</t>
  </si>
  <si>
    <t>كادبورى</t>
  </si>
  <si>
    <t>الجندى مخبوزات</t>
  </si>
  <si>
    <t>كند شحن فورى</t>
  </si>
  <si>
    <t>حركة الخزينة  عن  شهر  يوليو   2023</t>
  </si>
  <si>
    <t>الاسراء</t>
  </si>
  <si>
    <t>الحرية</t>
  </si>
  <si>
    <t>الاسراء ممكن</t>
  </si>
  <si>
    <t>محمود البدرانى</t>
  </si>
  <si>
    <t>رصيد إفتتاحى</t>
  </si>
  <si>
    <t>الحرية فورى</t>
  </si>
  <si>
    <t>محمد العدوى</t>
  </si>
  <si>
    <t>محمد كند</t>
  </si>
  <si>
    <t>المبلغ</t>
  </si>
  <si>
    <t>بيان الايرادات</t>
  </si>
  <si>
    <t>تبويب الحساب</t>
  </si>
  <si>
    <t>بيان المصروفات</t>
  </si>
  <si>
    <t>ملاحظـــــــــــــــــــات</t>
  </si>
  <si>
    <t>كريم فهمى</t>
  </si>
  <si>
    <t>مبيعات الاسراء</t>
  </si>
  <si>
    <t>رامز المغربى</t>
  </si>
  <si>
    <t>ايراد شحن ممكن</t>
  </si>
  <si>
    <t>مبيعات الحرية</t>
  </si>
  <si>
    <t>عادل شحن</t>
  </si>
  <si>
    <t>ايراد شحن فورى</t>
  </si>
  <si>
    <t>ايرادات متنوعة</t>
  </si>
  <si>
    <t>محمود شحن</t>
  </si>
  <si>
    <t>دائنون</t>
  </si>
  <si>
    <t>ايراد فودافون كاش</t>
  </si>
  <si>
    <t>مشتريات</t>
  </si>
  <si>
    <t xml:space="preserve">فودفون كاش  </t>
  </si>
  <si>
    <t>شحن وردية العدوى</t>
  </si>
  <si>
    <t xml:space="preserve">خلف </t>
  </si>
  <si>
    <t>شحن وردية عمر</t>
  </si>
  <si>
    <t>يومين</t>
  </si>
  <si>
    <t xml:space="preserve"> عصير باقى 10000</t>
  </si>
  <si>
    <t>باقى فاتورة</t>
  </si>
  <si>
    <t>الطيارة</t>
  </si>
  <si>
    <t>باقى 5600</t>
  </si>
  <si>
    <t xml:space="preserve">النجار </t>
  </si>
  <si>
    <t>بن</t>
  </si>
  <si>
    <t>وايت</t>
  </si>
  <si>
    <t>باقى 6000</t>
  </si>
  <si>
    <t>فاتورة</t>
  </si>
  <si>
    <t xml:space="preserve">سينيوريتا  </t>
  </si>
  <si>
    <t>باقى 4000</t>
  </si>
  <si>
    <t>شخصى</t>
  </si>
  <si>
    <t>دفعة</t>
  </si>
  <si>
    <t>الشروق</t>
  </si>
  <si>
    <t xml:space="preserve">سامح ابو النور </t>
  </si>
  <si>
    <t>لبن</t>
  </si>
  <si>
    <t xml:space="preserve">فريدة </t>
  </si>
  <si>
    <t>خالص</t>
  </si>
  <si>
    <t xml:space="preserve">عبد الرحمن </t>
  </si>
  <si>
    <t>جبن امس</t>
  </si>
  <si>
    <t xml:space="preserve">حازم </t>
  </si>
  <si>
    <t>بقالة</t>
  </si>
  <si>
    <t xml:space="preserve"> دفعة باقي 20000</t>
  </si>
  <si>
    <t>باقى 920</t>
  </si>
  <si>
    <t xml:space="preserve">احمد بيكدر </t>
  </si>
  <si>
    <t>أبو علم</t>
  </si>
  <si>
    <t>خالص حتى 30/ 6</t>
  </si>
  <si>
    <t>واجهة الباب بالمصنعية</t>
  </si>
  <si>
    <t>كذلك الحرية</t>
  </si>
  <si>
    <t xml:space="preserve">ايفريدي </t>
  </si>
  <si>
    <t>دفعة باقى 4070</t>
  </si>
  <si>
    <t>باقى 12000</t>
  </si>
  <si>
    <t>باقى 600</t>
  </si>
  <si>
    <t>باقى</t>
  </si>
  <si>
    <t>باقى 8000</t>
  </si>
  <si>
    <t xml:space="preserve">جود شيف </t>
  </si>
  <si>
    <t>باقي 3000</t>
  </si>
  <si>
    <t xml:space="preserve">الشيخ زواتين </t>
  </si>
  <si>
    <t>باقى 2907</t>
  </si>
  <si>
    <t xml:space="preserve">شلبي </t>
  </si>
  <si>
    <t>باقي 10000</t>
  </si>
  <si>
    <t xml:space="preserve">محمد سليمان </t>
  </si>
  <si>
    <t xml:space="preserve">ابراهيم </t>
  </si>
  <si>
    <t>سلفة</t>
  </si>
  <si>
    <t>من كند مهاب كهرباء</t>
  </si>
  <si>
    <t>عصير خالص</t>
  </si>
  <si>
    <t>محمود شحاتة</t>
  </si>
  <si>
    <t xml:space="preserve">نوري </t>
  </si>
  <si>
    <t>دفعة باقي 2487</t>
  </si>
  <si>
    <t>زبادى</t>
  </si>
  <si>
    <t>باقى 2000</t>
  </si>
  <si>
    <t>باتية</t>
  </si>
  <si>
    <t>مجمدات</t>
  </si>
  <si>
    <t>من كند</t>
  </si>
  <si>
    <t xml:space="preserve">حماد وفي </t>
  </si>
  <si>
    <t>فاتورة اجل</t>
  </si>
  <si>
    <t xml:space="preserve">الجزار  </t>
  </si>
  <si>
    <t>حساب (كشاف وصلة شاحن وشيكرتون) باقي 500</t>
  </si>
  <si>
    <t xml:space="preserve">مرتب خلف </t>
  </si>
  <si>
    <t>يقبض شهر 7 كامل</t>
  </si>
  <si>
    <t>ابو احمد شحن</t>
  </si>
  <si>
    <t>ابو النور</t>
  </si>
  <si>
    <t>توم مفروم وجل 3 لتر</t>
  </si>
  <si>
    <t>باقى 9500</t>
  </si>
  <si>
    <t>تايجر</t>
  </si>
  <si>
    <t>سنيوريتا باقى 5000</t>
  </si>
  <si>
    <t>16 ساعة</t>
  </si>
  <si>
    <t xml:space="preserve">معتز العربي </t>
  </si>
  <si>
    <t>عسل اسود</t>
  </si>
  <si>
    <t>الوديان</t>
  </si>
  <si>
    <t>ظابط</t>
  </si>
  <si>
    <t xml:space="preserve">الجزار </t>
  </si>
  <si>
    <t>500 باقي حساب كهرباء امبارح و3150 حساب زجاج الثلاجة والبانرات</t>
  </si>
  <si>
    <t>السيد العباسى</t>
  </si>
  <si>
    <t xml:space="preserve">يوسف عامر </t>
  </si>
  <si>
    <t>محمد بيه</t>
  </si>
  <si>
    <t>باقى 1000</t>
  </si>
  <si>
    <t>باقى 8500</t>
  </si>
  <si>
    <t>اوردرات</t>
  </si>
  <si>
    <t>باقى 2600</t>
  </si>
  <si>
    <t xml:space="preserve">حماد </t>
  </si>
  <si>
    <t>باقى 18000</t>
  </si>
  <si>
    <t>خالص حتى 7/ 7</t>
  </si>
  <si>
    <t>سراير</t>
  </si>
  <si>
    <t>نقدية واردة ابو عمار ( من ح الشركة)</t>
  </si>
  <si>
    <t>صيانة</t>
  </si>
  <si>
    <t>طرشى فاتورة خالصة</t>
  </si>
  <si>
    <t>فاتورة خاصة</t>
  </si>
  <si>
    <t>بضاعة خلل وقصافات</t>
  </si>
  <si>
    <t>باقى 9000</t>
  </si>
  <si>
    <t>باقي 1000</t>
  </si>
  <si>
    <t xml:space="preserve">تريد مارك كيندر </t>
  </si>
  <si>
    <t>باقى 2000 ج</t>
  </si>
  <si>
    <t xml:space="preserve">هارون </t>
  </si>
  <si>
    <t>باقي 50000</t>
  </si>
  <si>
    <t>منظفات</t>
  </si>
  <si>
    <t xml:space="preserve">ماركت الحرية </t>
  </si>
  <si>
    <t xml:space="preserve">مرتب غنام </t>
  </si>
  <si>
    <t>وتم خصم 500</t>
  </si>
  <si>
    <t>قلية</t>
  </si>
  <si>
    <t>باقى 7000</t>
  </si>
  <si>
    <t>فاتورة أوكسى تخص الحرية</t>
  </si>
  <si>
    <t xml:space="preserve">سينيوريتا </t>
  </si>
  <si>
    <t>جود شيف</t>
  </si>
  <si>
    <t xml:space="preserve"> باقي 4000</t>
  </si>
  <si>
    <t xml:space="preserve"> دفعة باقي 40000</t>
  </si>
  <si>
    <t>باقى ح سراير</t>
  </si>
  <si>
    <t>الطحان</t>
  </si>
  <si>
    <t>فاتورة باقى 3000</t>
  </si>
  <si>
    <t xml:space="preserve">الماسة </t>
  </si>
  <si>
    <t>فاتورة باقي ف الفاتورة الارز والسكر 5000</t>
  </si>
  <si>
    <t>فراخ</t>
  </si>
  <si>
    <t>البركة فودز للمواد الغذئية</t>
  </si>
  <si>
    <t>ف بن ابو عوف تخص محل الحرية</t>
  </si>
  <si>
    <t>دفعة باقى 16000</t>
  </si>
  <si>
    <t>باقى 5800</t>
  </si>
  <si>
    <t xml:space="preserve">مصطفى فؤاد </t>
  </si>
  <si>
    <t>خالص الى اليوم</t>
  </si>
  <si>
    <t>باقي 7950</t>
  </si>
  <si>
    <t>باقي 30000</t>
  </si>
  <si>
    <t>يفط</t>
  </si>
  <si>
    <t>لبن خالص</t>
  </si>
  <si>
    <t>باقي 12485</t>
  </si>
  <si>
    <t>باقى 5000</t>
  </si>
  <si>
    <t>مصطفى يومية</t>
  </si>
  <si>
    <t>المجموع</t>
  </si>
  <si>
    <t>الماسة</t>
  </si>
  <si>
    <t>الجزار تاكسي شخصي</t>
  </si>
  <si>
    <t>مستلزمات للمحل</t>
  </si>
  <si>
    <t>يوسف يومية</t>
  </si>
  <si>
    <t>ابو فارس يومية</t>
  </si>
  <si>
    <t>ابو يوسف دفعة</t>
  </si>
  <si>
    <t>محمود شحن فوري</t>
  </si>
  <si>
    <t>فاتورة الجزار مجمدات</t>
  </si>
  <si>
    <t>مصطفى مختار شحن ممكن</t>
  </si>
  <si>
    <t>ابو كريم يومية</t>
  </si>
  <si>
    <t xml:space="preserve">عادل </t>
  </si>
  <si>
    <t>عادل شحن فوري</t>
  </si>
  <si>
    <t>الماسة دفعة باقي 4328</t>
  </si>
  <si>
    <t>هارون باقي 10000</t>
  </si>
  <si>
    <t>تايجر خالص</t>
  </si>
  <si>
    <t>جود شيف خالص</t>
  </si>
  <si>
    <t>مصطفى مختار ممكن</t>
  </si>
  <si>
    <t>عادل فورى</t>
  </si>
  <si>
    <t>ايرادات متنوعة الحرية</t>
  </si>
  <si>
    <t>ايرادات متنوعة الاسراء</t>
  </si>
  <si>
    <t>عملاء</t>
  </si>
  <si>
    <t>الايرادات</t>
  </si>
  <si>
    <t>المصروفات</t>
  </si>
  <si>
    <t>موردون</t>
  </si>
  <si>
    <t>مشتريات نقدية</t>
  </si>
  <si>
    <t>أجور ومرتبات</t>
  </si>
  <si>
    <t>سلف عاملين</t>
  </si>
  <si>
    <t>مياة</t>
  </si>
  <si>
    <t xml:space="preserve">كهرباء </t>
  </si>
  <si>
    <t>إيجار</t>
  </si>
  <si>
    <t>مشتريات نقدية خبز</t>
  </si>
  <si>
    <t>مشتريات نقدية بيض</t>
  </si>
  <si>
    <t>فروق خزينة</t>
  </si>
  <si>
    <t>جارى الشيخ مؤمن</t>
  </si>
  <si>
    <t>عهدة الاسراء</t>
  </si>
  <si>
    <t>عهدة الحرية</t>
  </si>
  <si>
    <t>مصروفات شحن ممكن</t>
  </si>
  <si>
    <t>مصروفات شحن فورى</t>
  </si>
  <si>
    <t>مصروفات فودافون كاش</t>
  </si>
  <si>
    <t>مرتجع مبيعات نقدية</t>
  </si>
  <si>
    <t>مردودات مبيعات</t>
  </si>
  <si>
    <t>رامز خالص لليوم</t>
  </si>
  <si>
    <t>تامين مكنة فوري</t>
  </si>
  <si>
    <t>غنام  مبيعات</t>
  </si>
  <si>
    <t>كريم مبيعات</t>
  </si>
  <si>
    <t>كريم شحن ممكن</t>
  </si>
  <si>
    <t>خال شخصي</t>
  </si>
  <si>
    <t>عمر شخصي</t>
  </si>
  <si>
    <t>الشيخ مؤمن للقلوب</t>
  </si>
  <si>
    <t>مصروفات المحل</t>
  </si>
  <si>
    <t>عمرو حسن</t>
  </si>
  <si>
    <t>حسام الامام</t>
  </si>
  <si>
    <t>عمرو شحن</t>
  </si>
  <si>
    <t>فروق</t>
  </si>
  <si>
    <t>فاتورة مجمدات الجزار يوم 4/ 7</t>
  </si>
  <si>
    <t>مشتريات نقدية مجمدات</t>
  </si>
  <si>
    <t>وحدة تشغيل جهاز التسعير "سليمان</t>
  </si>
  <si>
    <t>أصول ثابتة</t>
  </si>
  <si>
    <t xml:space="preserve">صلاح سلفه لحد بالليل </t>
  </si>
  <si>
    <t xml:space="preserve">عبده داود يومية </t>
  </si>
  <si>
    <t>خالص سلفة</t>
  </si>
  <si>
    <t>يومية ادم</t>
  </si>
  <si>
    <t>رصيد افتتاحى</t>
  </si>
  <si>
    <t>باقي 15000</t>
  </si>
  <si>
    <t>طواجن</t>
  </si>
  <si>
    <t>عبدالله</t>
  </si>
  <si>
    <t>لبن المراعي</t>
  </si>
  <si>
    <t xml:space="preserve">صن توب </t>
  </si>
  <si>
    <t xml:space="preserve">شيخ مؤمن </t>
  </si>
  <si>
    <t>مشتريات نقدية لبن</t>
  </si>
  <si>
    <t>شركة ايفل</t>
  </si>
  <si>
    <t xml:space="preserve">الشيخ باقي 2779 زواتين </t>
  </si>
  <si>
    <t>كارت فودافون</t>
  </si>
  <si>
    <t>محمد مجدي</t>
  </si>
  <si>
    <t>العدوي شحن ممكن</t>
  </si>
  <si>
    <t>الجزار طاووس خالص</t>
  </si>
  <si>
    <t>خصم محمد مسعد</t>
  </si>
  <si>
    <t>ديتول للمحل</t>
  </si>
  <si>
    <t>اوردر الشيخ مؤمن</t>
  </si>
  <si>
    <t>مهاب بهارات</t>
  </si>
  <si>
    <t>رشا كهرباء</t>
  </si>
  <si>
    <t>باب الشام دفعة</t>
  </si>
  <si>
    <t>فاتورة وردية كريم</t>
  </si>
  <si>
    <t>لعدوي شحن ممكن</t>
  </si>
  <si>
    <t>كريم فهمي شحن ممكن</t>
  </si>
  <si>
    <t>مهاب دهان للشركة</t>
  </si>
  <si>
    <t>بلال اخدهم</t>
  </si>
  <si>
    <t>سويت لاند حلويات</t>
  </si>
  <si>
    <t xml:space="preserve">سامج ابو النور </t>
  </si>
  <si>
    <t>بن لامار</t>
  </si>
  <si>
    <t>تريد مارك (خالص)</t>
  </si>
  <si>
    <t>مصطفي فواد</t>
  </si>
  <si>
    <t xml:space="preserve">المصري للتجارة </t>
  </si>
  <si>
    <t xml:space="preserve">واي ام اتش كنور </t>
  </si>
  <si>
    <t>حواء</t>
  </si>
  <si>
    <t>روجينا</t>
  </si>
  <si>
    <t>فاين</t>
  </si>
  <si>
    <t>مراعي</t>
  </si>
  <si>
    <t>رضوان</t>
  </si>
  <si>
    <t xml:space="preserve">معجنات </t>
  </si>
  <si>
    <t xml:space="preserve">عم خالد </t>
  </si>
  <si>
    <t xml:space="preserve">صهيب </t>
  </si>
  <si>
    <t xml:space="preserve">عصفور </t>
  </si>
  <si>
    <t>الجندى</t>
  </si>
  <si>
    <t xml:space="preserve">عيش رده </t>
  </si>
  <si>
    <t>باقي بهارات مهاب</t>
  </si>
  <si>
    <t>العربي(الشركة)</t>
  </si>
  <si>
    <t>مصطى مختار شحن ممكن</t>
  </si>
  <si>
    <t>محمود البدراني شحن فوري</t>
  </si>
  <si>
    <t>وايت دفعة</t>
  </si>
  <si>
    <t>اندومي</t>
  </si>
  <si>
    <t>السفينة</t>
  </si>
  <si>
    <t>حماد</t>
  </si>
  <si>
    <t>سامح واسلام سنيوريتا</t>
  </si>
  <si>
    <t>باقي 6000</t>
  </si>
  <si>
    <t>عجز كريم امس</t>
  </si>
  <si>
    <t>مصطفى البقال</t>
  </si>
  <si>
    <t>فاتورة فرايداي</t>
  </si>
  <si>
    <t>شركة الملكة</t>
  </si>
  <si>
    <t>الطيب خالص لليوم</t>
  </si>
  <si>
    <t>تم تسوية العجز</t>
  </si>
  <si>
    <t>محمصة دره دفعة</t>
  </si>
  <si>
    <t>شركة الملكة فاتورة</t>
  </si>
  <si>
    <t>الرصيد الخزنة</t>
  </si>
  <si>
    <t>سامح ابو النور</t>
  </si>
  <si>
    <t>بيست</t>
  </si>
  <si>
    <t>توريد (المراعي زبدة)</t>
  </si>
  <si>
    <t>شركة الرحاب</t>
  </si>
  <si>
    <t>التسليم للعدوي</t>
  </si>
  <si>
    <t>بعد خصم المرتجع</t>
  </si>
  <si>
    <t>المراعي زبدة</t>
  </si>
  <si>
    <t>توريد</t>
  </si>
  <si>
    <t>مصطفى مختار رد سلفة</t>
  </si>
  <si>
    <t>نوري دفعة</t>
  </si>
  <si>
    <t>باقي 4000</t>
  </si>
  <si>
    <t>باقي 7000</t>
  </si>
  <si>
    <t>لافيل دفعة</t>
  </si>
  <si>
    <t xml:space="preserve">شيبسى دفعة </t>
  </si>
  <si>
    <t xml:space="preserve">مهاب شخصي </t>
  </si>
  <si>
    <t>رويال فاتورة نقدى صابون</t>
  </si>
  <si>
    <t>باقى 470</t>
  </si>
  <si>
    <t>بيض نقدى</t>
  </si>
  <si>
    <t>احمد الجزار تكييف</t>
  </si>
  <si>
    <t>كراسى لمحل الحرية</t>
  </si>
  <si>
    <t>ادوات مكتبية وانتينا</t>
  </si>
  <si>
    <t xml:space="preserve">راتب اسلام </t>
  </si>
  <si>
    <t>فرايداى ايس</t>
  </si>
  <si>
    <t>صلاح سلفة</t>
  </si>
  <si>
    <t>مجموع 100</t>
  </si>
  <si>
    <t>يومية محمد مجدي</t>
  </si>
  <si>
    <t>تم تسويته</t>
  </si>
  <si>
    <t>تم تسويته الى 100</t>
  </si>
  <si>
    <t>فاتورة كاش</t>
  </si>
  <si>
    <t>شلبي رز دفعة</t>
  </si>
  <si>
    <t>الجندي عيش</t>
  </si>
  <si>
    <t>الرحاب</t>
  </si>
  <si>
    <t>حازم رد سلفة</t>
  </si>
  <si>
    <t>كند شحن فوري</t>
  </si>
  <si>
    <t>مصروفات المح</t>
  </si>
  <si>
    <t>مخلل جابور فاتورة</t>
  </si>
  <si>
    <t>قبض عادل</t>
  </si>
  <si>
    <t>يومية عبد الله</t>
  </si>
  <si>
    <t>يومية بلال</t>
  </si>
  <si>
    <t>عبده الرحمن</t>
  </si>
  <si>
    <t>الشيخ مؤمن مشتريات</t>
  </si>
  <si>
    <t>المغربي بوهية</t>
  </si>
  <si>
    <t>ليد مهاب</t>
  </si>
  <si>
    <t>المراعي لبن حجازي</t>
  </si>
  <si>
    <t>عم ايمن</t>
  </si>
  <si>
    <t>دفعه لشيخ مومن الشركه</t>
  </si>
  <si>
    <t>ح- شركه ستار</t>
  </si>
  <si>
    <t xml:space="preserve">العدوي </t>
  </si>
  <si>
    <t xml:space="preserve">اولكر </t>
  </si>
  <si>
    <t xml:space="preserve">عمرو حسن </t>
  </si>
  <si>
    <t xml:space="preserve">محمد صابر </t>
  </si>
  <si>
    <t xml:space="preserve">عام </t>
  </si>
  <si>
    <t xml:space="preserve">لبن للمحل </t>
  </si>
  <si>
    <t xml:space="preserve">الرضوان </t>
  </si>
  <si>
    <t>شركة ارما</t>
  </si>
  <si>
    <t xml:space="preserve">الشيخ مومن شحن </t>
  </si>
  <si>
    <t xml:space="preserve">توابل باب الشام </t>
  </si>
  <si>
    <t xml:space="preserve">زبادي جهينه </t>
  </si>
  <si>
    <t xml:space="preserve">جلاكسي </t>
  </si>
  <si>
    <t xml:space="preserve">مزارع دينا </t>
  </si>
  <si>
    <t xml:space="preserve">تقاطيع </t>
  </si>
  <si>
    <t xml:space="preserve">لخال </t>
  </si>
  <si>
    <t xml:space="preserve">ش مؤمن </t>
  </si>
  <si>
    <t xml:space="preserve">الجزار مجمدات </t>
  </si>
  <si>
    <t>تقاطيع  عشاء</t>
  </si>
  <si>
    <t xml:space="preserve">عم ناصر خلطات </t>
  </si>
  <si>
    <t>بانارات للمحل -الجزار</t>
  </si>
  <si>
    <t>باقى 5000 ج</t>
  </si>
  <si>
    <t xml:space="preserve"> شركة البرنامج </t>
  </si>
  <si>
    <t>اجور ومرتبات</t>
  </si>
  <si>
    <t>فودافون كاش -رامز</t>
  </si>
  <si>
    <t>فلاى جروب شاى الكابوس</t>
  </si>
  <si>
    <t>باقى مصروفات دهان الشركة مهاب</t>
  </si>
  <si>
    <t xml:space="preserve">الاتحاد مجمدات </t>
  </si>
  <si>
    <t xml:space="preserve">4400 مصطفي </t>
  </si>
  <si>
    <t>الاتحاد</t>
  </si>
  <si>
    <t xml:space="preserve">خلطات </t>
  </si>
  <si>
    <t xml:space="preserve">  خلطات ذبده 1 كجم </t>
  </si>
  <si>
    <t xml:space="preserve">شيخ مومن </t>
  </si>
  <si>
    <t xml:space="preserve">رويال </t>
  </si>
  <si>
    <t xml:space="preserve">الخال </t>
  </si>
  <si>
    <t xml:space="preserve">مصطفي مختار </t>
  </si>
  <si>
    <t xml:space="preserve">مصطفي مختار شحن ممكن </t>
  </si>
  <si>
    <t xml:space="preserve">بيع كراتين </t>
  </si>
  <si>
    <t xml:space="preserve">احمد بيكدار </t>
  </si>
  <si>
    <t>المجنون</t>
  </si>
  <si>
    <t>الجزار كراسي  للكاشير</t>
  </si>
  <si>
    <t>محمد مجدي راتب</t>
  </si>
  <si>
    <t>مهاب مسحوبات</t>
  </si>
  <si>
    <t>مصاريف محل</t>
  </si>
  <si>
    <t>new</t>
  </si>
  <si>
    <t>يوميه يوسف</t>
  </si>
  <si>
    <t>يوميه مصطفي</t>
  </si>
  <si>
    <t>كابري</t>
  </si>
  <si>
    <t>الملركت</t>
  </si>
  <si>
    <t>عبده بقاله</t>
  </si>
  <si>
    <t xml:space="preserve">فايش و محلب </t>
  </si>
  <si>
    <t>مصطفي</t>
  </si>
  <si>
    <t>ستار تسالي</t>
  </si>
  <si>
    <t>شاي الكابوس</t>
  </si>
  <si>
    <t>يحيي</t>
  </si>
  <si>
    <t>عجز رامز</t>
  </si>
  <si>
    <t>عجز عادل</t>
  </si>
  <si>
    <t>ايجيبت فود</t>
  </si>
  <si>
    <t>شيبسي</t>
  </si>
  <si>
    <t>تاكسي</t>
  </si>
  <si>
    <t>كريم فهمي شحن فوري</t>
  </si>
  <si>
    <t>ايجيبت فود فاتورة</t>
  </si>
  <si>
    <t>باقي 5000</t>
  </si>
  <si>
    <t>شاهين</t>
  </si>
  <si>
    <t>نستلة زبادي</t>
  </si>
  <si>
    <t>جهينة لبن امس</t>
  </si>
  <si>
    <t xml:space="preserve">جيهنة عصير </t>
  </si>
  <si>
    <t>الوطنية دواجن</t>
  </si>
  <si>
    <t>منتجات بسمة</t>
  </si>
  <si>
    <t xml:space="preserve">شيبسي </t>
  </si>
  <si>
    <t>باقي 4500</t>
  </si>
  <si>
    <t>تجهيز مخزن الخلطات</t>
  </si>
  <si>
    <t>تيميز</t>
  </si>
  <si>
    <t>سكر للمحل</t>
  </si>
  <si>
    <t>قهوة الشيخ</t>
  </si>
  <si>
    <t>قهوة ابراهيم</t>
  </si>
  <si>
    <t>صلاح خالص</t>
  </si>
  <si>
    <t>العدوي شحن ممكمن</t>
  </si>
  <si>
    <t>الشيخ زواتين باقي 2779</t>
  </si>
  <si>
    <t xml:space="preserve">باقي 2779 </t>
  </si>
  <si>
    <t>فكة محمد السيد</t>
  </si>
  <si>
    <t>الشيخ زواتين دفعة</t>
  </si>
  <si>
    <t>مراجعة حسابه</t>
  </si>
  <si>
    <t>مرتب محمود شحاتة</t>
  </si>
  <si>
    <t>تجهيز مخزن 2</t>
  </si>
  <si>
    <t>عربون لصنايعية  مخزن 2</t>
  </si>
  <si>
    <t>حساب ابو اسلام خالص</t>
  </si>
  <si>
    <t>محمد السيد</t>
  </si>
  <si>
    <t xml:space="preserve">ف720 فى 13/ 7 </t>
  </si>
  <si>
    <t>باقى 3500</t>
  </si>
  <si>
    <t>باقى 15000</t>
  </si>
  <si>
    <t>مصطفى فؤاد مسحوبات</t>
  </si>
  <si>
    <t>غسيل عربيات</t>
  </si>
  <si>
    <t>مستريات محل</t>
  </si>
  <si>
    <t>اسعد اطياب</t>
  </si>
  <si>
    <t>عمر عباس زبون مشتريات</t>
  </si>
  <si>
    <t>زياد شحنة غلط</t>
  </si>
  <si>
    <t>شحنة غلط على زياد</t>
  </si>
  <si>
    <t>باقي 6790 فاتورة يوم 18/7</t>
  </si>
  <si>
    <t>بلو دولفن فريدال</t>
  </si>
  <si>
    <t>باقي 8000</t>
  </si>
  <si>
    <t>زيت زيتون ماركت</t>
  </si>
  <si>
    <t>بيرسول ماركت</t>
  </si>
  <si>
    <t>بلال نواقص</t>
  </si>
  <si>
    <t>شركة لينو</t>
  </si>
  <si>
    <t>كند شحن ممكن</t>
  </si>
  <si>
    <t>طماطم</t>
  </si>
  <si>
    <t>مولد كهربائي</t>
  </si>
  <si>
    <t>بهارات</t>
  </si>
  <si>
    <t>مواصلات بلال</t>
  </si>
  <si>
    <t>فيدمي</t>
  </si>
  <si>
    <t>قباء ماجي</t>
  </si>
  <si>
    <t>زياد خالص</t>
  </si>
  <si>
    <t>كيت كات</t>
  </si>
  <si>
    <t>شكاره رز الخال</t>
  </si>
  <si>
    <t>مكرونة حواء</t>
  </si>
  <si>
    <t>الطحان دفعة</t>
  </si>
  <si>
    <t>شركة الغندور</t>
  </si>
  <si>
    <t>ريجينا</t>
  </si>
  <si>
    <t>لبن بخيره للخلطات</t>
  </si>
  <si>
    <t>اشرف خضار</t>
  </si>
  <si>
    <t>نستلة مياه</t>
  </si>
  <si>
    <t>حلويات طرابية</t>
  </si>
  <si>
    <t>باقي 4000 من فاتورة الحرية</t>
  </si>
  <si>
    <t>مهاب بقية الاسمنت للمخزن التاني</t>
  </si>
  <si>
    <t>مهاب تصليح مولد</t>
  </si>
  <si>
    <t>كورونا دفعة</t>
  </si>
  <si>
    <t>مصروفات للمحل</t>
  </si>
  <si>
    <t>الجزار من ح مشمع داخلى</t>
  </si>
  <si>
    <t>فاتورة اوكسى</t>
  </si>
  <si>
    <t>رامز-فودافون كاش</t>
  </si>
  <si>
    <t>عادل برا البرنامج</t>
  </si>
  <si>
    <t>باقى 14240</t>
  </si>
  <si>
    <t>ف 9040 باقى 6000</t>
  </si>
  <si>
    <t>كوكا كولا</t>
  </si>
  <si>
    <t>باقى 7000  ف 9330 يوم 9/ 7</t>
  </si>
  <si>
    <t>رويال للبلاستيك</t>
  </si>
  <si>
    <t>باقي 200</t>
  </si>
  <si>
    <t>تروسيكل</t>
  </si>
  <si>
    <t>شحن موبايل المحل</t>
  </si>
  <si>
    <t>معطر للمحل</t>
  </si>
  <si>
    <t>خل للمحل</t>
  </si>
  <si>
    <t>عيش رده</t>
  </si>
  <si>
    <t>جيلي كولا</t>
  </si>
  <si>
    <t>يوسف عبد الرحمن</t>
  </si>
  <si>
    <t>لكريم باقي حساب البسطرمة</t>
  </si>
  <si>
    <t>كريم سعيد 19/7</t>
  </si>
  <si>
    <t>عادل يوم 19/7</t>
  </si>
  <si>
    <t>محمود البدراني ايراد فوري</t>
  </si>
  <si>
    <t>2 كيس استك</t>
  </si>
  <si>
    <t>حجازي</t>
  </si>
  <si>
    <t>كريم سعيد مشتريات</t>
  </si>
  <si>
    <t>خزنة غنام</t>
  </si>
  <si>
    <t>خزنة خلف</t>
  </si>
  <si>
    <t>محمد سليمان خزنة</t>
  </si>
  <si>
    <t>رد عهدة الحرية</t>
  </si>
  <si>
    <t>خالد رنجة</t>
  </si>
  <si>
    <t>باقي 1500</t>
  </si>
  <si>
    <t>شرينك استرتش</t>
  </si>
  <si>
    <t>مهاب مولد كهرباء</t>
  </si>
  <si>
    <t>فلفل</t>
  </si>
  <si>
    <t>يومية محمد الجديد</t>
  </si>
  <si>
    <t>احمد اوكسي</t>
  </si>
  <si>
    <t>اعلانات فيسبوك</t>
  </si>
  <si>
    <t>محمد السيد سلفة</t>
  </si>
  <si>
    <t>طابعة تواريخ</t>
  </si>
  <si>
    <t>فكة الكاشير الحرية</t>
  </si>
  <si>
    <t>يوسف محمد يومية</t>
  </si>
  <si>
    <t>دفعة باقي 3000</t>
  </si>
  <si>
    <t>شلبي أرز دفعة</t>
  </si>
  <si>
    <t>مصنعية كهرباء</t>
  </si>
  <si>
    <t>ف 4625 باقي 3000</t>
  </si>
  <si>
    <t>يومية ابو كريم</t>
  </si>
  <si>
    <t>مهاب تونة للخلطت</t>
  </si>
  <si>
    <t>باقي على زبون</t>
  </si>
  <si>
    <t>رشيدي مربى</t>
  </si>
  <si>
    <t>علاج ايمن</t>
  </si>
  <si>
    <t>دولفين</t>
  </si>
  <si>
    <t>غنام خزنة</t>
  </si>
  <si>
    <t xml:space="preserve">دفعة </t>
  </si>
  <si>
    <t>مهاب شغل مولدات</t>
  </si>
  <si>
    <t>3000 من الحرية مجموع 4400</t>
  </si>
  <si>
    <t>اجل زبون تبع الجزار</t>
  </si>
  <si>
    <t xml:space="preserve">الخواجة </t>
  </si>
  <si>
    <t xml:space="preserve">يوميه كريم </t>
  </si>
  <si>
    <t>البان الطيب</t>
  </si>
  <si>
    <t>كريم فهمى شحن ممكن</t>
  </si>
  <si>
    <t xml:space="preserve">شراء شنط للمحل </t>
  </si>
  <si>
    <t xml:space="preserve">كند شحن </t>
  </si>
  <si>
    <t>محمد العربي</t>
  </si>
  <si>
    <t xml:space="preserve">عبده خالد الجديد </t>
  </si>
  <si>
    <t xml:space="preserve">تاكسي خلف </t>
  </si>
  <si>
    <t xml:space="preserve">قهوه مهاب </t>
  </si>
  <si>
    <t xml:space="preserve">اسلام </t>
  </si>
  <si>
    <t xml:space="preserve">قهوه الجزار </t>
  </si>
  <si>
    <t xml:space="preserve">حسام </t>
  </si>
  <si>
    <t xml:space="preserve">عمرو </t>
  </si>
  <si>
    <t xml:space="preserve">اوردر مجاش </t>
  </si>
  <si>
    <t xml:space="preserve">قهوه صنايعي </t>
  </si>
  <si>
    <t xml:space="preserve">وليد يوميه </t>
  </si>
  <si>
    <t xml:space="preserve">فريده </t>
  </si>
  <si>
    <t>باقي 2550</t>
  </si>
  <si>
    <t xml:space="preserve">عيش لبناني </t>
  </si>
  <si>
    <t xml:space="preserve">الديب </t>
  </si>
  <si>
    <t xml:space="preserve">محل </t>
  </si>
  <si>
    <t xml:space="preserve">فورى </t>
  </si>
  <si>
    <t xml:space="preserve">خلف شخصي </t>
  </si>
  <si>
    <t xml:space="preserve">عبد الرحمن يوميه </t>
  </si>
  <si>
    <t xml:space="preserve">تصليح باب المحل </t>
  </si>
  <si>
    <t xml:space="preserve">باقي فلوس البرنامج </t>
  </si>
  <si>
    <t xml:space="preserve">مهاب للشقه مصاريف </t>
  </si>
  <si>
    <t xml:space="preserve"> لبن بخيره  للمحل </t>
  </si>
  <si>
    <t>ابو كريم (يوميه)</t>
  </si>
  <si>
    <t xml:space="preserve">الوديان </t>
  </si>
  <si>
    <t xml:space="preserve">ابو عمر </t>
  </si>
  <si>
    <t xml:space="preserve">الحجاز </t>
  </si>
  <si>
    <t>كريم سعيد امس</t>
  </si>
  <si>
    <t>شاي السلام</t>
  </si>
  <si>
    <t>الجزار خزنة</t>
  </si>
  <si>
    <t>العدوي فترة 1</t>
  </si>
  <si>
    <t>محمد صلاح</t>
  </si>
  <si>
    <t xml:space="preserve">محمود البدراني </t>
  </si>
  <si>
    <t>العدوي فترة 2</t>
  </si>
  <si>
    <t>محمد السيد شحن ممكن</t>
  </si>
  <si>
    <t>سليمان خزنة الحرية</t>
  </si>
  <si>
    <t>عادل ممكن شحن</t>
  </si>
  <si>
    <t>المصري شحن خالص</t>
  </si>
  <si>
    <t>ش.مؤمن شقة</t>
  </si>
  <si>
    <t>باصة وجردل</t>
  </si>
  <si>
    <t>كريب وسمبوسة</t>
  </si>
  <si>
    <t>تاكسي محمد العربي</t>
  </si>
  <si>
    <t>ش.مؤمن (مهاب)</t>
  </si>
  <si>
    <t>هاني الكهربائي(مهاب)</t>
  </si>
  <si>
    <t xml:space="preserve">عبد الرحمن محمد </t>
  </si>
  <si>
    <t xml:space="preserve">الجزار شحن </t>
  </si>
  <si>
    <t>ابو كريم خصم 50</t>
  </si>
  <si>
    <t xml:space="preserve">دولفين </t>
  </si>
  <si>
    <t>باقي 25000</t>
  </si>
  <si>
    <t xml:space="preserve">كابل شاشه للمحل </t>
  </si>
  <si>
    <t>باقي  4000</t>
  </si>
  <si>
    <t xml:space="preserve">ايفل </t>
  </si>
  <si>
    <t>سنيوريتا</t>
  </si>
  <si>
    <t>دفعة باقي 2000</t>
  </si>
  <si>
    <t>لزق</t>
  </si>
  <si>
    <t>مجدي</t>
  </si>
  <si>
    <t>شراء سلك</t>
  </si>
  <si>
    <t>راتب خالص ليوم21</t>
  </si>
  <si>
    <t>صن شاين</t>
  </si>
  <si>
    <t>كوكي دفعة</t>
  </si>
  <si>
    <t>مرتجع كريم فهمي</t>
  </si>
  <si>
    <t>قهوة للشيخ</t>
  </si>
  <si>
    <t xml:space="preserve">رسلان </t>
  </si>
  <si>
    <t>دفعة خالص</t>
  </si>
  <si>
    <t>ش.مؤمن توضيب الشقة</t>
  </si>
  <si>
    <t>حلويات باولتي</t>
  </si>
  <si>
    <t>بريد اواي</t>
  </si>
  <si>
    <t>بنزين للمولد</t>
  </si>
  <si>
    <t>تارجت  بكر كاشير</t>
  </si>
  <si>
    <t>كريم سعيد شحن</t>
  </si>
  <si>
    <t>رصيد الخزينة</t>
  </si>
  <si>
    <t>باقى 4328</t>
  </si>
  <si>
    <t xml:space="preserve">المراعي </t>
  </si>
  <si>
    <t xml:space="preserve">باب الشام </t>
  </si>
  <si>
    <t>كيندر</t>
  </si>
  <si>
    <t>نوتيلا</t>
  </si>
  <si>
    <t xml:space="preserve">تريد مارك  </t>
  </si>
  <si>
    <t>نستلة باقي 2000</t>
  </si>
  <si>
    <t xml:space="preserve">شاهين </t>
  </si>
  <si>
    <t xml:space="preserve">العدوي ممكن </t>
  </si>
  <si>
    <t>جهينة لبن خالص</t>
  </si>
  <si>
    <t>دومتى</t>
  </si>
  <si>
    <t>العدوى سلفة</t>
  </si>
  <si>
    <t xml:space="preserve">دهان الشقه </t>
  </si>
  <si>
    <t xml:space="preserve">تريد مارك </t>
  </si>
  <si>
    <t xml:space="preserve">جود فرانس </t>
  </si>
  <si>
    <t xml:space="preserve">خالص </t>
  </si>
  <si>
    <t>تايجر دفعة</t>
  </si>
  <si>
    <t>باقي 2000</t>
  </si>
  <si>
    <t xml:space="preserve">تسليك بلاعه </t>
  </si>
  <si>
    <t xml:space="preserve">بلال </t>
  </si>
  <si>
    <t xml:space="preserve">عم ايمن </t>
  </si>
  <si>
    <t xml:space="preserve">عمر </t>
  </si>
  <si>
    <t xml:space="preserve">ملح </t>
  </si>
  <si>
    <t xml:space="preserve">برنش </t>
  </si>
  <si>
    <t xml:space="preserve">بسكو مصر </t>
  </si>
  <si>
    <t xml:space="preserve">الرحاب حلويات </t>
  </si>
  <si>
    <t xml:space="preserve">بريدواي </t>
  </si>
  <si>
    <t xml:space="preserve">ابو ياسين </t>
  </si>
  <si>
    <t xml:space="preserve">الكيلاني </t>
  </si>
  <si>
    <t xml:space="preserve"> عيش رده </t>
  </si>
  <si>
    <t xml:space="preserve">المحل </t>
  </si>
  <si>
    <t>من حساب النقاش</t>
  </si>
  <si>
    <t>ابو علم مكافأة</t>
  </si>
  <si>
    <t>جركن وقمع</t>
  </si>
  <si>
    <t>ملوخية جيفركس</t>
  </si>
  <si>
    <t>هارفست والبوادي</t>
  </si>
  <si>
    <t>تركيب دش</t>
  </si>
  <si>
    <t>مؤمن ارضية</t>
  </si>
  <si>
    <t>مرتجع طواجن</t>
  </si>
  <si>
    <t>مخلل جبور</t>
  </si>
  <si>
    <t>سعد سلفة</t>
  </si>
  <si>
    <t>ممصروفات محل</t>
  </si>
  <si>
    <t>زياد شحن</t>
  </si>
  <si>
    <t>مرتجع ابو سليم</t>
  </si>
  <si>
    <t>بنزين للمولد احتياطي</t>
  </si>
  <si>
    <t>صلاح يومية</t>
  </si>
  <si>
    <t>كريم فهمي للبسطرمة</t>
  </si>
  <si>
    <t>ايمن شاهين</t>
  </si>
  <si>
    <t>فودفون كاش</t>
  </si>
  <si>
    <t>زيد رد سلفة شحن</t>
  </si>
  <si>
    <t>الكيمو</t>
  </si>
  <si>
    <t>تم التسوية</t>
  </si>
  <si>
    <t>عادل امس</t>
  </si>
  <si>
    <t>شرء سلك</t>
  </si>
  <si>
    <t>العدوي 2</t>
  </si>
  <si>
    <t xml:space="preserve">سليمان </t>
  </si>
  <si>
    <t xml:space="preserve"> لبن بخيره </t>
  </si>
  <si>
    <t>فكة الكاشير</t>
  </si>
  <si>
    <t>محمد سليمان مشتريات</t>
  </si>
  <si>
    <t>الخال مشتريات</t>
  </si>
  <si>
    <t>بهارات حبة البركة</t>
  </si>
  <si>
    <t>كريم حساب</t>
  </si>
  <si>
    <t>ليد الجزار</t>
  </si>
  <si>
    <t>معتز العربي دفعة</t>
  </si>
  <si>
    <t>باقي 13983</t>
  </si>
  <si>
    <t>كريم مشتريات</t>
  </si>
  <si>
    <t>كراسة</t>
  </si>
  <si>
    <t>شركة اولكر</t>
  </si>
  <si>
    <t>راني</t>
  </si>
  <si>
    <t>فريده دفعة باقي 1550</t>
  </si>
  <si>
    <t>فريده دفعة</t>
  </si>
  <si>
    <t xml:space="preserve"> باقي 1550</t>
  </si>
  <si>
    <t>العدوي ايراد شحن ممكن</t>
  </si>
  <si>
    <t xml:space="preserve">جهينه </t>
  </si>
  <si>
    <t>باقي 20000</t>
  </si>
  <si>
    <t xml:space="preserve">ششركة المصري </t>
  </si>
  <si>
    <t>حماد مجمدات</t>
  </si>
  <si>
    <t>جركن وبنزين</t>
  </si>
  <si>
    <t>تم خصم 25 باقي 100 مرتجع</t>
  </si>
  <si>
    <t>احمد</t>
  </si>
  <si>
    <t>صيانة تكييف</t>
  </si>
  <si>
    <t>الكيلاني</t>
  </si>
  <si>
    <t xml:space="preserve">عبد المعبود </t>
  </si>
  <si>
    <t>زيت سلايت</t>
  </si>
  <si>
    <t>العربي</t>
  </si>
  <si>
    <t>مرتجع بخيره</t>
  </si>
  <si>
    <t>خالد حلواني</t>
  </si>
  <si>
    <t>مؤمن</t>
  </si>
  <si>
    <t>راوتر</t>
  </si>
  <si>
    <t>باقة راوتر الحرية</t>
  </si>
  <si>
    <t>كريم سعيد برا البرنامج</t>
  </si>
  <si>
    <t>ابو احمد</t>
  </si>
  <si>
    <t>الرضون</t>
  </si>
  <si>
    <t>فرحات(الشركة)\</t>
  </si>
  <si>
    <t>شحنة كهرباء الحرية</t>
  </si>
  <si>
    <t>البانر</t>
  </si>
  <si>
    <t>ميتلاند</t>
  </si>
  <si>
    <t>الاتحاد التعاوني زيت</t>
  </si>
  <si>
    <t>ثري شيفز بلوبيف</t>
  </si>
  <si>
    <t>شركة برايت ستار</t>
  </si>
  <si>
    <t>فروق خزنة</t>
  </si>
  <si>
    <t xml:space="preserve">الازهر </t>
  </si>
  <si>
    <t>المراعي جملة</t>
  </si>
  <si>
    <t>كولا دفعة</t>
  </si>
  <si>
    <t xml:space="preserve">كاش اوت فوري </t>
  </si>
  <si>
    <t xml:space="preserve">لافيل </t>
  </si>
  <si>
    <t xml:space="preserve">مصاريف محل </t>
  </si>
  <si>
    <t xml:space="preserve">سوسيته سخان </t>
  </si>
  <si>
    <t xml:space="preserve">احمد غنام </t>
  </si>
  <si>
    <t xml:space="preserve">رامز </t>
  </si>
  <si>
    <t>دولسي نسله</t>
  </si>
  <si>
    <t xml:space="preserve">USB WIFI - اراجه  </t>
  </si>
  <si>
    <t>مطصفى مختار</t>
  </si>
  <si>
    <t>اسعد اطياب دفعة</t>
  </si>
  <si>
    <t>تركيب شفاط</t>
  </si>
  <si>
    <t>عبد الرحمن محمد</t>
  </si>
  <si>
    <t>سويت لاند</t>
  </si>
  <si>
    <t>مهاب مشمع للشيخ مؤمن</t>
  </si>
  <si>
    <t>شيبسي فاتورة ودفعة 1000</t>
  </si>
  <si>
    <t>فاتورة ودفعة 1000 باقي 2000</t>
  </si>
  <si>
    <t>باقي 25</t>
  </si>
  <si>
    <t>محمد عباس سلفة</t>
  </si>
  <si>
    <t>حزم</t>
  </si>
  <si>
    <t>النجار</t>
  </si>
  <si>
    <t xml:space="preserve"> تاكسي</t>
  </si>
  <si>
    <t>تكييف</t>
  </si>
  <si>
    <t>اجل تبع زبون</t>
  </si>
  <si>
    <t>قهوه شخصي</t>
  </si>
  <si>
    <t>كورونا خالص</t>
  </si>
  <si>
    <t>فودافون كاش كورونا</t>
  </si>
  <si>
    <t>مؤمن يومية</t>
  </si>
  <si>
    <t>صابون غسيل</t>
  </si>
  <si>
    <t>فلفل الوان مهاب</t>
  </si>
  <si>
    <t>باقي  6015</t>
  </si>
  <si>
    <t>الراية</t>
  </si>
  <si>
    <t>ايفر ريدي</t>
  </si>
  <si>
    <t xml:space="preserve">كولا الاسراء </t>
  </si>
  <si>
    <t>دره</t>
  </si>
  <si>
    <t>غسيل عربية</t>
  </si>
  <si>
    <t>محمصة دره فاتورة</t>
  </si>
  <si>
    <t xml:space="preserve">شركة بيبي جوي </t>
  </si>
  <si>
    <t>مهاب المونيوم للتندة</t>
  </si>
  <si>
    <t>ليد صلاح</t>
  </si>
  <si>
    <t>حجاج</t>
  </si>
  <si>
    <t xml:space="preserve">ش.مؤمن </t>
  </si>
  <si>
    <t>سمك</t>
  </si>
  <si>
    <t>تي تي</t>
  </si>
  <si>
    <t>حلوة</t>
  </si>
  <si>
    <t>ماكسلو</t>
  </si>
  <si>
    <t>طرابية حلويات</t>
  </si>
  <si>
    <t>يوسف بيك</t>
  </si>
  <si>
    <t>فاتورة حلويات</t>
  </si>
  <si>
    <t>عاطف السكري باقي 3340</t>
  </si>
  <si>
    <t>كولا الحرية خالص</t>
  </si>
  <si>
    <t xml:space="preserve">محمود حلواني </t>
  </si>
  <si>
    <t>جود شيف دفعة</t>
  </si>
  <si>
    <t>شركة فرايداي</t>
  </si>
  <si>
    <t>مهاب ش.مؤمن دولاب مطبخ</t>
  </si>
  <si>
    <t>اقلام</t>
  </si>
  <si>
    <t>طرابية الحرية</t>
  </si>
  <si>
    <t>طرابيا</t>
  </si>
  <si>
    <t>شفاط وسخان ودولاب واستندين</t>
  </si>
  <si>
    <t>مصطفى فؤاد شحن</t>
  </si>
  <si>
    <t>محمد السيد ممكن</t>
  </si>
  <si>
    <t>ايجار مخزن</t>
  </si>
  <si>
    <t>مهاب تند مشمع</t>
  </si>
  <si>
    <t>ريماس لاند</t>
  </si>
  <si>
    <t>الرموز</t>
  </si>
  <si>
    <t>كشكول</t>
  </si>
  <si>
    <t>فودافون كاش(رامز)</t>
  </si>
  <si>
    <t>فودافون كاش (رامز)</t>
  </si>
  <si>
    <t xml:space="preserve">ابو يوسف </t>
  </si>
  <si>
    <t>الجزارللشيخ مؤمن مراوح</t>
  </si>
  <si>
    <t>ش.مؤمن 5000 اخدها الجزار للمراوح</t>
  </si>
  <si>
    <t>رامز شحن ممكن</t>
  </si>
  <si>
    <t>ابراهيم يومية</t>
  </si>
  <si>
    <t>الماركت شرشوبة</t>
  </si>
  <si>
    <t>مخلل غبور</t>
  </si>
  <si>
    <t>مؤمن سمير</t>
  </si>
  <si>
    <t>كريم سعيد 26/7</t>
  </si>
  <si>
    <t>ادوات نظافة</t>
  </si>
  <si>
    <t>زيت حلوة</t>
  </si>
  <si>
    <t>تأمين ثلاجة كيت</t>
  </si>
  <si>
    <t>محمود حلواني دفعة</t>
  </si>
  <si>
    <t>باقي 15933</t>
  </si>
  <si>
    <t>كند شحن</t>
  </si>
  <si>
    <t>محمود البدراني فترة 1</t>
  </si>
  <si>
    <t>محمود البدراني فترة 2</t>
  </si>
  <si>
    <t>حلاوة</t>
  </si>
  <si>
    <t>محمد عادل شحن</t>
  </si>
  <si>
    <t>باقي 8978</t>
  </si>
  <si>
    <t>محمد السيد يومية</t>
  </si>
  <si>
    <t xml:space="preserve">كريم سعيد </t>
  </si>
  <si>
    <t>سليمان مشتريات وشخصي</t>
  </si>
  <si>
    <t>ش.مؤمن قهوة</t>
  </si>
  <si>
    <t>بيبسي فاتورة</t>
  </si>
  <si>
    <t>غنام مشتريات</t>
  </si>
  <si>
    <t>المحلين</t>
  </si>
  <si>
    <t>مهاب نقل دولاب مصاريف الشقة</t>
  </si>
  <si>
    <t xml:space="preserve">ابو عمر فينو </t>
  </si>
  <si>
    <t xml:space="preserve">غسيل عربيات </t>
  </si>
  <si>
    <t>سينوريتا</t>
  </si>
  <si>
    <t xml:space="preserve">خالد الشركة </t>
  </si>
  <si>
    <t xml:space="preserve">العراقي هاينز </t>
  </si>
  <si>
    <t>تقاطيع</t>
  </si>
  <si>
    <t>لافاش</t>
  </si>
  <si>
    <t>هاينز العراقي</t>
  </si>
  <si>
    <t>محمد السيد امس</t>
  </si>
  <si>
    <t>حلويات لبان وملبس</t>
  </si>
  <si>
    <t>المحل برسيل</t>
  </si>
  <si>
    <t>كريم شبارة</t>
  </si>
  <si>
    <t>جهينة عصير</t>
  </si>
  <si>
    <t>عاطف السكري</t>
  </si>
  <si>
    <t>شريف كوكي</t>
  </si>
  <si>
    <t>كند امس</t>
  </si>
  <si>
    <t>كند امس يوم 27</t>
  </si>
  <si>
    <t>جهينة ميكس</t>
  </si>
  <si>
    <t xml:space="preserve">ايمن شاهين </t>
  </si>
  <si>
    <t>بابيا دفعة</t>
  </si>
  <si>
    <t>باقي 12000</t>
  </si>
  <si>
    <t>بسكوت جعفر العمدة</t>
  </si>
  <si>
    <t>رومي جديدة</t>
  </si>
  <si>
    <t>مصطفى اشرف  يومية</t>
  </si>
  <si>
    <t>فريده</t>
  </si>
  <si>
    <t xml:space="preserve"> خالص</t>
  </si>
  <si>
    <t>كريم فعهمي شحن ممكن</t>
  </si>
  <si>
    <t>كريم شبارة امس</t>
  </si>
  <si>
    <t>شيبسي فاتورة</t>
  </si>
  <si>
    <t>معتز العربي</t>
  </si>
  <si>
    <t>كريم شباره</t>
  </si>
  <si>
    <t xml:space="preserve">فودان كاش اوردر </t>
  </si>
  <si>
    <t xml:space="preserve">مصطفي فواد </t>
  </si>
  <si>
    <t xml:space="preserve">عبد داود </t>
  </si>
  <si>
    <t xml:space="preserve">فكه محمد السيد </t>
  </si>
  <si>
    <t>كريم شباره شحن ممكن</t>
  </si>
  <si>
    <t xml:space="preserve">مع الجزار عهده لشراء دولاب </t>
  </si>
  <si>
    <t xml:space="preserve">سمسره </t>
  </si>
  <si>
    <t xml:space="preserve">ورق وكابلات </t>
  </si>
  <si>
    <t>زياد سلفة</t>
  </si>
  <si>
    <t>عبده الجديد</t>
  </si>
  <si>
    <t>عبده الكيلاني</t>
  </si>
  <si>
    <t>ابو النور زيت</t>
  </si>
  <si>
    <t>نستلة ايس كريم</t>
  </si>
  <si>
    <t>ايس كريم جيرسي</t>
  </si>
  <si>
    <t>فكة اسلام كاشير</t>
  </si>
  <si>
    <t>سليمان مشتريات</t>
  </si>
  <si>
    <t>دولفن</t>
  </si>
  <si>
    <t>اسعد اطياب خالص</t>
  </si>
  <si>
    <t xml:space="preserve">اسعد اطياب </t>
  </si>
  <si>
    <t>ايجار مخزن خلطات</t>
  </si>
  <si>
    <t>محمود طارق الجديد</t>
  </si>
  <si>
    <t>محمد  سليمان مشتريات</t>
  </si>
  <si>
    <t>اسلام شحن ممكن</t>
  </si>
  <si>
    <t>كعرباء</t>
  </si>
  <si>
    <t>شحن الشقة كهرباء</t>
  </si>
  <si>
    <t>طرشي السفينة</t>
  </si>
  <si>
    <t>فاتورة ب 13160 دفعة 10000 باقي 3160</t>
  </si>
  <si>
    <t>الدمياطي جبنة</t>
  </si>
  <si>
    <t>عمرو حسن يومية</t>
  </si>
  <si>
    <t>ربيع يومية</t>
  </si>
  <si>
    <t>الشروق الوطنية للدجاج</t>
  </si>
  <si>
    <t>فيبا</t>
  </si>
  <si>
    <t>الشيخ طرشي</t>
  </si>
  <si>
    <t>سليمان شخصي</t>
  </si>
  <si>
    <t>رخام للشقة</t>
  </si>
  <si>
    <t>لمراعي زبادي</t>
  </si>
  <si>
    <t>باقي بيبسي</t>
  </si>
  <si>
    <t>4000 فوري خالص</t>
  </si>
  <si>
    <t>نستلة نيدو</t>
  </si>
  <si>
    <t>بريدواي</t>
  </si>
  <si>
    <t>تحويلة فوري دفع قسط كورس</t>
  </si>
  <si>
    <t>كاشمير</t>
  </si>
  <si>
    <t>تريد مارك</t>
  </si>
  <si>
    <t>باقي 3500</t>
  </si>
  <si>
    <t>كريم شبارة شحن</t>
  </si>
  <si>
    <t>ش.مؤمن للتكييفات</t>
  </si>
  <si>
    <t>توصيل للجهاز</t>
  </si>
  <si>
    <t>مهاب لوازم تكييف</t>
  </si>
  <si>
    <t>(سلك - حامل- نقل-مواصلات)</t>
  </si>
  <si>
    <t xml:space="preserve">تايجر </t>
  </si>
  <si>
    <t>باقي 7970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</si>
</sst>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10000]yyyy/mm/dd;@"/>
    <numFmt numFmtId="165" formatCode="0.0000"/>
    <numFmt numFmtId="166" formatCode="yyyy\-mm\-dd;@"/>
    <numFmt numFmtId="167" formatCode="_-* #,##0_-;\-* #,##0_-;_-* &quot;-&quot;??_-;_-@_-"/>
  </numFmts>
  <fonts count="55" x14ac:knownFonts="1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charset val="178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charset val="178"/>
      <scheme val="minor"/>
    </font>
    <font>
      <sz val="14"/>
      <name val="Calibri"/>
      <family val="2"/>
      <charset val="178"/>
      <scheme val="minor"/>
    </font>
    <font>
      <sz val="12"/>
      <color theme="1"/>
      <name val="Calibri"/>
      <family val="2"/>
      <charset val="178"/>
      <scheme val="minor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6"/>
      <color theme="1"/>
      <name val="Calibri"/>
      <family val="2"/>
      <charset val="178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u/>
      <sz val="11"/>
      <color theme="10"/>
      <name val="Calibri"/>
      <family val="2"/>
      <charset val="178"/>
      <scheme val="minor"/>
    </font>
    <font>
      <u/>
      <sz val="16"/>
      <color theme="10"/>
      <name val="Calibri"/>
      <family val="2"/>
      <charset val="178"/>
      <scheme val="minor"/>
    </font>
    <font>
      <b/>
      <sz val="11"/>
      <name val="Calibri"/>
      <family val="2"/>
      <scheme val="minor"/>
    </font>
    <font>
      <b/>
      <sz val="18"/>
      <color theme="10"/>
      <name val="Calibri"/>
      <family val="2"/>
      <scheme val="minor"/>
    </font>
    <font>
      <b/>
      <sz val="20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3" tint="-0.249977111117893"/>
      <name val="Calibri"/>
      <family val="2"/>
      <charset val="178"/>
      <scheme val="minor"/>
    </font>
    <font>
      <b/>
      <sz val="14"/>
      <color theme="1"/>
      <name val="Arial"/>
      <family val="2"/>
    </font>
    <font>
      <sz val="14"/>
      <color theme="3" tint="-0.249977111117893"/>
      <name val="Calibri"/>
      <family val="2"/>
      <charset val="178"/>
      <scheme val="minor"/>
    </font>
    <font>
      <sz val="12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1"/>
      <color theme="1"/>
      <name val="Calibri"/>
      <family val="2"/>
      <charset val="178"/>
      <scheme val="minor"/>
    </font>
    <font>
      <b/>
      <sz val="14"/>
      <name val="Arial"/>
      <family val="2"/>
      <charset val="178"/>
    </font>
    <font>
      <b/>
      <sz val="12"/>
      <name val="Arial"/>
      <family val="2"/>
      <charset val="178"/>
    </font>
    <font>
      <sz val="14"/>
      <color theme="1"/>
      <name val="Arial"/>
      <family val="2"/>
    </font>
    <font>
      <sz val="20"/>
      <color theme="1"/>
      <name val="Calibri"/>
      <family val="2"/>
      <charset val="178"/>
      <scheme val="minor"/>
    </font>
    <font>
      <sz val="18"/>
      <color theme="1"/>
      <name val="Calibri"/>
      <family val="2"/>
      <charset val="17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9D35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theme="6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31" fillId="0" borderId="0" applyNumberFormat="0" applyFill="0" applyBorder="0" applyAlignment="0" applyProtection="0"/>
    <xf numFmtId="43" fontId="37" fillId="0" borderId="0" applyFont="0" applyFill="0" applyBorder="0" applyAlignment="0" applyProtection="0"/>
  </cellStyleXfs>
  <cellXfs count="499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 indent="1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6" fillId="0" borderId="0" xfId="0" applyFont="1"/>
    <xf numFmtId="0" fontId="3" fillId="0" borderId="0" xfId="0" applyFont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5" fontId="0" fillId="0" borderId="0" xfId="0" applyNumberFormat="1"/>
    <xf numFmtId="0" fontId="2" fillId="0" borderId="5" xfId="0" applyFont="1" applyBorder="1" applyAlignment="1">
      <alignment horizontal="right" vertical="center" indent="1"/>
    </xf>
    <xf numFmtId="0" fontId="2" fillId="0" borderId="1" xfId="0" applyFont="1" applyBorder="1" applyAlignment="1">
      <alignment horizontal="right" vertical="center" inden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 indent="1"/>
    </xf>
    <xf numFmtId="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 indent="2"/>
    </xf>
    <xf numFmtId="0" fontId="9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6" xfId="0" applyFont="1" applyBorder="1"/>
    <xf numFmtId="0" fontId="2" fillId="0" borderId="6" xfId="0" applyFont="1" applyBorder="1" applyAlignment="1">
      <alignment horizontal="right" vertical="center"/>
    </xf>
    <xf numFmtId="0" fontId="2" fillId="0" borderId="6" xfId="0" applyFont="1" applyBorder="1" applyAlignment="1">
      <alignment horizontal="right"/>
    </xf>
    <xf numFmtId="0" fontId="8" fillId="0" borderId="6" xfId="0" applyFont="1" applyBorder="1"/>
    <xf numFmtId="0" fontId="2" fillId="2" borderId="1" xfId="0" applyFont="1" applyFill="1" applyBorder="1" applyAlignment="1">
      <alignment horizontal="right" vertical="center" inden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 indent="2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 vertical="center"/>
    </xf>
    <xf numFmtId="0" fontId="8" fillId="0" borderId="1" xfId="0" applyFont="1" applyBorder="1"/>
    <xf numFmtId="0" fontId="2" fillId="0" borderId="1" xfId="0" applyFont="1" applyBorder="1" applyAlignment="1">
      <alignment horizontal="right" indent="1"/>
    </xf>
    <xf numFmtId="0" fontId="2" fillId="0" borderId="10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6" fillId="6" borderId="11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23" fillId="0" borderId="1" xfId="0" applyFont="1" applyBorder="1" applyAlignment="1">
      <alignment horizontal="right" vertical="center" indent="2"/>
    </xf>
    <xf numFmtId="0" fontId="23" fillId="0" borderId="10" xfId="0" applyFont="1" applyBorder="1" applyAlignment="1">
      <alignment horizontal="center" vertical="center"/>
    </xf>
    <xf numFmtId="0" fontId="23" fillId="0" borderId="1" xfId="0" applyFont="1" applyBorder="1" applyAlignment="1">
      <alignment horizontal="right"/>
    </xf>
    <xf numFmtId="0" fontId="23" fillId="0" borderId="1" xfId="0" applyFont="1" applyBorder="1" applyAlignment="1">
      <alignment horizontal="right" vertical="center" indent="1"/>
    </xf>
    <xf numFmtId="0" fontId="23" fillId="0" borderId="6" xfId="0" applyFont="1" applyBorder="1" applyAlignment="1">
      <alignment horizontal="center" vertical="center"/>
    </xf>
    <xf numFmtId="0" fontId="23" fillId="0" borderId="1" xfId="0" applyFont="1" applyBorder="1" applyAlignment="1">
      <alignment horizontal="right" vertical="center" indent="3"/>
    </xf>
    <xf numFmtId="0" fontId="2" fillId="0" borderId="1" xfId="0" applyFont="1" applyBorder="1" applyAlignment="1">
      <alignment horizontal="right" vertical="center" indent="3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4" fontId="0" fillId="0" borderId="0" xfId="0" applyNumberFormat="1"/>
    <xf numFmtId="0" fontId="2" fillId="0" borderId="1" xfId="0" applyFont="1" applyBorder="1" applyAlignment="1">
      <alignment horizontal="right" vertical="center" indent="1" readingOrder="1"/>
    </xf>
    <xf numFmtId="0" fontId="22" fillId="7" borderId="26" xfId="0" applyFont="1" applyFill="1" applyBorder="1" applyAlignment="1">
      <alignment horizontal="center" vertical="center"/>
    </xf>
    <xf numFmtId="0" fontId="22" fillId="8" borderId="31" xfId="0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8" borderId="25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14" fontId="12" fillId="0" borderId="1" xfId="0" applyNumberFormat="1" applyFont="1" applyBorder="1"/>
    <xf numFmtId="0" fontId="12" fillId="0" borderId="1" xfId="0" applyFont="1" applyBorder="1"/>
    <xf numFmtId="0" fontId="2" fillId="0" borderId="6" xfId="0" applyFont="1" applyBorder="1" applyAlignment="1">
      <alignment horizontal="right" vertical="center" indent="1"/>
    </xf>
    <xf numFmtId="0" fontId="23" fillId="0" borderId="7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3" fillId="0" borderId="6" xfId="0" applyFont="1" applyBorder="1" applyAlignment="1">
      <alignment horizontal="right" vertical="center" indent="1"/>
    </xf>
    <xf numFmtId="0" fontId="2" fillId="0" borderId="6" xfId="0" applyFont="1" applyBorder="1" applyAlignment="1">
      <alignment horizontal="center"/>
    </xf>
    <xf numFmtId="0" fontId="23" fillId="0" borderId="23" xfId="0" applyFont="1" applyBorder="1" applyAlignment="1">
      <alignment horizontal="right" vertical="center" indent="1"/>
    </xf>
    <xf numFmtId="0" fontId="27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/>
    </xf>
    <xf numFmtId="0" fontId="27" fillId="0" borderId="3" xfId="0" applyFont="1" applyBorder="1"/>
    <xf numFmtId="0" fontId="27" fillId="0" borderId="0" xfId="0" applyFont="1"/>
    <xf numFmtId="0" fontId="28" fillId="8" borderId="31" xfId="0" applyFont="1" applyFill="1" applyBorder="1" applyAlignment="1">
      <alignment horizontal="center" vertical="center"/>
    </xf>
    <xf numFmtId="0" fontId="27" fillId="7" borderId="32" xfId="0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13" xfId="0" applyBorder="1"/>
    <xf numFmtId="0" fontId="0" fillId="0" borderId="11" xfId="0" applyBorder="1"/>
    <xf numFmtId="0" fontId="3" fillId="0" borderId="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3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9" fillId="0" borderId="1" xfId="0" applyFont="1" applyBorder="1" applyAlignment="1">
      <alignment horizontal="right" vertical="center" indent="2"/>
    </xf>
    <xf numFmtId="0" fontId="29" fillId="0" borderId="1" xfId="0" applyFont="1" applyBorder="1" applyAlignment="1">
      <alignment horizontal="right" vertical="center" indent="3"/>
    </xf>
    <xf numFmtId="0" fontId="29" fillId="0" borderId="6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20" fillId="7" borderId="37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32" fillId="0" borderId="11" xfId="2" quotePrefix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3" fillId="10" borderId="1" xfId="0" applyFont="1" applyFill="1" applyBorder="1" applyAlignment="1">
      <alignment horizontal="right" vertical="center" indent="1"/>
    </xf>
    <xf numFmtId="0" fontId="23" fillId="10" borderId="7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right" vertical="center" indent="1"/>
    </xf>
    <xf numFmtId="0" fontId="2" fillId="11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 indent="1"/>
    </xf>
    <xf numFmtId="0" fontId="2" fillId="4" borderId="1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right" vertical="center" indent="1"/>
    </xf>
    <xf numFmtId="0" fontId="23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right" vertical="center" indent="1"/>
    </xf>
    <xf numFmtId="0" fontId="29" fillId="12" borderId="1" xfId="0" applyFont="1" applyFill="1" applyBorder="1" applyAlignment="1">
      <alignment horizontal="right" vertical="center" indent="1"/>
    </xf>
    <xf numFmtId="0" fontId="29" fillId="12" borderId="6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right" vertical="center" indent="1"/>
    </xf>
    <xf numFmtId="0" fontId="2" fillId="13" borderId="1" xfId="0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right" vertical="center" indent="1"/>
    </xf>
    <xf numFmtId="0" fontId="29" fillId="13" borderId="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right" vertical="center" indent="1"/>
    </xf>
    <xf numFmtId="0" fontId="23" fillId="14" borderId="7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right" vertical="center" indent="1"/>
    </xf>
    <xf numFmtId="0" fontId="23" fillId="15" borderId="1" xfId="0" applyFont="1" applyFill="1" applyBorder="1" applyAlignment="1">
      <alignment horizontal="center" vertical="center"/>
    </xf>
    <xf numFmtId="0" fontId="23" fillId="15" borderId="1" xfId="0" applyFont="1" applyFill="1" applyBorder="1" applyAlignment="1">
      <alignment horizontal="right" vertical="center" indent="1"/>
    </xf>
    <xf numFmtId="0" fontId="23" fillId="15" borderId="7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right" vertical="center" indent="1"/>
    </xf>
    <xf numFmtId="0" fontId="2" fillId="16" borderId="7" xfId="0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right" vertical="center" indent="1"/>
    </xf>
    <xf numFmtId="0" fontId="2" fillId="17" borderId="7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3" fillId="0" borderId="1" xfId="2" applyFont="1" applyBorder="1" applyAlignment="1">
      <alignment horizontal="right" vertical="center" indent="1"/>
    </xf>
    <xf numFmtId="0" fontId="16" fillId="0" borderId="35" xfId="0" applyFont="1" applyBorder="1" applyAlignment="1">
      <alignment horizontal="center" vertical="center"/>
    </xf>
    <xf numFmtId="0" fontId="34" fillId="0" borderId="0" xfId="2" quotePrefix="1" applyFont="1" applyAlignment="1">
      <alignment horizontal="center" vertical="center"/>
    </xf>
    <xf numFmtId="0" fontId="31" fillId="0" borderId="1" xfId="2" applyBorder="1" applyAlignment="1">
      <alignment horizontal="center"/>
    </xf>
    <xf numFmtId="0" fontId="16" fillId="0" borderId="38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5" fillId="0" borderId="0" xfId="2" quotePrefix="1" applyFont="1" applyAlignment="1">
      <alignment horizontal="center" vertical="center"/>
    </xf>
    <xf numFmtId="0" fontId="22" fillId="7" borderId="31" xfId="0" applyFont="1" applyFill="1" applyBorder="1" applyAlignment="1">
      <alignment vertical="center"/>
    </xf>
    <xf numFmtId="0" fontId="22" fillId="7" borderId="26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 indent="4"/>
    </xf>
    <xf numFmtId="0" fontId="16" fillId="0" borderId="10" xfId="0" applyFont="1" applyBorder="1" applyAlignment="1">
      <alignment horizontal="center" vertical="center"/>
    </xf>
    <xf numFmtId="0" fontId="29" fillId="0" borderId="1" xfId="0" applyFont="1" applyBorder="1" applyAlignment="1">
      <alignment horizontal="right" vertical="center" indent="1"/>
    </xf>
    <xf numFmtId="0" fontId="36" fillId="0" borderId="1" xfId="0" applyFont="1" applyBorder="1" applyAlignment="1">
      <alignment horizontal="center"/>
    </xf>
    <xf numFmtId="0" fontId="2" fillId="18" borderId="1" xfId="0" applyFont="1" applyFill="1" applyBorder="1" applyAlignment="1">
      <alignment horizontal="right" vertical="center" indent="1"/>
    </xf>
    <xf numFmtId="0" fontId="2" fillId="18" borderId="7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29" fillId="18" borderId="6" xfId="0" applyFont="1" applyFill="1" applyBorder="1" applyAlignment="1">
      <alignment horizontal="center" vertical="center"/>
    </xf>
    <xf numFmtId="0" fontId="23" fillId="18" borderId="6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18" borderId="1" xfId="0" applyFont="1" applyFill="1" applyBorder="1" applyAlignment="1">
      <alignment horizontal="right" vertical="center" indent="2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7" fillId="0" borderId="0" xfId="0" applyFont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9" fillId="2" borderId="0" xfId="0" applyFont="1" applyFill="1" applyAlignment="1">
      <alignment horizontal="center" vertical="center"/>
    </xf>
    <xf numFmtId="0" fontId="39" fillId="0" borderId="0" xfId="0" applyFont="1"/>
    <xf numFmtId="166" fontId="39" fillId="0" borderId="0" xfId="0" applyNumberFormat="1" applyFont="1" applyAlignment="1">
      <alignment horizontal="center"/>
    </xf>
    <xf numFmtId="0" fontId="39" fillId="0" borderId="0" xfId="0" applyFont="1" applyAlignment="1">
      <alignment horizontal="center"/>
    </xf>
    <xf numFmtId="1" fontId="39" fillId="0" borderId="0" xfId="0" applyNumberFormat="1" applyFont="1" applyAlignment="1">
      <alignment horizontal="center"/>
    </xf>
    <xf numFmtId="0" fontId="39" fillId="20" borderId="14" xfId="0" applyFont="1" applyFill="1" applyBorder="1" applyAlignment="1">
      <alignment horizontal="center" vertical="center"/>
    </xf>
    <xf numFmtId="0" fontId="39" fillId="2" borderId="14" xfId="0" applyFont="1" applyFill="1" applyBorder="1" applyAlignment="1">
      <alignment horizontal="center" vertical="center"/>
    </xf>
    <xf numFmtId="166" fontId="39" fillId="0" borderId="12" xfId="0" applyNumberFormat="1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39" fillId="0" borderId="34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1" fontId="39" fillId="21" borderId="12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vertical="center"/>
    </xf>
    <xf numFmtId="164" fontId="39" fillId="0" borderId="38" xfId="0" applyNumberFormat="1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36" xfId="0" applyFont="1" applyBorder="1"/>
    <xf numFmtId="0" fontId="39" fillId="0" borderId="38" xfId="0" applyFont="1" applyBorder="1" applyAlignment="1">
      <alignment horizontal="center"/>
    </xf>
    <xf numFmtId="0" fontId="39" fillId="0" borderId="9" xfId="0" applyFont="1" applyBorder="1"/>
    <xf numFmtId="0" fontId="39" fillId="0" borderId="43" xfId="0" applyFont="1" applyBorder="1" applyAlignment="1">
      <alignment horizontal="center"/>
    </xf>
    <xf numFmtId="0" fontId="39" fillId="0" borderId="6" xfId="0" applyFont="1" applyBorder="1"/>
    <xf numFmtId="0" fontId="39" fillId="0" borderId="10" xfId="0" applyFont="1" applyBorder="1" applyAlignment="1">
      <alignment horizontal="center"/>
    </xf>
    <xf numFmtId="1" fontId="39" fillId="0" borderId="19" xfId="0" applyNumberFormat="1" applyFont="1" applyBorder="1" applyAlignment="1">
      <alignment horizontal="center"/>
    </xf>
    <xf numFmtId="0" fontId="39" fillId="0" borderId="1" xfId="0" applyFont="1" applyBorder="1"/>
    <xf numFmtId="0" fontId="39" fillId="0" borderId="7" xfId="0" applyFont="1" applyBorder="1"/>
    <xf numFmtId="0" fontId="39" fillId="2" borderId="7" xfId="0" applyFont="1" applyFill="1" applyBorder="1"/>
    <xf numFmtId="164" fontId="39" fillId="20" borderId="10" xfId="0" applyNumberFormat="1" applyFont="1" applyFill="1" applyBorder="1" applyAlignment="1">
      <alignment horizontal="center"/>
    </xf>
    <xf numFmtId="0" fontId="39" fillId="20" borderId="43" xfId="0" applyFont="1" applyFill="1" applyBorder="1" applyAlignment="1">
      <alignment horizontal="center"/>
    </xf>
    <xf numFmtId="0" fontId="39" fillId="20" borderId="6" xfId="0" applyFont="1" applyFill="1" applyBorder="1"/>
    <xf numFmtId="0" fontId="39" fillId="20" borderId="10" xfId="0" applyFont="1" applyFill="1" applyBorder="1" applyAlignment="1">
      <alignment horizontal="center"/>
    </xf>
    <xf numFmtId="0" fontId="39" fillId="20" borderId="7" xfId="0" applyFont="1" applyFill="1" applyBorder="1"/>
    <xf numFmtId="164" fontId="39" fillId="0" borderId="10" xfId="0" applyNumberFormat="1" applyFont="1" applyBorder="1" applyAlignment="1">
      <alignment horizontal="center"/>
    </xf>
    <xf numFmtId="0" fontId="40" fillId="2" borderId="43" xfId="0" applyFont="1" applyFill="1" applyBorder="1" applyAlignment="1">
      <alignment horizontal="center"/>
    </xf>
    <xf numFmtId="0" fontId="40" fillId="2" borderId="6" xfId="0" applyFont="1" applyFill="1" applyBorder="1"/>
    <xf numFmtId="1" fontId="41" fillId="22" borderId="19" xfId="0" applyNumberFormat="1" applyFont="1" applyFill="1" applyBorder="1" applyAlignment="1">
      <alignment horizontal="center"/>
    </xf>
    <xf numFmtId="0" fontId="39" fillId="23" borderId="43" xfId="0" applyFont="1" applyFill="1" applyBorder="1" applyAlignment="1">
      <alignment horizontal="center"/>
    </xf>
    <xf numFmtId="0" fontId="39" fillId="23" borderId="6" xfId="0" applyFont="1" applyFill="1" applyBorder="1"/>
    <xf numFmtId="0" fontId="39" fillId="23" borderId="10" xfId="0" applyFont="1" applyFill="1" applyBorder="1" applyAlignment="1">
      <alignment horizontal="center"/>
    </xf>
    <xf numFmtId="0" fontId="39" fillId="23" borderId="7" xfId="0" applyFont="1" applyFill="1" applyBorder="1"/>
    <xf numFmtId="0" fontId="39" fillId="23" borderId="1" xfId="0" applyFont="1" applyFill="1" applyBorder="1"/>
    <xf numFmtId="167" fontId="39" fillId="19" borderId="11" xfId="3" applyNumberFormat="1" applyFont="1" applyFill="1" applyBorder="1" applyAlignment="1">
      <alignment horizontal="center"/>
    </xf>
    <xf numFmtId="0" fontId="39" fillId="11" borderId="11" xfId="0" applyFont="1" applyFill="1" applyBorder="1" applyAlignment="1">
      <alignment horizontal="center"/>
    </xf>
    <xf numFmtId="0" fontId="39" fillId="2" borderId="0" xfId="0" applyFont="1" applyFill="1" applyAlignment="1">
      <alignment horizontal="right" vertical="center"/>
    </xf>
    <xf numFmtId="0" fontId="40" fillId="0" borderId="6" xfId="0" applyFont="1" applyBorder="1"/>
    <xf numFmtId="0" fontId="40" fillId="0" borderId="10" xfId="0" applyFont="1" applyBorder="1" applyAlignment="1">
      <alignment horizontal="center"/>
    </xf>
    <xf numFmtId="0" fontId="39" fillId="24" borderId="0" xfId="0" applyFont="1" applyFill="1" applyAlignment="1">
      <alignment horizontal="center" vertical="center"/>
    </xf>
    <xf numFmtId="0" fontId="39" fillId="24" borderId="0" xfId="0" applyFont="1" applyFill="1" applyAlignment="1">
      <alignment horizontal="right" vertical="center"/>
    </xf>
    <xf numFmtId="0" fontId="44" fillId="23" borderId="0" xfId="0" applyFont="1" applyFill="1"/>
    <xf numFmtId="0" fontId="39" fillId="24" borderId="0" xfId="0" applyFont="1" applyFill="1" applyAlignment="1">
      <alignment horizontal="center"/>
    </xf>
    <xf numFmtId="0" fontId="40" fillId="0" borderId="43" xfId="0" applyFont="1" applyBorder="1" applyAlignment="1">
      <alignment horizontal="center"/>
    </xf>
    <xf numFmtId="0" fontId="40" fillId="0" borderId="7" xfId="0" applyFont="1" applyBorder="1"/>
    <xf numFmtId="1" fontId="39" fillId="0" borderId="1" xfId="0" applyNumberFormat="1" applyFont="1" applyBorder="1"/>
    <xf numFmtId="0" fontId="41" fillId="22" borderId="5" xfId="0" applyFont="1" applyFill="1" applyBorder="1" applyAlignment="1">
      <alignment horizontal="center"/>
    </xf>
    <xf numFmtId="1" fontId="41" fillId="22" borderId="41" xfId="0" applyNumberFormat="1" applyFont="1" applyFill="1" applyBorder="1" applyAlignment="1">
      <alignment horizontal="center"/>
    </xf>
    <xf numFmtId="0" fontId="0" fillId="22" borderId="0" xfId="0" applyFill="1"/>
    <xf numFmtId="0" fontId="44" fillId="22" borderId="0" xfId="0" applyFont="1" applyFill="1"/>
    <xf numFmtId="0" fontId="45" fillId="0" borderId="11" xfId="0" applyFont="1" applyBorder="1" applyAlignment="1">
      <alignment horizontal="center"/>
    </xf>
    <xf numFmtId="0" fontId="46" fillId="2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5" fillId="0" borderId="44" xfId="0" applyFont="1" applyBorder="1" applyAlignment="1">
      <alignment horizontal="center"/>
    </xf>
    <xf numFmtId="0" fontId="45" fillId="0" borderId="43" xfId="0" applyFont="1" applyBorder="1" applyAlignment="1">
      <alignment horizontal="center"/>
    </xf>
    <xf numFmtId="0" fontId="45" fillId="25" borderId="43" xfId="0" applyFont="1" applyFill="1" applyBorder="1" applyAlignment="1">
      <alignment horizontal="center"/>
    </xf>
    <xf numFmtId="0" fontId="46" fillId="23" borderId="0" xfId="0" applyFont="1" applyFill="1"/>
    <xf numFmtId="0" fontId="45" fillId="0" borderId="45" xfId="0" applyFont="1" applyBorder="1" applyAlignment="1">
      <alignment horizontal="center"/>
    </xf>
    <xf numFmtId="0" fontId="3" fillId="0" borderId="5" xfId="0" applyFont="1" applyBorder="1" applyAlignment="1">
      <alignment horizontal="right" vertical="center" indent="1"/>
    </xf>
    <xf numFmtId="0" fontId="3" fillId="0" borderId="9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right" vertical="center" indent="2"/>
    </xf>
    <xf numFmtId="0" fontId="3" fillId="2" borderId="1" xfId="0" applyFont="1" applyFill="1" applyBorder="1" applyAlignment="1">
      <alignment horizontal="right" vertical="center" indent="2"/>
    </xf>
    <xf numFmtId="0" fontId="3" fillId="2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right" vertical="center" indent="2"/>
    </xf>
    <xf numFmtId="0" fontId="3" fillId="18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right" vertical="center" indent="1"/>
    </xf>
    <xf numFmtId="0" fontId="16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" fontId="17" fillId="0" borderId="19" xfId="0" applyNumberFormat="1" applyFont="1" applyBorder="1" applyAlignment="1">
      <alignment horizontal="center"/>
    </xf>
    <xf numFmtId="0" fontId="48" fillId="0" borderId="0" xfId="0" applyFont="1" applyAlignment="1">
      <alignment horizontal="center" vertical="center"/>
    </xf>
    <xf numFmtId="164" fontId="39" fillId="3" borderId="10" xfId="0" applyNumberFormat="1" applyFont="1" applyFill="1" applyBorder="1" applyAlignment="1">
      <alignment horizontal="center"/>
    </xf>
    <xf numFmtId="0" fontId="39" fillId="3" borderId="43" xfId="0" applyFont="1" applyFill="1" applyBorder="1" applyAlignment="1">
      <alignment horizontal="center"/>
    </xf>
    <xf numFmtId="0" fontId="39" fillId="3" borderId="6" xfId="0" applyFont="1" applyFill="1" applyBorder="1"/>
    <xf numFmtId="0" fontId="39" fillId="3" borderId="10" xfId="0" applyFont="1" applyFill="1" applyBorder="1" applyAlignment="1">
      <alignment horizontal="center"/>
    </xf>
    <xf numFmtId="0" fontId="39" fillId="3" borderId="7" xfId="0" applyFont="1" applyFill="1" applyBorder="1"/>
    <xf numFmtId="0" fontId="39" fillId="3" borderId="1" xfId="0" applyFont="1" applyFill="1" applyBorder="1"/>
    <xf numFmtId="0" fontId="39" fillId="3" borderId="0" xfId="0" applyFont="1" applyFill="1" applyAlignment="1">
      <alignment horizontal="center"/>
    </xf>
    <xf numFmtId="0" fontId="39" fillId="3" borderId="0" xfId="0" applyFont="1" applyFill="1"/>
    <xf numFmtId="0" fontId="22" fillId="7" borderId="13" xfId="0" applyFont="1" applyFill="1" applyBorder="1" applyAlignment="1">
      <alignment horizontal="center" vertical="center"/>
    </xf>
    <xf numFmtId="0" fontId="28" fillId="8" borderId="11" xfId="0" applyFont="1" applyFill="1" applyBorder="1" applyAlignment="1">
      <alignment horizontal="center" vertical="center"/>
    </xf>
    <xf numFmtId="0" fontId="39" fillId="2" borderId="43" xfId="0" applyFont="1" applyFill="1" applyBorder="1" applyAlignment="1">
      <alignment horizontal="center"/>
    </xf>
    <xf numFmtId="0" fontId="39" fillId="26" borderId="43" xfId="0" applyFont="1" applyFill="1" applyBorder="1" applyAlignment="1">
      <alignment horizontal="center"/>
    </xf>
    <xf numFmtId="0" fontId="39" fillId="26" borderId="7" xfId="0" applyFont="1" applyFill="1" applyBorder="1"/>
    <xf numFmtId="0" fontId="39" fillId="26" borderId="6" xfId="0" applyFont="1" applyFill="1" applyBorder="1"/>
    <xf numFmtId="0" fontId="14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9" fillId="2" borderId="10" xfId="0" applyFont="1" applyFill="1" applyBorder="1" applyAlignment="1">
      <alignment horizontal="center"/>
    </xf>
    <xf numFmtId="0" fontId="1" fillId="26" borderId="22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2" fillId="26" borderId="26" xfId="0" applyFont="1" applyFill="1" applyBorder="1" applyAlignment="1">
      <alignment horizontal="center" vertical="center"/>
    </xf>
    <xf numFmtId="0" fontId="39" fillId="27" borderId="43" xfId="0" applyFont="1" applyFill="1" applyBorder="1" applyAlignment="1">
      <alignment horizontal="center"/>
    </xf>
    <xf numFmtId="0" fontId="39" fillId="27" borderId="7" xfId="0" applyFont="1" applyFill="1" applyBorder="1"/>
    <xf numFmtId="0" fontId="39" fillId="0" borderId="7" xfId="0" applyFont="1" applyBorder="1" applyAlignment="1">
      <alignment horizontal="right" vertical="center"/>
    </xf>
    <xf numFmtId="0" fontId="39" fillId="0" borderId="7" xfId="0" applyFont="1" applyBorder="1" applyAlignment="1">
      <alignment horizontal="right"/>
    </xf>
    <xf numFmtId="164" fontId="39" fillId="4" borderId="10" xfId="0" applyNumberFormat="1" applyFont="1" applyFill="1" applyBorder="1" applyAlignment="1">
      <alignment horizontal="center"/>
    </xf>
    <xf numFmtId="0" fontId="39" fillId="4" borderId="43" xfId="0" applyFont="1" applyFill="1" applyBorder="1" applyAlignment="1">
      <alignment horizontal="center"/>
    </xf>
    <xf numFmtId="0" fontId="39" fillId="4" borderId="6" xfId="0" applyFont="1" applyFill="1" applyBorder="1"/>
    <xf numFmtId="0" fontId="39" fillId="4" borderId="10" xfId="0" applyFont="1" applyFill="1" applyBorder="1" applyAlignment="1">
      <alignment horizontal="center"/>
    </xf>
    <xf numFmtId="0" fontId="39" fillId="4" borderId="7" xfId="0" applyFont="1" applyFill="1" applyBorder="1"/>
    <xf numFmtId="0" fontId="39" fillId="4" borderId="1" xfId="0" applyFont="1" applyFill="1" applyBorder="1"/>
    <xf numFmtId="0" fontId="16" fillId="3" borderId="1" xfId="0" applyFont="1" applyFill="1" applyBorder="1" applyAlignment="1">
      <alignment horizontal="center" vertical="center"/>
    </xf>
    <xf numFmtId="0" fontId="0" fillId="3" borderId="0" xfId="0" applyFill="1"/>
    <xf numFmtId="0" fontId="39" fillId="0" borderId="43" xfId="0" applyFont="1" applyBorder="1" applyAlignment="1">
      <alignment horizontal="center" vertical="center"/>
    </xf>
    <xf numFmtId="0" fontId="41" fillId="28" borderId="16" xfId="0" applyFont="1" applyFill="1" applyBorder="1" applyAlignment="1">
      <alignment horizontal="center" vertical="center"/>
    </xf>
    <xf numFmtId="0" fontId="39" fillId="2" borderId="43" xfId="0" applyFont="1" applyFill="1" applyBorder="1" applyAlignment="1">
      <alignment horizontal="center" vertical="center"/>
    </xf>
    <xf numFmtId="0" fontId="41" fillId="28" borderId="1" xfId="0" applyFont="1" applyFill="1" applyBorder="1"/>
    <xf numFmtId="0" fontId="19" fillId="0" borderId="15" xfId="0" applyFont="1" applyBorder="1" applyAlignment="1">
      <alignment horizontal="center" vertical="center"/>
    </xf>
    <xf numFmtId="0" fontId="50" fillId="0" borderId="15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49" fillId="0" borderId="1" xfId="0" applyFont="1" applyBorder="1"/>
    <xf numFmtId="0" fontId="19" fillId="0" borderId="0" xfId="0" applyFont="1" applyAlignment="1">
      <alignment horizontal="center" vertical="center"/>
    </xf>
    <xf numFmtId="0" fontId="50" fillId="20" borderId="5" xfId="0" applyFont="1" applyFill="1" applyBorder="1" applyAlignment="1">
      <alignment horizontal="center" vertical="center"/>
    </xf>
    <xf numFmtId="0" fontId="51" fillId="20" borderId="16" xfId="0" applyFont="1" applyFill="1" applyBorder="1" applyAlignment="1">
      <alignment horizontal="center" vertical="center"/>
    </xf>
    <xf numFmtId="0" fontId="50" fillId="20" borderId="1" xfId="0" applyFont="1" applyFill="1" applyBorder="1" applyAlignment="1">
      <alignment horizontal="center" vertical="center"/>
    </xf>
    <xf numFmtId="0" fontId="52" fillId="18" borderId="5" xfId="0" applyFont="1" applyFill="1" applyBorder="1" applyAlignment="1">
      <alignment horizontal="center" vertical="center"/>
    </xf>
    <xf numFmtId="0" fontId="39" fillId="18" borderId="16" xfId="0" applyFont="1" applyFill="1" applyBorder="1" applyAlignment="1">
      <alignment horizontal="center" vertical="center"/>
    </xf>
    <xf numFmtId="0" fontId="45" fillId="18" borderId="1" xfId="0" applyFont="1" applyFill="1" applyBorder="1" applyAlignment="1">
      <alignment horizontal="center" vertical="center"/>
    </xf>
    <xf numFmtId="0" fontId="45" fillId="18" borderId="5" xfId="0" applyFont="1" applyFill="1" applyBorder="1" applyAlignment="1">
      <alignment horizontal="center" vertical="center"/>
    </xf>
    <xf numFmtId="0" fontId="39" fillId="29" borderId="10" xfId="0" applyFont="1" applyFill="1" applyBorder="1" applyAlignment="1">
      <alignment horizontal="center"/>
    </xf>
    <xf numFmtId="164" fontId="39" fillId="30" borderId="10" xfId="0" applyNumberFormat="1" applyFont="1" applyFill="1" applyBorder="1" applyAlignment="1">
      <alignment horizontal="center"/>
    </xf>
    <xf numFmtId="0" fontId="39" fillId="30" borderId="43" xfId="0" applyFont="1" applyFill="1" applyBorder="1" applyAlignment="1">
      <alignment horizontal="center"/>
    </xf>
    <xf numFmtId="0" fontId="39" fillId="30" borderId="6" xfId="0" applyFont="1" applyFill="1" applyBorder="1"/>
    <xf numFmtId="0" fontId="39" fillId="30" borderId="7" xfId="0" applyFont="1" applyFill="1" applyBorder="1"/>
    <xf numFmtId="0" fontId="39" fillId="30" borderId="10" xfId="0" applyFont="1" applyFill="1" applyBorder="1" applyAlignment="1">
      <alignment horizontal="center"/>
    </xf>
    <xf numFmtId="0" fontId="39" fillId="30" borderId="1" xfId="0" applyFont="1" applyFill="1" applyBorder="1"/>
    <xf numFmtId="0" fontId="41" fillId="30" borderId="0" xfId="0" applyFont="1" applyFill="1" applyAlignment="1">
      <alignment horizontal="center"/>
    </xf>
    <xf numFmtId="0" fontId="39" fillId="29" borderId="43" xfId="0" applyFont="1" applyFill="1" applyBorder="1" applyAlignment="1">
      <alignment horizontal="center"/>
    </xf>
    <xf numFmtId="0" fontId="39" fillId="29" borderId="7" xfId="0" applyFont="1" applyFill="1" applyBorder="1"/>
    <xf numFmtId="166" fontId="39" fillId="23" borderId="0" xfId="0" applyNumberFormat="1" applyFont="1" applyFill="1" applyAlignment="1">
      <alignment horizontal="center"/>
    </xf>
    <xf numFmtId="0" fontId="39" fillId="23" borderId="0" xfId="0" applyFont="1" applyFill="1" applyAlignment="1">
      <alignment horizontal="center"/>
    </xf>
    <xf numFmtId="0" fontId="39" fillId="23" borderId="0" xfId="0" applyFont="1" applyFill="1"/>
    <xf numFmtId="1" fontId="39" fillId="23" borderId="0" xfId="0" applyNumberFormat="1" applyFont="1" applyFill="1" applyAlignment="1">
      <alignment horizontal="center"/>
    </xf>
    <xf numFmtId="14" fontId="14" fillId="5" borderId="12" xfId="0" applyNumberFormat="1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/>
    </xf>
    <xf numFmtId="0" fontId="16" fillId="6" borderId="13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7" fillId="18" borderId="16" xfId="0" applyFont="1" applyFill="1" applyBorder="1" applyAlignment="1">
      <alignment horizontal="center" vertical="center"/>
    </xf>
    <xf numFmtId="0" fontId="39" fillId="18" borderId="7" xfId="0" applyFont="1" applyFill="1" applyBorder="1"/>
    <xf numFmtId="0" fontId="39" fillId="18" borderId="43" xfId="0" applyFont="1" applyFill="1" applyBorder="1" applyAlignment="1">
      <alignment horizontal="center"/>
    </xf>
    <xf numFmtId="0" fontId="39" fillId="31" borderId="43" xfId="0" applyFont="1" applyFill="1" applyBorder="1" applyAlignment="1">
      <alignment horizontal="center"/>
    </xf>
    <xf numFmtId="0" fontId="39" fillId="31" borderId="7" xfId="0" applyFont="1" applyFill="1" applyBorder="1"/>
    <xf numFmtId="0" fontId="39" fillId="31" borderId="0" xfId="0" applyFont="1" applyFill="1" applyAlignment="1">
      <alignment horizontal="center"/>
    </xf>
    <xf numFmtId="1" fontId="39" fillId="4" borderId="19" xfId="0" applyNumberFormat="1" applyFont="1" applyFill="1" applyBorder="1" applyAlignment="1">
      <alignment horizontal="center"/>
    </xf>
    <xf numFmtId="0" fontId="39" fillId="32" borderId="43" xfId="0" applyFont="1" applyFill="1" applyBorder="1" applyAlignment="1">
      <alignment horizontal="center"/>
    </xf>
    <xf numFmtId="0" fontId="39" fillId="32" borderId="6" xfId="0" applyFont="1" applyFill="1" applyBorder="1"/>
    <xf numFmtId="0" fontId="39" fillId="32" borderId="10" xfId="0" applyFont="1" applyFill="1" applyBorder="1" applyAlignment="1">
      <alignment horizontal="center"/>
    </xf>
    <xf numFmtId="0" fontId="39" fillId="32" borderId="7" xfId="0" applyFont="1" applyFill="1" applyBorder="1"/>
    <xf numFmtId="0" fontId="39" fillId="10" borderId="43" xfId="0" applyFont="1" applyFill="1" applyBorder="1" applyAlignment="1">
      <alignment horizontal="center"/>
    </xf>
    <xf numFmtId="0" fontId="39" fillId="10" borderId="6" xfId="0" applyFont="1" applyFill="1" applyBorder="1"/>
    <xf numFmtId="0" fontId="39" fillId="10" borderId="10" xfId="0" applyFont="1" applyFill="1" applyBorder="1" applyAlignment="1">
      <alignment horizontal="center"/>
    </xf>
    <xf numFmtId="0" fontId="39" fillId="25" borderId="43" xfId="0" applyFont="1" applyFill="1" applyBorder="1" applyAlignment="1">
      <alignment horizontal="center"/>
    </xf>
    <xf numFmtId="0" fontId="39" fillId="25" borderId="6" xfId="0" applyFont="1" applyFill="1" applyBorder="1"/>
    <xf numFmtId="0" fontId="39" fillId="25" borderId="10" xfId="0" applyFont="1" applyFill="1" applyBorder="1" applyAlignment="1">
      <alignment horizontal="center"/>
    </xf>
    <xf numFmtId="0" fontId="39" fillId="19" borderId="43" xfId="0" applyFont="1" applyFill="1" applyBorder="1" applyAlignment="1">
      <alignment horizontal="center"/>
    </xf>
    <xf numFmtId="0" fontId="39" fillId="19" borderId="6" xfId="0" applyFont="1" applyFill="1" applyBorder="1"/>
    <xf numFmtId="0" fontId="39" fillId="19" borderId="10" xfId="0" applyFont="1" applyFill="1" applyBorder="1" applyAlignment="1">
      <alignment horizontal="center"/>
    </xf>
    <xf numFmtId="0" fontId="39" fillId="12" borderId="43" xfId="0" applyFont="1" applyFill="1" applyBorder="1" applyAlignment="1">
      <alignment horizontal="center"/>
    </xf>
    <xf numFmtId="0" fontId="39" fillId="12" borderId="6" xfId="0" applyFont="1" applyFill="1" applyBorder="1"/>
    <xf numFmtId="0" fontId="39" fillId="12" borderId="10" xfId="0" applyFont="1" applyFill="1" applyBorder="1" applyAlignment="1">
      <alignment horizontal="center"/>
    </xf>
    <xf numFmtId="0" fontId="39" fillId="33" borderId="43" xfId="0" applyFont="1" applyFill="1" applyBorder="1" applyAlignment="1">
      <alignment horizontal="center"/>
    </xf>
    <xf numFmtId="0" fontId="39" fillId="33" borderId="6" xfId="0" applyFont="1" applyFill="1" applyBorder="1"/>
    <xf numFmtId="0" fontId="39" fillId="33" borderId="10" xfId="0" applyFont="1" applyFill="1" applyBorder="1" applyAlignment="1">
      <alignment horizontal="center"/>
    </xf>
    <xf numFmtId="0" fontId="39" fillId="10" borderId="7" xfId="0" applyFont="1" applyFill="1" applyBorder="1"/>
    <xf numFmtId="0" fontId="39" fillId="21" borderId="43" xfId="0" applyFont="1" applyFill="1" applyBorder="1" applyAlignment="1">
      <alignment horizontal="center"/>
    </xf>
    <xf numFmtId="0" fontId="39" fillId="21" borderId="6" xfId="0" applyFont="1" applyFill="1" applyBorder="1"/>
    <xf numFmtId="0" fontId="39" fillId="25" borderId="7" xfId="0" applyFont="1" applyFill="1" applyBorder="1"/>
    <xf numFmtId="0" fontId="39" fillId="19" borderId="7" xfId="0" applyFont="1" applyFill="1" applyBorder="1"/>
    <xf numFmtId="0" fontId="39" fillId="12" borderId="7" xfId="0" applyFont="1" applyFill="1" applyBorder="1"/>
    <xf numFmtId="0" fontId="39" fillId="33" borderId="7" xfId="0" applyFont="1" applyFill="1" applyBorder="1"/>
    <xf numFmtId="0" fontId="39" fillId="21" borderId="7" xfId="0" applyFont="1" applyFill="1" applyBorder="1"/>
    <xf numFmtId="0" fontId="39" fillId="28" borderId="43" xfId="0" applyFont="1" applyFill="1" applyBorder="1" applyAlignment="1">
      <alignment horizontal="center"/>
    </xf>
    <xf numFmtId="0" fontId="39" fillId="28" borderId="7" xfId="0" applyFont="1" applyFill="1" applyBorder="1"/>
    <xf numFmtId="166" fontId="39" fillId="19" borderId="12" xfId="0" applyNumberFormat="1" applyFont="1" applyFill="1" applyBorder="1" applyAlignment="1">
      <alignment horizontal="center" vertical="center"/>
    </xf>
    <xf numFmtId="0" fontId="39" fillId="19" borderId="11" xfId="0" applyFont="1" applyFill="1" applyBorder="1" applyAlignment="1">
      <alignment horizontal="center" vertical="center"/>
    </xf>
    <xf numFmtId="0" fontId="39" fillId="19" borderId="34" xfId="0" applyFont="1" applyFill="1" applyBorder="1" applyAlignment="1">
      <alignment horizontal="center" vertical="center"/>
    </xf>
    <xf numFmtId="0" fontId="39" fillId="19" borderId="12" xfId="0" applyFont="1" applyFill="1" applyBorder="1" applyAlignment="1">
      <alignment horizontal="center" vertical="center"/>
    </xf>
    <xf numFmtId="0" fontId="39" fillId="19" borderId="13" xfId="0" applyFont="1" applyFill="1" applyBorder="1" applyAlignment="1">
      <alignment horizontal="center" vertical="center"/>
    </xf>
    <xf numFmtId="1" fontId="39" fillId="19" borderId="12" xfId="0" applyNumberFormat="1" applyFont="1" applyFill="1" applyBorder="1" applyAlignment="1">
      <alignment horizontal="center" vertical="center"/>
    </xf>
    <xf numFmtId="0" fontId="39" fillId="27" borderId="6" xfId="0" applyFont="1" applyFill="1" applyBorder="1"/>
    <xf numFmtId="0" fontId="39" fillId="27" borderId="10" xfId="0" applyFont="1" applyFill="1" applyBorder="1" applyAlignment="1">
      <alignment horizontal="center"/>
    </xf>
    <xf numFmtId="0" fontId="40" fillId="27" borderId="6" xfId="0" applyFont="1" applyFill="1" applyBorder="1"/>
    <xf numFmtId="0" fontId="50" fillId="0" borderId="5" xfId="0" applyFont="1" applyBorder="1" applyAlignment="1">
      <alignment horizontal="center" vertical="center"/>
    </xf>
    <xf numFmtId="0" fontId="51" fillId="0" borderId="16" xfId="0" applyFont="1" applyBorder="1" applyAlignment="1">
      <alignment horizontal="center" vertical="center"/>
    </xf>
    <xf numFmtId="0" fontId="52" fillId="0" borderId="5" xfId="0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4" fillId="0" borderId="28" xfId="0" applyFont="1" applyBorder="1" applyAlignment="1">
      <alignment horizontal="center" vertical="center"/>
    </xf>
    <xf numFmtId="0" fontId="39" fillId="17" borderId="43" xfId="0" applyFont="1" applyFill="1" applyBorder="1" applyAlignment="1">
      <alignment horizontal="center"/>
    </xf>
    <xf numFmtId="0" fontId="39" fillId="17" borderId="6" xfId="0" applyFont="1" applyFill="1" applyBorder="1"/>
    <xf numFmtId="0" fontId="39" fillId="17" borderId="7" xfId="0" applyFont="1" applyFill="1" applyBorder="1"/>
    <xf numFmtId="0" fontId="39" fillId="35" borderId="43" xfId="0" applyFont="1" applyFill="1" applyBorder="1" applyAlignment="1">
      <alignment horizontal="center"/>
    </xf>
    <xf numFmtId="0" fontId="39" fillId="35" borderId="6" xfId="0" applyFont="1" applyFill="1" applyBorder="1"/>
    <xf numFmtId="0" fontId="39" fillId="35" borderId="7" xfId="0" applyFont="1" applyFill="1" applyBorder="1"/>
    <xf numFmtId="0" fontId="16" fillId="10" borderId="1" xfId="0" applyFont="1" applyFill="1" applyBorder="1" applyAlignment="1">
      <alignment horizontal="center" vertical="center"/>
    </xf>
    <xf numFmtId="0" fontId="39" fillId="15" borderId="43" xfId="0" applyFont="1" applyFill="1" applyBorder="1" applyAlignment="1">
      <alignment horizontal="center"/>
    </xf>
    <xf numFmtId="0" fontId="39" fillId="15" borderId="7" xfId="0" applyFont="1" applyFill="1" applyBorder="1"/>
    <xf numFmtId="0" fontId="39" fillId="15" borderId="6" xfId="0" applyFont="1" applyFill="1" applyBorder="1"/>
    <xf numFmtId="0" fontId="16" fillId="20" borderId="1" xfId="0" applyFont="1" applyFill="1" applyBorder="1" applyAlignment="1">
      <alignment horizontal="center" vertical="center"/>
    </xf>
    <xf numFmtId="0" fontId="16" fillId="31" borderId="1" xfId="0" applyFont="1" applyFill="1" applyBorder="1" applyAlignment="1">
      <alignment horizontal="center" vertical="center"/>
    </xf>
    <xf numFmtId="0" fontId="39" fillId="31" borderId="6" xfId="0" applyFont="1" applyFill="1" applyBorder="1"/>
    <xf numFmtId="0" fontId="41" fillId="36" borderId="43" xfId="0" applyFont="1" applyFill="1" applyBorder="1" applyAlignment="1">
      <alignment horizontal="center"/>
    </xf>
    <xf numFmtId="0" fontId="41" fillId="36" borderId="6" xfId="0" applyFont="1" applyFill="1" applyBorder="1"/>
    <xf numFmtId="0" fontId="41" fillId="36" borderId="7" xfId="0" applyFont="1" applyFill="1" applyBorder="1"/>
    <xf numFmtId="0" fontId="39" fillId="6" borderId="43" xfId="0" applyFont="1" applyFill="1" applyBorder="1" applyAlignment="1">
      <alignment horizontal="center"/>
    </xf>
    <xf numFmtId="0" fontId="39" fillId="6" borderId="7" xfId="0" applyFont="1" applyFill="1" applyBorder="1"/>
    <xf numFmtId="0" fontId="39" fillId="6" borderId="6" xfId="0" applyFont="1" applyFill="1" applyBorder="1"/>
    <xf numFmtId="0" fontId="39" fillId="11" borderId="43" xfId="0" applyFont="1" applyFill="1" applyBorder="1" applyAlignment="1">
      <alignment horizontal="center"/>
    </xf>
    <xf numFmtId="0" fontId="39" fillId="11" borderId="7" xfId="0" applyFont="1" applyFill="1" applyBorder="1"/>
    <xf numFmtId="0" fontId="39" fillId="11" borderId="6" xfId="0" applyFont="1" applyFill="1" applyBorder="1"/>
    <xf numFmtId="0" fontId="39" fillId="37" borderId="43" xfId="0" applyFont="1" applyFill="1" applyBorder="1" applyAlignment="1">
      <alignment horizontal="center"/>
    </xf>
    <xf numFmtId="0" fontId="39" fillId="37" borderId="7" xfId="0" applyFont="1" applyFill="1" applyBorder="1"/>
    <xf numFmtId="0" fontId="39" fillId="37" borderId="6" xfId="0" applyFont="1" applyFill="1" applyBorder="1"/>
    <xf numFmtId="0" fontId="39" fillId="24" borderId="43" xfId="0" applyFont="1" applyFill="1" applyBorder="1" applyAlignment="1">
      <alignment horizontal="center"/>
    </xf>
    <xf numFmtId="0" fontId="39" fillId="24" borderId="7" xfId="0" applyFont="1" applyFill="1" applyBorder="1"/>
    <xf numFmtId="0" fontId="39" fillId="24" borderId="6" xfId="0" applyFont="1" applyFill="1" applyBorder="1"/>
    <xf numFmtId="0" fontId="39" fillId="14" borderId="43" xfId="0" applyFont="1" applyFill="1" applyBorder="1" applyAlignment="1">
      <alignment horizontal="center"/>
    </xf>
    <xf numFmtId="0" fontId="39" fillId="14" borderId="7" xfId="0" applyFont="1" applyFill="1" applyBorder="1"/>
    <xf numFmtId="0" fontId="39" fillId="14" borderId="6" xfId="0" applyFont="1" applyFill="1" applyBorder="1"/>
    <xf numFmtId="0" fontId="39" fillId="38" borderId="43" xfId="0" applyFont="1" applyFill="1" applyBorder="1" applyAlignment="1">
      <alignment horizontal="center"/>
    </xf>
    <xf numFmtId="0" fontId="39" fillId="38" borderId="7" xfId="0" applyFont="1" applyFill="1" applyBorder="1"/>
    <xf numFmtId="0" fontId="38" fillId="19" borderId="0" xfId="0" applyFont="1" applyFill="1" applyAlignment="1">
      <alignment horizontal="center" vertical="center"/>
    </xf>
    <xf numFmtId="14" fontId="14" fillId="5" borderId="12" xfId="0" applyNumberFormat="1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/>
    </xf>
    <xf numFmtId="0" fontId="16" fillId="6" borderId="13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54" fillId="0" borderId="12" xfId="0" applyFont="1" applyBorder="1" applyAlignment="1">
      <alignment horizontal="center"/>
    </xf>
    <xf numFmtId="0" fontId="54" fillId="0" borderId="13" xfId="0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53" fillId="0" borderId="30" xfId="0" applyFont="1" applyBorder="1" applyAlignment="1">
      <alignment horizontal="center"/>
    </xf>
    <xf numFmtId="14" fontId="14" fillId="5" borderId="13" xfId="0" applyNumberFormat="1" applyFont="1" applyFill="1" applyBorder="1" applyAlignment="1">
      <alignment horizontal="center" vertical="center"/>
    </xf>
    <xf numFmtId="0" fontId="54" fillId="26" borderId="12" xfId="0" applyFont="1" applyFill="1" applyBorder="1" applyAlignment="1">
      <alignment horizontal="center"/>
    </xf>
    <xf numFmtId="0" fontId="54" fillId="26" borderId="13" xfId="0" applyFont="1" applyFill="1" applyBorder="1" applyAlignment="1">
      <alignment horizontal="center"/>
    </xf>
    <xf numFmtId="0" fontId="53" fillId="34" borderId="46" xfId="0" applyFont="1" applyFill="1" applyBorder="1" applyAlignment="1">
      <alignment horizontal="center"/>
    </xf>
    <xf numFmtId="0" fontId="53" fillId="34" borderId="30" xfId="0" applyFont="1" applyFill="1" applyBorder="1" applyAlignment="1">
      <alignment horizontal="center"/>
    </xf>
    <xf numFmtId="0" fontId="54" fillId="26" borderId="46" xfId="0" applyFont="1" applyFill="1" applyBorder="1" applyAlignment="1">
      <alignment horizontal="center" vertical="center"/>
    </xf>
    <xf numFmtId="0" fontId="54" fillId="26" borderId="30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2" fillId="7" borderId="31" xfId="0" applyFont="1" applyFill="1" applyBorder="1" applyAlignment="1">
      <alignment horizontal="center" vertical="center"/>
    </xf>
    <xf numFmtId="0" fontId="22" fillId="7" borderId="26" xfId="0" applyFont="1" applyFill="1" applyBorder="1" applyAlignment="1">
      <alignment horizontal="center" vertical="center"/>
    </xf>
    <xf numFmtId="14" fontId="14" fillId="0" borderId="12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2" fillId="6" borderId="31" xfId="0" applyFont="1" applyFill="1" applyBorder="1" applyAlignment="1">
      <alignment horizontal="center" vertical="center"/>
    </xf>
    <xf numFmtId="0" fontId="22" fillId="6" borderId="26" xfId="0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4" fontId="14" fillId="5" borderId="34" xfId="0" applyNumberFormat="1" applyFont="1" applyFill="1" applyBorder="1" applyAlignment="1">
      <alignment horizontal="center" vertical="center"/>
    </xf>
    <xf numFmtId="0" fontId="4" fillId="0" borderId="0" xfId="0" applyFont="1"/>
    <xf numFmtId="1" fontId="39" fillId="0" borderId="10" xfId="0" applyNumberFormat="1" applyFont="1" applyBorder="1" applyAlignment="1">
      <alignment horizontal="center"/>
    </xf>
    <xf numFmtId="164" fontId="39" fillId="0" borderId="6" xfId="0" applyNumberFormat="1" applyFont="1" applyBorder="1"/>
    <xf numFmtId="0" fontId="39" fillId="21" borderId="0" xfId="0" applyFont="1" applyFill="1"/>
    <xf numFmtId="0" fontId="39" fillId="0" borderId="43" xfId="0" applyFont="1" applyFill="1" applyBorder="1" applyAlignment="1">
      <alignment horizontal="center"/>
    </xf>
    <xf numFmtId="0" fontId="39" fillId="0" borderId="7" xfId="0" applyFont="1" applyFill="1" applyBorder="1"/>
    <xf numFmtId="0" fontId="39" fillId="0" borderId="1" xfId="0" applyFont="1" applyBorder="1" applyAlignment="1">
      <alignment horizontal="right"/>
    </xf>
  </cellXfs>
  <cellStyles count="4">
    <cellStyle name="Comma" xfId="3" builtinId="3"/>
    <cellStyle name="Hyperlink" xfId="2" builtinId="8"/>
    <cellStyle name="Normal" xfId="0" builtinId="0"/>
    <cellStyle name="Normal 2" xfId="1" xr:uid="{00000000-0005-0000-0000-000001000000}"/>
  </cellStyles>
  <dxfs count="827"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D359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horizont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horizont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horizont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horizont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horizont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horizont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horizont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horizont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horizont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4"/>
        <color rgb="FF000000"/>
        <name val="Calibri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4"/>
        <color rgb="FF000000"/>
        <name val="Calibri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4"/>
        <color rgb="FF000000"/>
        <name val="Calibri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4"/>
        <color rgb="FF000000"/>
        <name val="Calibri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4"/>
        <color rgb="FF000000"/>
        <name val="Calibri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4"/>
        <color rgb="FF000000"/>
        <name val="Calibri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4"/>
        <color rgb="FF000000"/>
        <name val="Calibri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horizont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99D3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tar\Desktop\Starmarket%207-2023%20Final.xlsx" TargetMode="External"/><Relationship Id="rId1" Type="http://schemas.openxmlformats.org/officeDocument/2006/relationships/externalLinkPath" Target="Starmarket%207-2023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"/>
      <sheetName val="Main"/>
      <sheetName val="29-7-2023"/>
      <sheetName val="28-7-2023"/>
      <sheetName val="27-7-2023"/>
      <sheetName val="26-7-2023"/>
      <sheetName val="25-7-2023"/>
      <sheetName val="24-7-2023"/>
      <sheetName val="23-7-2023"/>
      <sheetName val="22-7-2023"/>
      <sheetName val="21-7-2023"/>
      <sheetName val="20-7-2023"/>
      <sheetName val="19-7-2023"/>
      <sheetName val="18-7-2023"/>
      <sheetName val="17 07 2023_x0009_"/>
      <sheetName val="16-7-2023"/>
      <sheetName val="1-7-2023"/>
      <sheetName val="2-7-2023"/>
      <sheetName val="3-7-2023"/>
      <sheetName val="4-7-2023"/>
      <sheetName val="5-7-2023"/>
      <sheetName val="Main (2)"/>
      <sheetName val="6-7-2023"/>
      <sheetName val="7-7-2023"/>
      <sheetName val="8-7-2023"/>
      <sheetName val="9-7-2023"/>
      <sheetName val="10-7-2023"/>
      <sheetName val="11-7-2023"/>
      <sheetName val="12-7-2023"/>
      <sheetName val="13-7-2023"/>
      <sheetName val="14-7-2023"/>
      <sheetName val="15-7-2023"/>
      <sheetName val="data"/>
    </sheetNames>
    <sheetDataSet>
      <sheetData sheetId="0" refreshError="1"/>
      <sheetData sheetId="1">
        <row r="6">
          <cell r="E6">
            <v>9630</v>
          </cell>
        </row>
        <row r="7">
          <cell r="E7">
            <v>145</v>
          </cell>
        </row>
        <row r="8">
          <cell r="E8">
            <v>140</v>
          </cell>
        </row>
        <row r="9">
          <cell r="E9">
            <v>1855</v>
          </cell>
        </row>
        <row r="10">
          <cell r="E10">
            <v>1345</v>
          </cell>
        </row>
        <row r="11">
          <cell r="E11">
            <v>75</v>
          </cell>
        </row>
        <row r="12">
          <cell r="E12">
            <v>50</v>
          </cell>
        </row>
        <row r="13">
          <cell r="E13">
            <v>147</v>
          </cell>
        </row>
        <row r="14">
          <cell r="E14">
            <v>55</v>
          </cell>
        </row>
        <row r="15">
          <cell r="E15">
            <v>100</v>
          </cell>
        </row>
        <row r="16">
          <cell r="E16">
            <v>100</v>
          </cell>
        </row>
        <row r="17">
          <cell r="E17">
            <v>440</v>
          </cell>
        </row>
        <row r="18">
          <cell r="E18">
            <v>100</v>
          </cell>
        </row>
        <row r="19">
          <cell r="E19">
            <v>20</v>
          </cell>
        </row>
        <row r="20">
          <cell r="E20">
            <v>5</v>
          </cell>
        </row>
        <row r="21">
          <cell r="E21">
            <v>10</v>
          </cell>
        </row>
        <row r="22">
          <cell r="E22">
            <v>155</v>
          </cell>
        </row>
        <row r="23">
          <cell r="E23">
            <v>745</v>
          </cell>
        </row>
        <row r="24">
          <cell r="E24">
            <v>265</v>
          </cell>
        </row>
        <row r="25">
          <cell r="E25">
            <v>1417</v>
          </cell>
        </row>
        <row r="26">
          <cell r="E26">
            <v>33.5</v>
          </cell>
        </row>
        <row r="27">
          <cell r="E27">
            <v>10175</v>
          </cell>
        </row>
        <row r="28">
          <cell r="E28">
            <v>485</v>
          </cell>
        </row>
        <row r="29">
          <cell r="E29">
            <v>1300</v>
          </cell>
        </row>
        <row r="30">
          <cell r="E30">
            <v>500</v>
          </cell>
        </row>
        <row r="31">
          <cell r="E31">
            <v>40</v>
          </cell>
        </row>
        <row r="32">
          <cell r="E32">
            <v>50</v>
          </cell>
        </row>
        <row r="33">
          <cell r="E33">
            <v>72</v>
          </cell>
        </row>
        <row r="34">
          <cell r="E34">
            <v>174.5</v>
          </cell>
        </row>
        <row r="35">
          <cell r="E35">
            <v>50</v>
          </cell>
        </row>
        <row r="36">
          <cell r="E36">
            <v>1000</v>
          </cell>
        </row>
        <row r="37">
          <cell r="E37">
            <v>1000</v>
          </cell>
        </row>
        <row r="38">
          <cell r="E38">
            <v>6000</v>
          </cell>
        </row>
        <row r="39">
          <cell r="E39">
            <v>105</v>
          </cell>
        </row>
        <row r="40">
          <cell r="E40">
            <v>215</v>
          </cell>
        </row>
        <row r="41">
          <cell r="E41">
            <v>100</v>
          </cell>
        </row>
        <row r="42">
          <cell r="E42">
            <v>155</v>
          </cell>
        </row>
        <row r="43">
          <cell r="E43">
            <v>240</v>
          </cell>
        </row>
        <row r="44">
          <cell r="E44">
            <v>170</v>
          </cell>
        </row>
        <row r="45">
          <cell r="E45">
            <v>61</v>
          </cell>
        </row>
        <row r="46">
          <cell r="E46">
            <v>20000</v>
          </cell>
        </row>
        <row r="47">
          <cell r="E47">
            <v>1000</v>
          </cell>
        </row>
        <row r="48">
          <cell r="E48">
            <v>130</v>
          </cell>
        </row>
        <row r="49">
          <cell r="E49">
            <v>225</v>
          </cell>
        </row>
        <row r="50">
          <cell r="E50">
            <v>2050</v>
          </cell>
        </row>
        <row r="51">
          <cell r="E51">
            <v>3155</v>
          </cell>
        </row>
        <row r="52">
          <cell r="E52">
            <v>2185</v>
          </cell>
        </row>
        <row r="53">
          <cell r="E53">
            <v>1705</v>
          </cell>
        </row>
        <row r="54">
          <cell r="E54">
            <v>4285</v>
          </cell>
        </row>
        <row r="55">
          <cell r="E55">
            <v>105</v>
          </cell>
        </row>
        <row r="56">
          <cell r="E56">
            <v>145</v>
          </cell>
        </row>
        <row r="57">
          <cell r="E57">
            <v>39</v>
          </cell>
        </row>
        <row r="58">
          <cell r="E58">
            <v>20</v>
          </cell>
        </row>
        <row r="59">
          <cell r="E59">
            <v>11</v>
          </cell>
        </row>
        <row r="60">
          <cell r="E60">
            <v>100</v>
          </cell>
        </row>
        <row r="61">
          <cell r="E61">
            <v>875</v>
          </cell>
        </row>
        <row r="62">
          <cell r="E62">
            <v>200</v>
          </cell>
        </row>
        <row r="63">
          <cell r="E63">
            <v>360</v>
          </cell>
        </row>
        <row r="64">
          <cell r="E64">
            <v>50</v>
          </cell>
        </row>
        <row r="65">
          <cell r="E65">
            <v>20</v>
          </cell>
        </row>
        <row r="66">
          <cell r="E66">
            <v>3000</v>
          </cell>
        </row>
        <row r="67">
          <cell r="E67">
            <v>370</v>
          </cell>
        </row>
        <row r="68">
          <cell r="E68">
            <v>380</v>
          </cell>
        </row>
        <row r="69">
          <cell r="E69">
            <v>20</v>
          </cell>
        </row>
        <row r="70">
          <cell r="E70">
            <v>200</v>
          </cell>
        </row>
        <row r="71">
          <cell r="E71">
            <v>35</v>
          </cell>
        </row>
        <row r="72">
          <cell r="E72">
            <v>6740</v>
          </cell>
        </row>
        <row r="73">
          <cell r="E73">
            <v>75</v>
          </cell>
        </row>
        <row r="74">
          <cell r="E74">
            <v>500</v>
          </cell>
        </row>
        <row r="75">
          <cell r="E75">
            <v>95</v>
          </cell>
        </row>
        <row r="76">
          <cell r="E76">
            <v>550</v>
          </cell>
        </row>
        <row r="77">
          <cell r="E77">
            <v>7030</v>
          </cell>
        </row>
        <row r="78">
          <cell r="E78">
            <v>1605</v>
          </cell>
        </row>
        <row r="79">
          <cell r="E79">
            <v>30</v>
          </cell>
        </row>
        <row r="80">
          <cell r="E80">
            <v>4465</v>
          </cell>
        </row>
        <row r="81">
          <cell r="E81">
            <v>1390</v>
          </cell>
        </row>
        <row r="82">
          <cell r="E82">
            <v>5490</v>
          </cell>
        </row>
        <row r="83">
          <cell r="E83">
            <v>60</v>
          </cell>
        </row>
        <row r="84">
          <cell r="E84">
            <v>7030</v>
          </cell>
        </row>
        <row r="85">
          <cell r="E85">
            <v>273</v>
          </cell>
        </row>
        <row r="86">
          <cell r="E86">
            <v>233</v>
          </cell>
        </row>
        <row r="87">
          <cell r="E87">
            <v>575</v>
          </cell>
        </row>
        <row r="88">
          <cell r="E88">
            <v>297</v>
          </cell>
        </row>
        <row r="89">
          <cell r="E89">
            <v>1947</v>
          </cell>
        </row>
        <row r="90">
          <cell r="E90">
            <v>400</v>
          </cell>
        </row>
        <row r="91">
          <cell r="E91">
            <v>3000</v>
          </cell>
        </row>
        <row r="92">
          <cell r="E92">
            <v>1370</v>
          </cell>
        </row>
        <row r="93">
          <cell r="E93">
            <v>1035</v>
          </cell>
        </row>
        <row r="94">
          <cell r="E94">
            <v>50</v>
          </cell>
        </row>
        <row r="95">
          <cell r="E95">
            <v>120</v>
          </cell>
        </row>
        <row r="96">
          <cell r="E96">
            <v>10880</v>
          </cell>
        </row>
        <row r="97">
          <cell r="E97">
            <v>4140</v>
          </cell>
        </row>
        <row r="98">
          <cell r="E98">
            <v>5425</v>
          </cell>
        </row>
        <row r="99">
          <cell r="E99">
            <v>5210</v>
          </cell>
        </row>
        <row r="100">
          <cell r="E100">
            <v>100</v>
          </cell>
        </row>
        <row r="101">
          <cell r="E101">
            <v>2500</v>
          </cell>
        </row>
        <row r="102">
          <cell r="E102">
            <v>5960</v>
          </cell>
        </row>
        <row r="103">
          <cell r="E103">
            <v>8455</v>
          </cell>
        </row>
        <row r="104">
          <cell r="E104">
            <v>4810</v>
          </cell>
        </row>
        <row r="105">
          <cell r="E105">
            <v>10000</v>
          </cell>
        </row>
        <row r="106">
          <cell r="E106">
            <v>2000</v>
          </cell>
        </row>
        <row r="107">
          <cell r="E107">
            <v>1715</v>
          </cell>
        </row>
        <row r="108">
          <cell r="E108">
            <v>145</v>
          </cell>
        </row>
        <row r="109">
          <cell r="E109">
            <v>290</v>
          </cell>
        </row>
        <row r="110">
          <cell r="E110">
            <v>670</v>
          </cell>
        </row>
        <row r="111">
          <cell r="E111">
            <v>270</v>
          </cell>
        </row>
        <row r="112">
          <cell r="E112">
            <v>495</v>
          </cell>
        </row>
        <row r="113">
          <cell r="E113">
            <v>33</v>
          </cell>
        </row>
        <row r="114">
          <cell r="E114">
            <v>75</v>
          </cell>
        </row>
        <row r="115">
          <cell r="E115">
            <v>2918</v>
          </cell>
        </row>
        <row r="116">
          <cell r="E116">
            <v>1720</v>
          </cell>
        </row>
        <row r="117">
          <cell r="E117">
            <v>25</v>
          </cell>
        </row>
        <row r="118">
          <cell r="E118">
            <v>3000</v>
          </cell>
        </row>
        <row r="119">
          <cell r="E119">
            <v>500</v>
          </cell>
        </row>
        <row r="120">
          <cell r="E120">
            <v>210</v>
          </cell>
        </row>
        <row r="121">
          <cell r="E121">
            <v>110</v>
          </cell>
        </row>
        <row r="122">
          <cell r="E122">
            <v>170</v>
          </cell>
        </row>
        <row r="123">
          <cell r="E123">
            <v>65</v>
          </cell>
        </row>
        <row r="124">
          <cell r="E124">
            <v>175</v>
          </cell>
        </row>
        <row r="125">
          <cell r="E125">
            <v>50</v>
          </cell>
        </row>
        <row r="126">
          <cell r="E126">
            <v>110</v>
          </cell>
        </row>
        <row r="127">
          <cell r="E127">
            <v>25</v>
          </cell>
        </row>
        <row r="128">
          <cell r="E128">
            <v>1080</v>
          </cell>
        </row>
        <row r="129">
          <cell r="E129">
            <v>3000</v>
          </cell>
        </row>
        <row r="130">
          <cell r="E130">
            <v>1000</v>
          </cell>
        </row>
        <row r="131">
          <cell r="E131">
            <v>11000</v>
          </cell>
        </row>
        <row r="132">
          <cell r="E132">
            <v>4140</v>
          </cell>
        </row>
        <row r="133">
          <cell r="E133">
            <v>115</v>
          </cell>
        </row>
        <row r="134">
          <cell r="E134">
            <v>95</v>
          </cell>
        </row>
        <row r="135">
          <cell r="E135">
            <v>50</v>
          </cell>
        </row>
        <row r="136">
          <cell r="E136">
            <v>100</v>
          </cell>
        </row>
        <row r="137">
          <cell r="E137">
            <v>10000</v>
          </cell>
        </row>
        <row r="138">
          <cell r="E138">
            <v>980</v>
          </cell>
        </row>
        <row r="139">
          <cell r="E139">
            <v>13360</v>
          </cell>
        </row>
        <row r="140">
          <cell r="E140">
            <v>265</v>
          </cell>
        </row>
        <row r="141">
          <cell r="E141">
            <v>3470</v>
          </cell>
        </row>
        <row r="142">
          <cell r="E142">
            <v>55</v>
          </cell>
        </row>
        <row r="143">
          <cell r="E143">
            <v>100</v>
          </cell>
        </row>
        <row r="144">
          <cell r="E144">
            <v>145</v>
          </cell>
        </row>
        <row r="145">
          <cell r="E145">
            <v>5280</v>
          </cell>
        </row>
        <row r="146">
          <cell r="E146">
            <v>3300</v>
          </cell>
        </row>
        <row r="147">
          <cell r="E147">
            <v>610</v>
          </cell>
        </row>
        <row r="148">
          <cell r="E148">
            <v>4498</v>
          </cell>
        </row>
        <row r="149">
          <cell r="E149">
            <v>4100</v>
          </cell>
        </row>
        <row r="150">
          <cell r="E150">
            <v>3760</v>
          </cell>
        </row>
        <row r="151">
          <cell r="E151">
            <v>1500</v>
          </cell>
        </row>
        <row r="152">
          <cell r="E152">
            <v>1160</v>
          </cell>
        </row>
        <row r="153">
          <cell r="E153">
            <v>140</v>
          </cell>
        </row>
        <row r="154">
          <cell r="E154">
            <v>5</v>
          </cell>
        </row>
        <row r="155">
          <cell r="E155">
            <v>1105</v>
          </cell>
        </row>
        <row r="156">
          <cell r="E156">
            <v>255</v>
          </cell>
        </row>
        <row r="157">
          <cell r="E157">
            <v>5224</v>
          </cell>
        </row>
        <row r="158">
          <cell r="E158">
            <v>255</v>
          </cell>
        </row>
        <row r="159">
          <cell r="E159">
            <v>1</v>
          </cell>
        </row>
        <row r="160">
          <cell r="E160">
            <v>16</v>
          </cell>
        </row>
        <row r="161">
          <cell r="E161">
            <v>500</v>
          </cell>
        </row>
        <row r="162">
          <cell r="E162">
            <v>135</v>
          </cell>
        </row>
        <row r="163">
          <cell r="E163">
            <v>210</v>
          </cell>
        </row>
        <row r="164">
          <cell r="E164">
            <v>350</v>
          </cell>
        </row>
        <row r="165">
          <cell r="E165">
            <v>100</v>
          </cell>
        </row>
        <row r="166">
          <cell r="E166">
            <v>4555</v>
          </cell>
        </row>
        <row r="167">
          <cell r="E167">
            <v>130</v>
          </cell>
        </row>
        <row r="168">
          <cell r="E168">
            <v>1609</v>
          </cell>
        </row>
        <row r="169">
          <cell r="E169">
            <v>155</v>
          </cell>
        </row>
        <row r="170">
          <cell r="E170">
            <v>1520</v>
          </cell>
        </row>
        <row r="171">
          <cell r="E171">
            <v>120</v>
          </cell>
        </row>
        <row r="172">
          <cell r="E172">
            <v>50</v>
          </cell>
        </row>
        <row r="173">
          <cell r="E173">
            <v>1800</v>
          </cell>
        </row>
        <row r="174">
          <cell r="E174">
            <v>2000</v>
          </cell>
        </row>
        <row r="175">
          <cell r="E175">
            <v>30</v>
          </cell>
        </row>
        <row r="176">
          <cell r="E176">
            <v>22</v>
          </cell>
        </row>
        <row r="177">
          <cell r="E177">
            <v>175</v>
          </cell>
        </row>
        <row r="178">
          <cell r="E178">
            <v>1000</v>
          </cell>
        </row>
        <row r="179">
          <cell r="E179">
            <v>132</v>
          </cell>
        </row>
        <row r="180">
          <cell r="E180">
            <v>240</v>
          </cell>
        </row>
        <row r="181">
          <cell r="E181">
            <v>110</v>
          </cell>
        </row>
        <row r="182">
          <cell r="E182">
            <v>105</v>
          </cell>
        </row>
        <row r="183">
          <cell r="E183">
            <v>200</v>
          </cell>
        </row>
        <row r="184">
          <cell r="E184">
            <v>2000</v>
          </cell>
        </row>
        <row r="185">
          <cell r="E185">
            <v>6000</v>
          </cell>
        </row>
        <row r="186">
          <cell r="E186">
            <v>30</v>
          </cell>
        </row>
        <row r="187">
          <cell r="E187">
            <v>50</v>
          </cell>
        </row>
        <row r="188">
          <cell r="E188">
            <v>235</v>
          </cell>
        </row>
        <row r="189">
          <cell r="E189">
            <v>125</v>
          </cell>
        </row>
        <row r="190">
          <cell r="E190">
            <v>590</v>
          </cell>
        </row>
        <row r="191">
          <cell r="E191">
            <v>577</v>
          </cell>
        </row>
        <row r="192">
          <cell r="E192">
            <v>645</v>
          </cell>
        </row>
        <row r="193">
          <cell r="E193">
            <v>380</v>
          </cell>
        </row>
        <row r="194">
          <cell r="E194">
            <v>10000</v>
          </cell>
        </row>
        <row r="195">
          <cell r="E195">
            <v>4585</v>
          </cell>
        </row>
        <row r="196">
          <cell r="E196">
            <v>280</v>
          </cell>
        </row>
        <row r="197">
          <cell r="E197">
            <v>85</v>
          </cell>
        </row>
        <row r="198">
          <cell r="E198">
            <v>100</v>
          </cell>
        </row>
        <row r="199">
          <cell r="E199">
            <v>60</v>
          </cell>
        </row>
        <row r="200">
          <cell r="E200">
            <v>1690</v>
          </cell>
        </row>
        <row r="201">
          <cell r="E201">
            <v>6550</v>
          </cell>
        </row>
        <row r="202">
          <cell r="E202">
            <v>100</v>
          </cell>
        </row>
        <row r="203">
          <cell r="E203">
            <v>1925</v>
          </cell>
        </row>
        <row r="204">
          <cell r="E204">
            <v>50</v>
          </cell>
        </row>
        <row r="205">
          <cell r="E205">
            <v>450</v>
          </cell>
        </row>
        <row r="206">
          <cell r="E206">
            <v>75</v>
          </cell>
        </row>
        <row r="207">
          <cell r="E207">
            <v>125</v>
          </cell>
        </row>
        <row r="208">
          <cell r="E208">
            <v>135</v>
          </cell>
        </row>
        <row r="209">
          <cell r="E209">
            <v>4853</v>
          </cell>
        </row>
        <row r="210">
          <cell r="E210">
            <v>60</v>
          </cell>
        </row>
        <row r="211">
          <cell r="E211">
            <v>100</v>
          </cell>
        </row>
        <row r="212">
          <cell r="E212">
            <v>115</v>
          </cell>
        </row>
        <row r="213">
          <cell r="E213">
            <v>10</v>
          </cell>
        </row>
        <row r="214">
          <cell r="E214">
            <v>33</v>
          </cell>
        </row>
        <row r="215">
          <cell r="E215">
            <v>1500</v>
          </cell>
        </row>
        <row r="216">
          <cell r="E216">
            <v>60</v>
          </cell>
        </row>
        <row r="217">
          <cell r="E217">
            <v>350</v>
          </cell>
        </row>
        <row r="218">
          <cell r="E218">
            <v>612</v>
          </cell>
        </row>
        <row r="219">
          <cell r="E219">
            <v>800</v>
          </cell>
        </row>
        <row r="220">
          <cell r="E220">
            <v>65</v>
          </cell>
        </row>
        <row r="221">
          <cell r="E221">
            <v>80</v>
          </cell>
        </row>
        <row r="222">
          <cell r="E222">
            <v>155</v>
          </cell>
        </row>
        <row r="223">
          <cell r="E223">
            <v>225</v>
          </cell>
        </row>
        <row r="224">
          <cell r="E224">
            <v>100</v>
          </cell>
        </row>
        <row r="225">
          <cell r="E225">
            <v>170</v>
          </cell>
        </row>
        <row r="226">
          <cell r="E226">
            <v>10000</v>
          </cell>
        </row>
        <row r="227">
          <cell r="E227">
            <v>957</v>
          </cell>
        </row>
        <row r="228">
          <cell r="E228">
            <v>100</v>
          </cell>
        </row>
        <row r="229">
          <cell r="E229">
            <v>3515</v>
          </cell>
        </row>
        <row r="230">
          <cell r="E230">
            <v>435</v>
          </cell>
        </row>
        <row r="231">
          <cell r="E231">
            <v>420</v>
          </cell>
        </row>
        <row r="232">
          <cell r="E232">
            <v>120</v>
          </cell>
        </row>
        <row r="233">
          <cell r="E233">
            <v>305</v>
          </cell>
        </row>
        <row r="234">
          <cell r="E234">
            <v>210</v>
          </cell>
        </row>
        <row r="235">
          <cell r="E235">
            <v>30</v>
          </cell>
        </row>
        <row r="236">
          <cell r="E236">
            <v>1930</v>
          </cell>
        </row>
        <row r="237">
          <cell r="E237">
            <v>80</v>
          </cell>
        </row>
        <row r="238">
          <cell r="E238">
            <v>820</v>
          </cell>
        </row>
        <row r="239">
          <cell r="E239">
            <v>125</v>
          </cell>
        </row>
        <row r="240">
          <cell r="E240">
            <v>10000</v>
          </cell>
        </row>
        <row r="241">
          <cell r="E241">
            <v>15</v>
          </cell>
        </row>
        <row r="242">
          <cell r="E242">
            <v>9000</v>
          </cell>
        </row>
        <row r="243">
          <cell r="E243">
            <v>2220</v>
          </cell>
        </row>
        <row r="244">
          <cell r="E244">
            <v>345</v>
          </cell>
        </row>
        <row r="245">
          <cell r="E245">
            <v>495</v>
          </cell>
        </row>
        <row r="246">
          <cell r="E246">
            <v>195</v>
          </cell>
        </row>
        <row r="247">
          <cell r="E247">
            <v>5300</v>
          </cell>
        </row>
        <row r="248">
          <cell r="E248">
            <v>15</v>
          </cell>
        </row>
        <row r="249">
          <cell r="E249">
            <v>245</v>
          </cell>
        </row>
        <row r="250">
          <cell r="E250">
            <v>315</v>
          </cell>
        </row>
        <row r="251">
          <cell r="E251">
            <v>2645</v>
          </cell>
        </row>
        <row r="252">
          <cell r="E252">
            <v>40</v>
          </cell>
        </row>
        <row r="253">
          <cell r="E253">
            <v>1960</v>
          </cell>
        </row>
        <row r="254">
          <cell r="E254">
            <v>400</v>
          </cell>
        </row>
        <row r="255">
          <cell r="E255">
            <v>50</v>
          </cell>
        </row>
        <row r="256">
          <cell r="E256">
            <v>8500</v>
          </cell>
        </row>
        <row r="257">
          <cell r="E257">
            <v>85</v>
          </cell>
        </row>
        <row r="258">
          <cell r="E258">
            <v>85</v>
          </cell>
        </row>
        <row r="259">
          <cell r="E259">
            <v>140</v>
          </cell>
        </row>
        <row r="260">
          <cell r="E260">
            <v>2443</v>
          </cell>
        </row>
        <row r="261">
          <cell r="E261">
            <v>1515</v>
          </cell>
        </row>
        <row r="262">
          <cell r="E262">
            <v>720</v>
          </cell>
        </row>
        <row r="263">
          <cell r="E263">
            <v>283</v>
          </cell>
        </row>
        <row r="264">
          <cell r="E264">
            <v>4420</v>
          </cell>
        </row>
        <row r="265">
          <cell r="E265">
            <v>8</v>
          </cell>
        </row>
        <row r="266">
          <cell r="E266">
            <v>450</v>
          </cell>
        </row>
        <row r="267">
          <cell r="E267">
            <v>270</v>
          </cell>
        </row>
        <row r="268">
          <cell r="E268">
            <v>44</v>
          </cell>
        </row>
        <row r="269">
          <cell r="E269">
            <v>1925</v>
          </cell>
        </row>
        <row r="270">
          <cell r="E270">
            <v>1120</v>
          </cell>
        </row>
        <row r="271">
          <cell r="E271">
            <v>120</v>
          </cell>
        </row>
        <row r="272">
          <cell r="E272">
            <v>50</v>
          </cell>
        </row>
        <row r="273">
          <cell r="E273">
            <v>400</v>
          </cell>
        </row>
        <row r="274">
          <cell r="E274">
            <v>4090</v>
          </cell>
        </row>
        <row r="275">
          <cell r="E275">
            <v>4650</v>
          </cell>
        </row>
        <row r="276">
          <cell r="E276">
            <v>680</v>
          </cell>
        </row>
        <row r="277">
          <cell r="E277">
            <v>350</v>
          </cell>
        </row>
        <row r="278">
          <cell r="E278">
            <v>115</v>
          </cell>
        </row>
        <row r="279">
          <cell r="E279">
            <v>290</v>
          </cell>
        </row>
        <row r="280">
          <cell r="E280">
            <v>2298</v>
          </cell>
        </row>
        <row r="281">
          <cell r="E281">
            <v>270</v>
          </cell>
        </row>
        <row r="282">
          <cell r="E282">
            <v>2640</v>
          </cell>
        </row>
        <row r="283">
          <cell r="E283">
            <v>180</v>
          </cell>
        </row>
        <row r="284">
          <cell r="E284">
            <v>100</v>
          </cell>
        </row>
        <row r="285">
          <cell r="E285">
            <v>100</v>
          </cell>
        </row>
        <row r="286">
          <cell r="E286">
            <v>8</v>
          </cell>
        </row>
        <row r="287">
          <cell r="E287">
            <v>130</v>
          </cell>
        </row>
        <row r="288">
          <cell r="E288">
            <v>2120</v>
          </cell>
        </row>
        <row r="289">
          <cell r="E289">
            <v>500</v>
          </cell>
        </row>
        <row r="290">
          <cell r="E290">
            <v>80</v>
          </cell>
        </row>
        <row r="291">
          <cell r="E291">
            <v>5000</v>
          </cell>
        </row>
        <row r="292">
          <cell r="E292">
            <v>340</v>
          </cell>
        </row>
        <row r="293">
          <cell r="E293">
            <v>14995</v>
          </cell>
        </row>
        <row r="294">
          <cell r="E294">
            <v>6940</v>
          </cell>
        </row>
        <row r="295">
          <cell r="E295">
            <v>2080</v>
          </cell>
        </row>
        <row r="296">
          <cell r="E296">
            <v>1410</v>
          </cell>
        </row>
        <row r="297">
          <cell r="E297">
            <v>2650</v>
          </cell>
        </row>
        <row r="298">
          <cell r="E298">
            <v>200</v>
          </cell>
        </row>
        <row r="299">
          <cell r="E299">
            <v>7200</v>
          </cell>
        </row>
        <row r="300">
          <cell r="E300">
            <v>85</v>
          </cell>
        </row>
        <row r="301">
          <cell r="E301">
            <v>4000</v>
          </cell>
        </row>
        <row r="302">
          <cell r="E302">
            <v>250</v>
          </cell>
        </row>
        <row r="303">
          <cell r="E303">
            <v>145</v>
          </cell>
        </row>
        <row r="304">
          <cell r="E304">
            <v>95</v>
          </cell>
        </row>
        <row r="305">
          <cell r="E305">
            <v>2090</v>
          </cell>
        </row>
        <row r="306">
          <cell r="E306">
            <v>206</v>
          </cell>
        </row>
        <row r="307">
          <cell r="E307">
            <v>10000</v>
          </cell>
        </row>
        <row r="308">
          <cell r="E308">
            <v>75</v>
          </cell>
        </row>
        <row r="309">
          <cell r="E309">
            <v>244</v>
          </cell>
        </row>
        <row r="310">
          <cell r="E310">
            <v>500</v>
          </cell>
        </row>
        <row r="311">
          <cell r="E311">
            <v>300</v>
          </cell>
        </row>
        <row r="312">
          <cell r="E312">
            <v>9500</v>
          </cell>
        </row>
        <row r="313">
          <cell r="E313">
            <v>400</v>
          </cell>
        </row>
        <row r="314">
          <cell r="E314">
            <v>345</v>
          </cell>
        </row>
        <row r="315">
          <cell r="E315">
            <v>990</v>
          </cell>
        </row>
        <row r="316">
          <cell r="E316">
            <v>145</v>
          </cell>
        </row>
        <row r="317">
          <cell r="E317">
            <v>120</v>
          </cell>
        </row>
        <row r="318">
          <cell r="E318">
            <v>70</v>
          </cell>
        </row>
        <row r="319">
          <cell r="E319">
            <v>130</v>
          </cell>
        </row>
        <row r="320">
          <cell r="E320">
            <v>205</v>
          </cell>
        </row>
        <row r="321">
          <cell r="E321">
            <v>70</v>
          </cell>
        </row>
        <row r="322">
          <cell r="E322">
            <v>5940</v>
          </cell>
        </row>
        <row r="323">
          <cell r="E323">
            <v>410</v>
          </cell>
        </row>
        <row r="324">
          <cell r="E324">
            <v>860</v>
          </cell>
        </row>
        <row r="325">
          <cell r="E325">
            <v>830</v>
          </cell>
        </row>
        <row r="326">
          <cell r="E326">
            <v>2520</v>
          </cell>
        </row>
        <row r="327">
          <cell r="E327">
            <v>10</v>
          </cell>
        </row>
        <row r="328">
          <cell r="E328">
            <v>965</v>
          </cell>
        </row>
        <row r="329">
          <cell r="E329">
            <v>2115</v>
          </cell>
        </row>
        <row r="330">
          <cell r="E330">
            <v>970</v>
          </cell>
        </row>
        <row r="331">
          <cell r="E331">
            <v>2215</v>
          </cell>
        </row>
        <row r="332">
          <cell r="E332">
            <v>7</v>
          </cell>
        </row>
        <row r="333">
          <cell r="E333">
            <v>6000</v>
          </cell>
        </row>
        <row r="334">
          <cell r="E334">
            <v>2830</v>
          </cell>
        </row>
        <row r="335">
          <cell r="E335">
            <v>3200</v>
          </cell>
        </row>
        <row r="336">
          <cell r="E336">
            <v>50</v>
          </cell>
        </row>
        <row r="337">
          <cell r="E337">
            <v>100</v>
          </cell>
        </row>
        <row r="338">
          <cell r="E338">
            <v>900</v>
          </cell>
        </row>
        <row r="339">
          <cell r="E339">
            <v>4500</v>
          </cell>
        </row>
        <row r="340">
          <cell r="E340">
            <v>175</v>
          </cell>
        </row>
        <row r="341">
          <cell r="E341">
            <v>115</v>
          </cell>
        </row>
        <row r="342">
          <cell r="E342">
            <v>155</v>
          </cell>
        </row>
        <row r="343">
          <cell r="E343">
            <v>350</v>
          </cell>
        </row>
        <row r="344">
          <cell r="E344">
            <v>1500</v>
          </cell>
        </row>
        <row r="345">
          <cell r="E345">
            <v>1400</v>
          </cell>
        </row>
        <row r="346">
          <cell r="E346">
            <v>1687</v>
          </cell>
        </row>
        <row r="347">
          <cell r="E347">
            <v>500</v>
          </cell>
        </row>
        <row r="348">
          <cell r="E348">
            <v>68</v>
          </cell>
        </row>
        <row r="349">
          <cell r="E349">
            <v>784</v>
          </cell>
        </row>
        <row r="350">
          <cell r="E350">
            <v>690</v>
          </cell>
        </row>
        <row r="351">
          <cell r="E351">
            <v>8070</v>
          </cell>
        </row>
        <row r="352">
          <cell r="E352">
            <v>120</v>
          </cell>
        </row>
        <row r="353">
          <cell r="E353">
            <v>50</v>
          </cell>
        </row>
        <row r="354">
          <cell r="E354">
            <v>6340</v>
          </cell>
        </row>
        <row r="355">
          <cell r="E355">
            <v>1000</v>
          </cell>
        </row>
        <row r="356">
          <cell r="E356">
            <v>195</v>
          </cell>
        </row>
        <row r="357">
          <cell r="E357">
            <v>100</v>
          </cell>
        </row>
        <row r="358">
          <cell r="E358">
            <v>100</v>
          </cell>
        </row>
        <row r="359">
          <cell r="E359">
            <v>60</v>
          </cell>
        </row>
        <row r="360">
          <cell r="E360">
            <v>12000</v>
          </cell>
        </row>
        <row r="361">
          <cell r="E361">
            <v>135</v>
          </cell>
        </row>
        <row r="362">
          <cell r="E362">
            <v>125</v>
          </cell>
        </row>
        <row r="363">
          <cell r="E363">
            <v>120</v>
          </cell>
        </row>
        <row r="364">
          <cell r="E364">
            <v>350</v>
          </cell>
        </row>
        <row r="365">
          <cell r="E365">
            <v>240</v>
          </cell>
        </row>
        <row r="366">
          <cell r="E366">
            <v>210</v>
          </cell>
        </row>
        <row r="367">
          <cell r="E367">
            <v>2890</v>
          </cell>
        </row>
        <row r="368">
          <cell r="E368">
            <v>35</v>
          </cell>
        </row>
        <row r="369">
          <cell r="E369">
            <v>40</v>
          </cell>
        </row>
        <row r="370">
          <cell r="E370">
            <v>45240</v>
          </cell>
        </row>
        <row r="371">
          <cell r="E371">
            <v>4810</v>
          </cell>
        </row>
        <row r="372">
          <cell r="E372">
            <v>25000</v>
          </cell>
        </row>
        <row r="373">
          <cell r="E373">
            <v>95</v>
          </cell>
        </row>
        <row r="374">
          <cell r="E374">
            <v>480</v>
          </cell>
        </row>
        <row r="375">
          <cell r="E375">
            <v>1170</v>
          </cell>
        </row>
        <row r="376">
          <cell r="E376">
            <v>155</v>
          </cell>
        </row>
        <row r="377">
          <cell r="E377">
            <v>17</v>
          </cell>
        </row>
        <row r="378">
          <cell r="E378">
            <v>520</v>
          </cell>
        </row>
        <row r="379">
          <cell r="E379">
            <v>360</v>
          </cell>
        </row>
        <row r="380">
          <cell r="E380">
            <v>100</v>
          </cell>
        </row>
        <row r="381">
          <cell r="E381">
            <v>180</v>
          </cell>
        </row>
        <row r="382">
          <cell r="E382">
            <v>175</v>
          </cell>
        </row>
        <row r="383">
          <cell r="E383">
            <v>2080</v>
          </cell>
        </row>
        <row r="384">
          <cell r="E384">
            <v>5480</v>
          </cell>
        </row>
        <row r="385">
          <cell r="E385">
            <v>90</v>
          </cell>
        </row>
        <row r="386">
          <cell r="E386">
            <v>4000</v>
          </cell>
        </row>
        <row r="387">
          <cell r="E387">
            <v>80</v>
          </cell>
        </row>
        <row r="388">
          <cell r="E388">
            <v>75</v>
          </cell>
        </row>
        <row r="389">
          <cell r="E389">
            <v>1500</v>
          </cell>
        </row>
        <row r="390">
          <cell r="E390">
            <v>20</v>
          </cell>
        </row>
        <row r="391">
          <cell r="E391">
            <v>3350</v>
          </cell>
        </row>
        <row r="392">
          <cell r="E392">
            <v>1600</v>
          </cell>
        </row>
        <row r="393">
          <cell r="E393">
            <v>1282</v>
          </cell>
        </row>
        <row r="394">
          <cell r="E394">
            <v>150</v>
          </cell>
        </row>
        <row r="395">
          <cell r="E395">
            <v>75</v>
          </cell>
        </row>
        <row r="396">
          <cell r="E396">
            <v>150</v>
          </cell>
        </row>
        <row r="397">
          <cell r="E397">
            <v>195</v>
          </cell>
        </row>
        <row r="398">
          <cell r="E398">
            <v>110</v>
          </cell>
        </row>
        <row r="399">
          <cell r="E399">
            <v>120</v>
          </cell>
        </row>
        <row r="400">
          <cell r="E400">
            <v>1675</v>
          </cell>
        </row>
        <row r="401">
          <cell r="E401">
            <v>1625</v>
          </cell>
        </row>
        <row r="402">
          <cell r="E402">
            <v>3080</v>
          </cell>
        </row>
        <row r="403">
          <cell r="E403">
            <v>1280</v>
          </cell>
        </row>
        <row r="404">
          <cell r="E404">
            <v>500</v>
          </cell>
        </row>
        <row r="405">
          <cell r="E405">
            <v>10000</v>
          </cell>
        </row>
        <row r="406">
          <cell r="E406">
            <v>2955</v>
          </cell>
        </row>
        <row r="407">
          <cell r="E407">
            <v>20</v>
          </cell>
        </row>
        <row r="408">
          <cell r="E408">
            <v>195</v>
          </cell>
        </row>
        <row r="409">
          <cell r="E409">
            <v>940</v>
          </cell>
        </row>
        <row r="410">
          <cell r="E410">
            <v>29</v>
          </cell>
        </row>
        <row r="411">
          <cell r="E411">
            <v>69</v>
          </cell>
        </row>
        <row r="412">
          <cell r="E412">
            <v>405</v>
          </cell>
        </row>
        <row r="413">
          <cell r="E413">
            <v>70</v>
          </cell>
        </row>
        <row r="414">
          <cell r="E414">
            <v>244</v>
          </cell>
        </row>
        <row r="415">
          <cell r="E415">
            <v>35</v>
          </cell>
        </row>
        <row r="416">
          <cell r="E416">
            <v>65</v>
          </cell>
        </row>
        <row r="417">
          <cell r="E417">
            <v>220</v>
          </cell>
        </row>
        <row r="418">
          <cell r="E418">
            <v>50</v>
          </cell>
        </row>
        <row r="419">
          <cell r="E419">
            <v>120</v>
          </cell>
        </row>
        <row r="420">
          <cell r="E420">
            <v>3488</v>
          </cell>
        </row>
        <row r="421">
          <cell r="E421">
            <v>3015</v>
          </cell>
        </row>
        <row r="422">
          <cell r="E422">
            <v>195</v>
          </cell>
        </row>
        <row r="423">
          <cell r="E423">
            <v>1013</v>
          </cell>
        </row>
        <row r="424">
          <cell r="E424">
            <v>245</v>
          </cell>
        </row>
        <row r="425">
          <cell r="E425">
            <v>58</v>
          </cell>
        </row>
        <row r="426">
          <cell r="E426">
            <v>385</v>
          </cell>
        </row>
        <row r="427">
          <cell r="E427">
            <v>545</v>
          </cell>
        </row>
        <row r="428">
          <cell r="E428">
            <v>1322</v>
          </cell>
        </row>
        <row r="429">
          <cell r="E429">
            <v>13</v>
          </cell>
        </row>
        <row r="430">
          <cell r="E430">
            <v>2030</v>
          </cell>
        </row>
        <row r="431">
          <cell r="E431">
            <v>120</v>
          </cell>
        </row>
        <row r="432">
          <cell r="E432">
            <v>50</v>
          </cell>
        </row>
        <row r="433">
          <cell r="E433">
            <v>1500</v>
          </cell>
        </row>
        <row r="434">
          <cell r="E434">
            <v>145</v>
          </cell>
        </row>
        <row r="435">
          <cell r="E435">
            <v>50</v>
          </cell>
        </row>
        <row r="436">
          <cell r="E436">
            <v>4229</v>
          </cell>
        </row>
        <row r="437">
          <cell r="E437">
            <v>90</v>
          </cell>
        </row>
        <row r="438">
          <cell r="E438">
            <v>1450</v>
          </cell>
        </row>
        <row r="439">
          <cell r="E439">
            <v>490</v>
          </cell>
        </row>
        <row r="440">
          <cell r="E440">
            <v>5945</v>
          </cell>
        </row>
        <row r="441">
          <cell r="E441">
            <v>145</v>
          </cell>
        </row>
        <row r="442">
          <cell r="E442">
            <v>195</v>
          </cell>
        </row>
        <row r="443">
          <cell r="E443">
            <v>9330</v>
          </cell>
        </row>
        <row r="444">
          <cell r="E444">
            <v>1600</v>
          </cell>
        </row>
        <row r="445">
          <cell r="E445">
            <v>2950</v>
          </cell>
        </row>
        <row r="446">
          <cell r="E446">
            <v>4440</v>
          </cell>
        </row>
        <row r="447">
          <cell r="E447">
            <v>95</v>
          </cell>
        </row>
        <row r="448">
          <cell r="E448">
            <v>100</v>
          </cell>
        </row>
        <row r="449">
          <cell r="E449">
            <v>240</v>
          </cell>
        </row>
        <row r="450">
          <cell r="E450">
            <v>225</v>
          </cell>
        </row>
        <row r="451">
          <cell r="E451">
            <v>80</v>
          </cell>
        </row>
        <row r="452">
          <cell r="E452">
            <v>255</v>
          </cell>
        </row>
        <row r="453">
          <cell r="E453">
            <v>100</v>
          </cell>
        </row>
        <row r="454">
          <cell r="E454">
            <v>490</v>
          </cell>
        </row>
        <row r="455">
          <cell r="E455">
            <v>410</v>
          </cell>
        </row>
        <row r="456">
          <cell r="E456">
            <v>255</v>
          </cell>
        </row>
        <row r="457">
          <cell r="E457">
            <v>87</v>
          </cell>
        </row>
        <row r="458">
          <cell r="E458">
            <v>90</v>
          </cell>
        </row>
        <row r="459">
          <cell r="E459">
            <v>425</v>
          </cell>
        </row>
        <row r="460">
          <cell r="E460">
            <v>1800</v>
          </cell>
        </row>
        <row r="461">
          <cell r="E461">
            <v>9</v>
          </cell>
        </row>
        <row r="462">
          <cell r="E462">
            <v>5</v>
          </cell>
        </row>
        <row r="463">
          <cell r="E463">
            <v>130</v>
          </cell>
        </row>
        <row r="464">
          <cell r="E464">
            <v>1000</v>
          </cell>
        </row>
        <row r="465">
          <cell r="E465">
            <v>180</v>
          </cell>
        </row>
        <row r="466">
          <cell r="E466">
            <v>3000</v>
          </cell>
        </row>
        <row r="467">
          <cell r="E467">
            <v>105</v>
          </cell>
        </row>
        <row r="468">
          <cell r="E468">
            <v>1850</v>
          </cell>
        </row>
        <row r="469">
          <cell r="E469">
            <v>150</v>
          </cell>
        </row>
        <row r="470">
          <cell r="E470">
            <v>75</v>
          </cell>
        </row>
        <row r="471">
          <cell r="E471">
            <v>95</v>
          </cell>
        </row>
        <row r="472">
          <cell r="E472">
            <v>155</v>
          </cell>
        </row>
        <row r="473">
          <cell r="E473">
            <v>4160</v>
          </cell>
        </row>
        <row r="474">
          <cell r="E474">
            <v>100</v>
          </cell>
        </row>
        <row r="475">
          <cell r="E475">
            <v>120</v>
          </cell>
        </row>
        <row r="476">
          <cell r="E476">
            <v>208</v>
          </cell>
        </row>
        <row r="477">
          <cell r="E477">
            <v>20</v>
          </cell>
        </row>
        <row r="478">
          <cell r="E478">
            <v>30</v>
          </cell>
        </row>
        <row r="479">
          <cell r="E479">
            <v>14000</v>
          </cell>
        </row>
        <row r="480">
          <cell r="E480">
            <v>11000</v>
          </cell>
        </row>
        <row r="481">
          <cell r="E481">
            <v>3650</v>
          </cell>
        </row>
        <row r="482">
          <cell r="E482">
            <v>990</v>
          </cell>
        </row>
        <row r="483">
          <cell r="E483">
            <v>20</v>
          </cell>
        </row>
        <row r="484">
          <cell r="E484">
            <v>25</v>
          </cell>
        </row>
        <row r="485">
          <cell r="E485">
            <v>70</v>
          </cell>
        </row>
        <row r="486">
          <cell r="E486">
            <v>8000</v>
          </cell>
        </row>
        <row r="487">
          <cell r="E487">
            <v>1255</v>
          </cell>
        </row>
        <row r="488">
          <cell r="E488">
            <v>390</v>
          </cell>
        </row>
        <row r="489">
          <cell r="E489">
            <v>330</v>
          </cell>
        </row>
        <row r="490">
          <cell r="E490">
            <v>261</v>
          </cell>
        </row>
        <row r="491">
          <cell r="E491">
            <v>995</v>
          </cell>
        </row>
        <row r="492">
          <cell r="E492">
            <v>7</v>
          </cell>
        </row>
        <row r="493">
          <cell r="E493">
            <v>225</v>
          </cell>
        </row>
        <row r="494">
          <cell r="E494">
            <v>35</v>
          </cell>
        </row>
        <row r="495">
          <cell r="E495">
            <v>30</v>
          </cell>
        </row>
        <row r="496">
          <cell r="E496">
            <v>170</v>
          </cell>
        </row>
        <row r="497">
          <cell r="E497">
            <v>90</v>
          </cell>
        </row>
        <row r="498">
          <cell r="E498">
            <v>24</v>
          </cell>
        </row>
        <row r="499">
          <cell r="E499">
            <v>120</v>
          </cell>
        </row>
        <row r="500">
          <cell r="E500">
            <v>100</v>
          </cell>
        </row>
        <row r="501">
          <cell r="E501">
            <v>155</v>
          </cell>
        </row>
        <row r="502">
          <cell r="E502">
            <v>100</v>
          </cell>
        </row>
        <row r="503">
          <cell r="E503">
            <v>200</v>
          </cell>
        </row>
        <row r="504">
          <cell r="E504">
            <v>100</v>
          </cell>
        </row>
        <row r="505">
          <cell r="E505">
            <v>240</v>
          </cell>
        </row>
        <row r="506">
          <cell r="E506">
            <v>120</v>
          </cell>
        </row>
        <row r="507">
          <cell r="E507">
            <v>6730</v>
          </cell>
        </row>
        <row r="508">
          <cell r="E508">
            <v>30</v>
          </cell>
        </row>
        <row r="509">
          <cell r="E509">
            <v>1170</v>
          </cell>
        </row>
        <row r="510">
          <cell r="E510">
            <v>30</v>
          </cell>
        </row>
        <row r="511">
          <cell r="E511">
            <v>117</v>
          </cell>
        </row>
        <row r="512">
          <cell r="E512">
            <v>110</v>
          </cell>
        </row>
        <row r="513">
          <cell r="E513">
            <v>75</v>
          </cell>
        </row>
        <row r="514">
          <cell r="E514">
            <v>11</v>
          </cell>
        </row>
        <row r="515">
          <cell r="E515">
            <v>30</v>
          </cell>
        </row>
        <row r="516">
          <cell r="E516">
            <v>100</v>
          </cell>
        </row>
        <row r="517">
          <cell r="E517">
            <v>50</v>
          </cell>
        </row>
        <row r="518">
          <cell r="E518">
            <v>17</v>
          </cell>
        </row>
        <row r="519">
          <cell r="E519">
            <v>75</v>
          </cell>
        </row>
        <row r="520">
          <cell r="E520">
            <v>1745</v>
          </cell>
        </row>
        <row r="521">
          <cell r="E521">
            <v>115</v>
          </cell>
        </row>
        <row r="522">
          <cell r="E522">
            <v>460</v>
          </cell>
        </row>
        <row r="523">
          <cell r="E523">
            <v>95</v>
          </cell>
        </row>
        <row r="524">
          <cell r="E524">
            <v>330</v>
          </cell>
        </row>
        <row r="525">
          <cell r="E525">
            <v>14000</v>
          </cell>
        </row>
        <row r="526">
          <cell r="E526">
            <v>970</v>
          </cell>
        </row>
        <row r="527">
          <cell r="E527">
            <v>500</v>
          </cell>
        </row>
        <row r="528">
          <cell r="E528">
            <v>228</v>
          </cell>
        </row>
        <row r="529">
          <cell r="E529">
            <v>865</v>
          </cell>
        </row>
        <row r="530">
          <cell r="E530">
            <v>12000</v>
          </cell>
        </row>
        <row r="531">
          <cell r="E531">
            <v>141</v>
          </cell>
        </row>
        <row r="532">
          <cell r="E532">
            <v>28</v>
          </cell>
        </row>
        <row r="533">
          <cell r="E533">
            <v>16</v>
          </cell>
        </row>
        <row r="534">
          <cell r="E534">
            <v>16</v>
          </cell>
        </row>
        <row r="535">
          <cell r="E535">
            <v>135</v>
          </cell>
        </row>
        <row r="536">
          <cell r="E536">
            <v>62</v>
          </cell>
        </row>
        <row r="537">
          <cell r="E537">
            <v>10000</v>
          </cell>
        </row>
        <row r="538">
          <cell r="E538">
            <v>40</v>
          </cell>
        </row>
        <row r="539">
          <cell r="E539">
            <v>2560</v>
          </cell>
        </row>
        <row r="540">
          <cell r="E540">
            <v>9050</v>
          </cell>
        </row>
        <row r="541">
          <cell r="E541">
            <v>6852</v>
          </cell>
        </row>
        <row r="542">
          <cell r="E542">
            <v>2960</v>
          </cell>
        </row>
        <row r="543">
          <cell r="E543">
            <v>120</v>
          </cell>
        </row>
        <row r="544">
          <cell r="E544">
            <v>215</v>
          </cell>
        </row>
        <row r="545">
          <cell r="E545">
            <v>255</v>
          </cell>
        </row>
        <row r="546">
          <cell r="E546">
            <v>105</v>
          </cell>
        </row>
        <row r="547">
          <cell r="E547">
            <v>2455</v>
          </cell>
        </row>
        <row r="548">
          <cell r="E548">
            <v>410</v>
          </cell>
        </row>
        <row r="549">
          <cell r="E549">
            <v>1050</v>
          </cell>
        </row>
        <row r="550">
          <cell r="E550">
            <v>290</v>
          </cell>
        </row>
        <row r="551">
          <cell r="E551">
            <v>505</v>
          </cell>
        </row>
        <row r="552">
          <cell r="E552">
            <v>1000</v>
          </cell>
        </row>
        <row r="553">
          <cell r="E553">
            <v>1000</v>
          </cell>
        </row>
        <row r="554">
          <cell r="E554">
            <v>140</v>
          </cell>
        </row>
        <row r="555">
          <cell r="E555">
            <v>140</v>
          </cell>
        </row>
        <row r="556">
          <cell r="E556">
            <v>50</v>
          </cell>
        </row>
        <row r="557">
          <cell r="E557">
            <v>3945</v>
          </cell>
        </row>
        <row r="558">
          <cell r="E558">
            <v>180</v>
          </cell>
        </row>
        <row r="559">
          <cell r="E559">
            <v>1365</v>
          </cell>
        </row>
        <row r="560">
          <cell r="E560">
            <v>5060</v>
          </cell>
        </row>
        <row r="561">
          <cell r="E561">
            <v>15000</v>
          </cell>
        </row>
        <row r="562">
          <cell r="E562">
            <v>1700</v>
          </cell>
        </row>
        <row r="563">
          <cell r="E563">
            <v>85</v>
          </cell>
        </row>
        <row r="564">
          <cell r="E564">
            <v>65</v>
          </cell>
        </row>
        <row r="565">
          <cell r="E565">
            <v>5485</v>
          </cell>
        </row>
        <row r="566">
          <cell r="E566">
            <v>2000</v>
          </cell>
        </row>
        <row r="567">
          <cell r="E567">
            <v>16</v>
          </cell>
        </row>
        <row r="568">
          <cell r="E568">
            <v>100</v>
          </cell>
        </row>
        <row r="569">
          <cell r="E569">
            <v>100</v>
          </cell>
        </row>
        <row r="570">
          <cell r="E570">
            <v>240</v>
          </cell>
        </row>
        <row r="571">
          <cell r="E571">
            <v>10</v>
          </cell>
        </row>
        <row r="572">
          <cell r="E572">
            <v>10</v>
          </cell>
        </row>
        <row r="573">
          <cell r="E573">
            <v>374</v>
          </cell>
        </row>
        <row r="574">
          <cell r="E574">
            <v>620</v>
          </cell>
        </row>
        <row r="575">
          <cell r="E575">
            <v>720</v>
          </cell>
        </row>
        <row r="576">
          <cell r="E576">
            <v>1340</v>
          </cell>
        </row>
        <row r="577">
          <cell r="E577">
            <v>285</v>
          </cell>
        </row>
        <row r="578">
          <cell r="E578">
            <v>1445</v>
          </cell>
        </row>
        <row r="579">
          <cell r="E579">
            <v>840</v>
          </cell>
        </row>
        <row r="580">
          <cell r="E580">
            <v>200</v>
          </cell>
        </row>
        <row r="581">
          <cell r="E581">
            <v>1568</v>
          </cell>
        </row>
        <row r="582">
          <cell r="E582">
            <v>46</v>
          </cell>
        </row>
        <row r="583">
          <cell r="E583">
            <v>2000</v>
          </cell>
        </row>
        <row r="584">
          <cell r="E584">
            <v>225</v>
          </cell>
        </row>
        <row r="585">
          <cell r="E585">
            <v>520</v>
          </cell>
        </row>
        <row r="586">
          <cell r="E586">
            <v>240</v>
          </cell>
        </row>
        <row r="587">
          <cell r="E587">
            <v>80</v>
          </cell>
        </row>
        <row r="588">
          <cell r="E588">
            <v>120</v>
          </cell>
        </row>
        <row r="589">
          <cell r="E589">
            <v>75</v>
          </cell>
        </row>
        <row r="590">
          <cell r="E590">
            <v>50</v>
          </cell>
        </row>
        <row r="591">
          <cell r="E591">
            <v>60</v>
          </cell>
        </row>
        <row r="592">
          <cell r="E592">
            <v>36</v>
          </cell>
        </row>
        <row r="593">
          <cell r="E593">
            <v>30</v>
          </cell>
        </row>
        <row r="594">
          <cell r="E594">
            <v>100</v>
          </cell>
        </row>
        <row r="595">
          <cell r="E595">
            <v>205</v>
          </cell>
        </row>
        <row r="596">
          <cell r="E596">
            <v>3550</v>
          </cell>
        </row>
        <row r="597">
          <cell r="E597">
            <v>455</v>
          </cell>
        </row>
        <row r="598">
          <cell r="E598">
            <v>160</v>
          </cell>
        </row>
        <row r="599">
          <cell r="E599">
            <v>3346</v>
          </cell>
        </row>
        <row r="600">
          <cell r="E600">
            <v>190</v>
          </cell>
        </row>
        <row r="601">
          <cell r="E601">
            <v>185</v>
          </cell>
        </row>
        <row r="602">
          <cell r="E602">
            <v>185</v>
          </cell>
        </row>
        <row r="603">
          <cell r="E603">
            <v>2130</v>
          </cell>
        </row>
        <row r="604">
          <cell r="E604">
            <v>605</v>
          </cell>
        </row>
        <row r="605">
          <cell r="E605">
            <v>200</v>
          </cell>
        </row>
        <row r="606">
          <cell r="E606">
            <v>15</v>
          </cell>
        </row>
        <row r="607">
          <cell r="E607">
            <v>50</v>
          </cell>
        </row>
        <row r="608">
          <cell r="E608">
            <v>7350</v>
          </cell>
        </row>
        <row r="609">
          <cell r="E609">
            <v>1300</v>
          </cell>
        </row>
        <row r="610">
          <cell r="E610">
            <v>90</v>
          </cell>
        </row>
        <row r="611">
          <cell r="E611">
            <v>276</v>
          </cell>
        </row>
        <row r="612">
          <cell r="E612">
            <v>20</v>
          </cell>
        </row>
        <row r="613">
          <cell r="E613">
            <v>5625</v>
          </cell>
        </row>
        <row r="614">
          <cell r="E614">
            <v>900</v>
          </cell>
        </row>
        <row r="615">
          <cell r="E615">
            <v>100000</v>
          </cell>
        </row>
        <row r="616">
          <cell r="E616">
            <v>1475</v>
          </cell>
        </row>
        <row r="617">
          <cell r="E617">
            <v>4770</v>
          </cell>
        </row>
        <row r="618">
          <cell r="E618">
            <v>2220</v>
          </cell>
        </row>
        <row r="619">
          <cell r="E619">
            <v>2300</v>
          </cell>
        </row>
        <row r="620">
          <cell r="E620">
            <v>790</v>
          </cell>
        </row>
        <row r="621">
          <cell r="E621">
            <v>5100</v>
          </cell>
        </row>
        <row r="622">
          <cell r="E622">
            <v>1800</v>
          </cell>
        </row>
        <row r="623">
          <cell r="E623">
            <v>720</v>
          </cell>
        </row>
        <row r="624">
          <cell r="E624">
            <v>1060</v>
          </cell>
        </row>
        <row r="625">
          <cell r="E625">
            <v>2640</v>
          </cell>
        </row>
        <row r="626">
          <cell r="E626">
            <v>120</v>
          </cell>
        </row>
        <row r="627">
          <cell r="E627">
            <v>120</v>
          </cell>
        </row>
        <row r="628">
          <cell r="E628">
            <v>210</v>
          </cell>
        </row>
        <row r="629">
          <cell r="E629">
            <v>450</v>
          </cell>
        </row>
        <row r="630">
          <cell r="E630">
            <v>240</v>
          </cell>
        </row>
        <row r="631">
          <cell r="E631">
            <v>440</v>
          </cell>
        </row>
        <row r="632">
          <cell r="E632">
            <v>520</v>
          </cell>
        </row>
        <row r="633">
          <cell r="E633">
            <v>55</v>
          </cell>
        </row>
        <row r="634">
          <cell r="E634">
            <v>690</v>
          </cell>
        </row>
        <row r="635">
          <cell r="E635">
            <v>2658</v>
          </cell>
        </row>
        <row r="636">
          <cell r="E636">
            <v>1301</v>
          </cell>
        </row>
        <row r="637">
          <cell r="E637">
            <v>495</v>
          </cell>
        </row>
        <row r="638">
          <cell r="E638">
            <v>3190</v>
          </cell>
        </row>
        <row r="639">
          <cell r="E639">
            <v>50</v>
          </cell>
        </row>
        <row r="640">
          <cell r="E640">
            <v>120</v>
          </cell>
        </row>
        <row r="642">
          <cell r="E642">
            <v>600</v>
          </cell>
        </row>
        <row r="643">
          <cell r="E643">
            <v>2425</v>
          </cell>
        </row>
        <row r="644">
          <cell r="E644">
            <v>55</v>
          </cell>
        </row>
        <row r="645">
          <cell r="E645">
            <v>1485</v>
          </cell>
        </row>
        <row r="646">
          <cell r="E646">
            <v>350</v>
          </cell>
        </row>
        <row r="647">
          <cell r="E647">
            <v>72</v>
          </cell>
        </row>
        <row r="648">
          <cell r="E648">
            <v>175</v>
          </cell>
        </row>
        <row r="649">
          <cell r="E649">
            <v>2070</v>
          </cell>
        </row>
        <row r="650">
          <cell r="E650">
            <v>5000</v>
          </cell>
        </row>
        <row r="651">
          <cell r="E651">
            <v>23000</v>
          </cell>
        </row>
        <row r="652">
          <cell r="E652">
            <v>910</v>
          </cell>
        </row>
        <row r="653">
          <cell r="E653">
            <v>90</v>
          </cell>
        </row>
        <row r="654">
          <cell r="E654">
            <v>5000</v>
          </cell>
        </row>
        <row r="655">
          <cell r="E655">
            <v>5000</v>
          </cell>
        </row>
        <row r="656">
          <cell r="E656">
            <v>20</v>
          </cell>
        </row>
        <row r="657">
          <cell r="E657">
            <v>200</v>
          </cell>
        </row>
        <row r="658">
          <cell r="E658">
            <v>1185</v>
          </cell>
        </row>
        <row r="659">
          <cell r="E659">
            <v>2830</v>
          </cell>
        </row>
        <row r="660">
          <cell r="E660">
            <v>80</v>
          </cell>
        </row>
        <row r="661">
          <cell r="E661">
            <v>400</v>
          </cell>
        </row>
        <row r="662">
          <cell r="E662">
            <v>1260</v>
          </cell>
        </row>
        <row r="663">
          <cell r="E663">
            <v>20</v>
          </cell>
        </row>
        <row r="664">
          <cell r="E664">
            <v>10</v>
          </cell>
        </row>
        <row r="665">
          <cell r="E665">
            <v>239</v>
          </cell>
        </row>
        <row r="666">
          <cell r="E666">
            <v>51</v>
          </cell>
        </row>
        <row r="667">
          <cell r="E667">
            <v>110</v>
          </cell>
        </row>
        <row r="668">
          <cell r="E668">
            <v>840</v>
          </cell>
        </row>
        <row r="669">
          <cell r="E669">
            <v>90</v>
          </cell>
        </row>
        <row r="670">
          <cell r="E670">
            <v>180</v>
          </cell>
        </row>
        <row r="671">
          <cell r="E671">
            <v>45</v>
          </cell>
        </row>
        <row r="672">
          <cell r="E672">
            <v>120</v>
          </cell>
        </row>
        <row r="673">
          <cell r="E673">
            <v>140</v>
          </cell>
        </row>
        <row r="674">
          <cell r="E674">
            <v>45</v>
          </cell>
        </row>
        <row r="675">
          <cell r="E675">
            <v>100</v>
          </cell>
        </row>
        <row r="676">
          <cell r="E676">
            <v>210</v>
          </cell>
        </row>
        <row r="677">
          <cell r="E677">
            <v>305</v>
          </cell>
        </row>
        <row r="678">
          <cell r="E678">
            <v>210</v>
          </cell>
        </row>
        <row r="679">
          <cell r="E679">
            <v>15</v>
          </cell>
        </row>
        <row r="680">
          <cell r="E680">
            <v>475</v>
          </cell>
        </row>
        <row r="681">
          <cell r="E681">
            <v>100</v>
          </cell>
        </row>
        <row r="682">
          <cell r="E682">
            <v>608</v>
          </cell>
        </row>
        <row r="683">
          <cell r="E683">
            <v>10</v>
          </cell>
        </row>
        <row r="684">
          <cell r="E684">
            <v>1385</v>
          </cell>
        </row>
        <row r="685">
          <cell r="E685">
            <v>25</v>
          </cell>
        </row>
        <row r="686">
          <cell r="E686">
            <v>140</v>
          </cell>
        </row>
        <row r="687">
          <cell r="E687">
            <v>150</v>
          </cell>
        </row>
        <row r="688">
          <cell r="E688">
            <v>120</v>
          </cell>
        </row>
        <row r="689">
          <cell r="E689">
            <v>565</v>
          </cell>
        </row>
        <row r="690">
          <cell r="E690">
            <v>185</v>
          </cell>
        </row>
        <row r="691">
          <cell r="E691">
            <v>40</v>
          </cell>
        </row>
        <row r="692">
          <cell r="E692">
            <v>45</v>
          </cell>
        </row>
        <row r="693">
          <cell r="E693">
            <v>100</v>
          </cell>
        </row>
        <row r="694">
          <cell r="E694">
            <v>130</v>
          </cell>
        </row>
        <row r="695">
          <cell r="E695">
            <v>100</v>
          </cell>
        </row>
        <row r="696">
          <cell r="E696">
            <v>80</v>
          </cell>
        </row>
        <row r="697">
          <cell r="E697">
            <v>200</v>
          </cell>
        </row>
        <row r="698">
          <cell r="E698">
            <v>145</v>
          </cell>
        </row>
        <row r="699">
          <cell r="E699">
            <v>1225</v>
          </cell>
        </row>
        <row r="700">
          <cell r="E700">
            <v>2765</v>
          </cell>
        </row>
        <row r="701">
          <cell r="E701">
            <v>250</v>
          </cell>
        </row>
        <row r="702">
          <cell r="E702">
            <v>5000</v>
          </cell>
        </row>
        <row r="703">
          <cell r="E703">
            <v>10000</v>
          </cell>
        </row>
        <row r="704">
          <cell r="E704">
            <v>2100</v>
          </cell>
        </row>
        <row r="705">
          <cell r="E705">
            <v>500</v>
          </cell>
        </row>
        <row r="706">
          <cell r="E706">
            <v>6115</v>
          </cell>
        </row>
        <row r="707">
          <cell r="E707">
            <v>8374</v>
          </cell>
        </row>
        <row r="708">
          <cell r="E708">
            <v>35</v>
          </cell>
        </row>
        <row r="709">
          <cell r="E709">
            <v>45</v>
          </cell>
        </row>
        <row r="710">
          <cell r="E710">
            <v>80</v>
          </cell>
        </row>
        <row r="711">
          <cell r="E711">
            <v>2575</v>
          </cell>
        </row>
        <row r="712">
          <cell r="E712">
            <v>1068</v>
          </cell>
        </row>
        <row r="713">
          <cell r="E713">
            <v>8567</v>
          </cell>
        </row>
        <row r="714">
          <cell r="E714">
            <v>833</v>
          </cell>
        </row>
        <row r="715">
          <cell r="E715">
            <v>4087</v>
          </cell>
        </row>
        <row r="716">
          <cell r="E716">
            <v>290</v>
          </cell>
        </row>
        <row r="717">
          <cell r="E717">
            <v>770</v>
          </cell>
        </row>
        <row r="718">
          <cell r="E718">
            <v>280</v>
          </cell>
        </row>
        <row r="719">
          <cell r="E719">
            <v>265</v>
          </cell>
        </row>
        <row r="720">
          <cell r="E720">
            <v>240</v>
          </cell>
        </row>
        <row r="721">
          <cell r="E721">
            <v>3225</v>
          </cell>
        </row>
        <row r="722">
          <cell r="E722">
            <v>665</v>
          </cell>
        </row>
        <row r="723">
          <cell r="E723">
            <v>50</v>
          </cell>
        </row>
        <row r="724">
          <cell r="E724">
            <v>120</v>
          </cell>
        </row>
        <row r="725">
          <cell r="E725">
            <v>100</v>
          </cell>
        </row>
        <row r="726">
          <cell r="E726">
            <v>1130</v>
          </cell>
        </row>
        <row r="727">
          <cell r="E727">
            <v>4950</v>
          </cell>
        </row>
        <row r="728">
          <cell r="E728">
            <v>182</v>
          </cell>
        </row>
        <row r="729">
          <cell r="E729">
            <v>85</v>
          </cell>
        </row>
        <row r="730">
          <cell r="E730">
            <v>120</v>
          </cell>
        </row>
        <row r="731">
          <cell r="E731">
            <v>100</v>
          </cell>
        </row>
        <row r="732">
          <cell r="E732">
            <v>120</v>
          </cell>
        </row>
        <row r="733">
          <cell r="E733">
            <v>135</v>
          </cell>
        </row>
        <row r="734">
          <cell r="E734">
            <v>305</v>
          </cell>
        </row>
        <row r="735">
          <cell r="E735">
            <v>1600</v>
          </cell>
        </row>
        <row r="736">
          <cell r="E736">
            <v>3685</v>
          </cell>
        </row>
        <row r="737">
          <cell r="E737">
            <v>135</v>
          </cell>
        </row>
        <row r="738">
          <cell r="E738">
            <v>1135</v>
          </cell>
        </row>
        <row r="739">
          <cell r="E739">
            <v>130</v>
          </cell>
        </row>
        <row r="740">
          <cell r="E740">
            <v>425</v>
          </cell>
        </row>
        <row r="741">
          <cell r="E741">
            <v>195</v>
          </cell>
        </row>
        <row r="742">
          <cell r="E742">
            <v>579</v>
          </cell>
        </row>
        <row r="743">
          <cell r="E743">
            <v>2000</v>
          </cell>
        </row>
        <row r="744">
          <cell r="E744">
            <v>2145</v>
          </cell>
        </row>
        <row r="745">
          <cell r="E745">
            <v>1000</v>
          </cell>
        </row>
        <row r="746">
          <cell r="E746">
            <v>105</v>
          </cell>
        </row>
        <row r="747">
          <cell r="E747">
            <v>5245</v>
          </cell>
        </row>
        <row r="748">
          <cell r="E748">
            <v>3000</v>
          </cell>
        </row>
        <row r="749">
          <cell r="E749">
            <v>11000</v>
          </cell>
        </row>
        <row r="750">
          <cell r="E750">
            <v>1000</v>
          </cell>
        </row>
        <row r="751">
          <cell r="E751">
            <v>43</v>
          </cell>
        </row>
        <row r="752">
          <cell r="E752">
            <v>850</v>
          </cell>
        </row>
        <row r="753">
          <cell r="E753">
            <v>100</v>
          </cell>
        </row>
        <row r="754">
          <cell r="E754">
            <v>615</v>
          </cell>
        </row>
        <row r="755">
          <cell r="E755">
            <v>3690</v>
          </cell>
        </row>
        <row r="756">
          <cell r="E756">
            <v>170</v>
          </cell>
        </row>
        <row r="757">
          <cell r="E757">
            <v>100</v>
          </cell>
        </row>
        <row r="758">
          <cell r="E758">
            <v>5</v>
          </cell>
        </row>
        <row r="759">
          <cell r="E759">
            <v>1695</v>
          </cell>
        </row>
        <row r="760">
          <cell r="E760">
            <v>160</v>
          </cell>
        </row>
        <row r="761">
          <cell r="E761">
            <v>7350</v>
          </cell>
        </row>
        <row r="762">
          <cell r="E762">
            <v>90</v>
          </cell>
        </row>
        <row r="763">
          <cell r="E763">
            <v>5000</v>
          </cell>
        </row>
        <row r="764">
          <cell r="E764">
            <v>2145</v>
          </cell>
        </row>
        <row r="765">
          <cell r="E765">
            <v>4800</v>
          </cell>
        </row>
        <row r="766">
          <cell r="E766">
            <v>200</v>
          </cell>
        </row>
        <row r="767">
          <cell r="E767">
            <v>10000</v>
          </cell>
        </row>
        <row r="768">
          <cell r="E768">
            <v>1780</v>
          </cell>
        </row>
        <row r="769">
          <cell r="E769">
            <v>25</v>
          </cell>
        </row>
        <row r="770">
          <cell r="E770">
            <v>20</v>
          </cell>
        </row>
        <row r="771">
          <cell r="E771">
            <v>75</v>
          </cell>
        </row>
        <row r="772">
          <cell r="E772">
            <v>1363</v>
          </cell>
        </row>
        <row r="773">
          <cell r="E773">
            <v>160</v>
          </cell>
        </row>
        <row r="774">
          <cell r="E774">
            <v>110</v>
          </cell>
        </row>
        <row r="775">
          <cell r="E775">
            <v>260</v>
          </cell>
        </row>
        <row r="776">
          <cell r="E776">
            <v>135</v>
          </cell>
        </row>
        <row r="777">
          <cell r="E777">
            <v>390</v>
          </cell>
        </row>
        <row r="778">
          <cell r="E778">
            <v>495</v>
          </cell>
        </row>
        <row r="779">
          <cell r="E779">
            <v>6</v>
          </cell>
        </row>
        <row r="780">
          <cell r="E780">
            <v>147</v>
          </cell>
        </row>
        <row r="781">
          <cell r="E781">
            <v>2500</v>
          </cell>
        </row>
        <row r="782">
          <cell r="E782">
            <v>500</v>
          </cell>
        </row>
        <row r="783">
          <cell r="E783">
            <v>3400</v>
          </cell>
        </row>
        <row r="784">
          <cell r="E784">
            <v>20</v>
          </cell>
        </row>
        <row r="785">
          <cell r="E785">
            <v>10</v>
          </cell>
        </row>
        <row r="786">
          <cell r="E786">
            <v>28</v>
          </cell>
        </row>
        <row r="787">
          <cell r="E787">
            <v>500</v>
          </cell>
        </row>
        <row r="788">
          <cell r="E788">
            <v>48</v>
          </cell>
        </row>
        <row r="789">
          <cell r="E789">
            <v>470</v>
          </cell>
        </row>
        <row r="790">
          <cell r="E790">
            <v>100</v>
          </cell>
        </row>
        <row r="791">
          <cell r="E791">
            <v>3175</v>
          </cell>
        </row>
        <row r="792">
          <cell r="E792">
            <v>710</v>
          </cell>
        </row>
        <row r="793">
          <cell r="E793">
            <v>55</v>
          </cell>
        </row>
        <row r="794">
          <cell r="E794">
            <v>2000</v>
          </cell>
        </row>
        <row r="795">
          <cell r="E795">
            <v>50</v>
          </cell>
        </row>
        <row r="796">
          <cell r="E796">
            <v>270</v>
          </cell>
        </row>
        <row r="797">
          <cell r="E797">
            <v>100</v>
          </cell>
        </row>
        <row r="798">
          <cell r="E798">
            <v>3990</v>
          </cell>
        </row>
        <row r="799">
          <cell r="E799">
            <v>1145</v>
          </cell>
        </row>
        <row r="800">
          <cell r="E800">
            <v>585</v>
          </cell>
        </row>
        <row r="801">
          <cell r="E801">
            <v>6300</v>
          </cell>
        </row>
        <row r="802">
          <cell r="E802">
            <v>120</v>
          </cell>
        </row>
        <row r="803">
          <cell r="E803">
            <v>360</v>
          </cell>
        </row>
        <row r="804">
          <cell r="E804">
            <v>500</v>
          </cell>
        </row>
        <row r="805">
          <cell r="E805">
            <v>1440</v>
          </cell>
        </row>
        <row r="806">
          <cell r="E806">
            <v>215</v>
          </cell>
        </row>
        <row r="807">
          <cell r="E807">
            <v>250</v>
          </cell>
        </row>
        <row r="808">
          <cell r="E808">
            <v>70</v>
          </cell>
        </row>
        <row r="809">
          <cell r="E809">
            <v>280</v>
          </cell>
        </row>
        <row r="810">
          <cell r="E810">
            <v>400</v>
          </cell>
        </row>
        <row r="811">
          <cell r="E811">
            <v>2025</v>
          </cell>
        </row>
        <row r="812">
          <cell r="E812">
            <v>1000</v>
          </cell>
        </row>
        <row r="813">
          <cell r="E813">
            <v>125</v>
          </cell>
        </row>
        <row r="814">
          <cell r="E814">
            <v>1000</v>
          </cell>
        </row>
        <row r="815">
          <cell r="E815">
            <v>5680</v>
          </cell>
        </row>
        <row r="816">
          <cell r="E816">
            <v>50</v>
          </cell>
        </row>
        <row r="817">
          <cell r="E817">
            <v>6065</v>
          </cell>
        </row>
        <row r="818">
          <cell r="E818">
            <v>2275</v>
          </cell>
        </row>
        <row r="819">
          <cell r="E819">
            <v>2000</v>
          </cell>
        </row>
        <row r="820">
          <cell r="E820">
            <v>80</v>
          </cell>
        </row>
        <row r="821">
          <cell r="E821">
            <v>5000</v>
          </cell>
        </row>
        <row r="822">
          <cell r="E822">
            <v>5000</v>
          </cell>
        </row>
        <row r="823">
          <cell r="E823">
            <v>1185</v>
          </cell>
        </row>
        <row r="824">
          <cell r="E824">
            <v>530</v>
          </cell>
        </row>
        <row r="825">
          <cell r="E825">
            <v>90</v>
          </cell>
        </row>
        <row r="826">
          <cell r="E826">
            <v>1310</v>
          </cell>
        </row>
        <row r="827">
          <cell r="E827">
            <v>4000</v>
          </cell>
        </row>
        <row r="828">
          <cell r="E828">
            <v>70</v>
          </cell>
        </row>
        <row r="829">
          <cell r="E829">
            <v>1605</v>
          </cell>
        </row>
        <row r="830">
          <cell r="E830">
            <v>600</v>
          </cell>
        </row>
        <row r="831">
          <cell r="E831">
            <v>105</v>
          </cell>
        </row>
        <row r="832">
          <cell r="E832">
            <v>105</v>
          </cell>
        </row>
        <row r="833">
          <cell r="E833">
            <v>1980</v>
          </cell>
        </row>
        <row r="834">
          <cell r="E834">
            <v>10000</v>
          </cell>
        </row>
        <row r="835">
          <cell r="E835">
            <v>6950</v>
          </cell>
        </row>
        <row r="836">
          <cell r="E836">
            <v>70</v>
          </cell>
        </row>
        <row r="837">
          <cell r="E837">
            <v>80</v>
          </cell>
        </row>
        <row r="838">
          <cell r="E838">
            <v>210</v>
          </cell>
        </row>
        <row r="839">
          <cell r="E839">
            <v>196</v>
          </cell>
        </row>
        <row r="840">
          <cell r="E840">
            <v>100</v>
          </cell>
        </row>
        <row r="841">
          <cell r="E841">
            <v>180</v>
          </cell>
        </row>
        <row r="842">
          <cell r="E842">
            <v>7</v>
          </cell>
        </row>
        <row r="843">
          <cell r="E843">
            <v>2970</v>
          </cell>
        </row>
        <row r="844">
          <cell r="E844">
            <v>175</v>
          </cell>
        </row>
        <row r="845">
          <cell r="E845">
            <v>300</v>
          </cell>
        </row>
        <row r="846">
          <cell r="E846">
            <v>825</v>
          </cell>
        </row>
        <row r="847">
          <cell r="E847">
            <v>400</v>
          </cell>
        </row>
        <row r="848">
          <cell r="E848">
            <v>90</v>
          </cell>
        </row>
        <row r="849">
          <cell r="E849">
            <v>525</v>
          </cell>
        </row>
        <row r="850">
          <cell r="E850">
            <v>2400</v>
          </cell>
        </row>
        <row r="851">
          <cell r="E851">
            <v>804</v>
          </cell>
        </row>
        <row r="852">
          <cell r="E852">
            <v>90</v>
          </cell>
        </row>
        <row r="853">
          <cell r="E853">
            <v>100</v>
          </cell>
        </row>
        <row r="854">
          <cell r="E854">
            <v>16</v>
          </cell>
        </row>
        <row r="855">
          <cell r="E855">
            <v>1205</v>
          </cell>
        </row>
        <row r="856">
          <cell r="E856">
            <v>3520</v>
          </cell>
        </row>
        <row r="857">
          <cell r="E857">
            <v>305</v>
          </cell>
        </row>
        <row r="858">
          <cell r="E858">
            <v>830</v>
          </cell>
        </row>
        <row r="859">
          <cell r="E859">
            <v>168</v>
          </cell>
        </row>
        <row r="860">
          <cell r="E860">
            <v>160</v>
          </cell>
        </row>
        <row r="861">
          <cell r="E861">
            <v>100</v>
          </cell>
        </row>
        <row r="862">
          <cell r="E862">
            <v>824</v>
          </cell>
        </row>
        <row r="863">
          <cell r="E863">
            <v>100</v>
          </cell>
        </row>
        <row r="864">
          <cell r="E864">
            <v>4875</v>
          </cell>
        </row>
        <row r="865">
          <cell r="E865">
            <v>130</v>
          </cell>
        </row>
        <row r="866">
          <cell r="E866">
            <v>100</v>
          </cell>
        </row>
        <row r="867">
          <cell r="E867">
            <v>25</v>
          </cell>
        </row>
        <row r="868">
          <cell r="E868">
            <v>190</v>
          </cell>
        </row>
        <row r="869">
          <cell r="E869">
            <v>150</v>
          </cell>
        </row>
        <row r="870">
          <cell r="E870">
            <v>15</v>
          </cell>
        </row>
        <row r="871">
          <cell r="E871">
            <v>150</v>
          </cell>
        </row>
        <row r="872">
          <cell r="E872">
            <v>115</v>
          </cell>
        </row>
        <row r="873">
          <cell r="E873">
            <v>4500</v>
          </cell>
        </row>
        <row r="874">
          <cell r="E874">
            <v>5000</v>
          </cell>
        </row>
        <row r="875">
          <cell r="E875">
            <v>53</v>
          </cell>
        </row>
        <row r="876">
          <cell r="E876">
            <v>20</v>
          </cell>
        </row>
        <row r="877">
          <cell r="E877">
            <v>2725</v>
          </cell>
        </row>
        <row r="878">
          <cell r="E878">
            <v>520</v>
          </cell>
        </row>
        <row r="879">
          <cell r="E879">
            <v>200</v>
          </cell>
        </row>
        <row r="880">
          <cell r="E880">
            <v>72</v>
          </cell>
        </row>
        <row r="881">
          <cell r="E881">
            <v>7240</v>
          </cell>
        </row>
        <row r="882">
          <cell r="E882">
            <v>2430</v>
          </cell>
        </row>
        <row r="883">
          <cell r="E883">
            <v>9190</v>
          </cell>
        </row>
        <row r="884">
          <cell r="E884">
            <v>1410</v>
          </cell>
        </row>
        <row r="885">
          <cell r="E885">
            <v>614</v>
          </cell>
        </row>
        <row r="886">
          <cell r="E886">
            <v>5000</v>
          </cell>
        </row>
        <row r="887">
          <cell r="E887">
            <v>120</v>
          </cell>
        </row>
        <row r="888">
          <cell r="E888">
            <v>180</v>
          </cell>
        </row>
        <row r="889">
          <cell r="E889">
            <v>270</v>
          </cell>
        </row>
        <row r="890">
          <cell r="E890">
            <v>475</v>
          </cell>
        </row>
        <row r="891">
          <cell r="E891">
            <v>520</v>
          </cell>
        </row>
        <row r="892">
          <cell r="E892">
            <v>737</v>
          </cell>
        </row>
        <row r="893">
          <cell r="E893">
            <v>545</v>
          </cell>
        </row>
        <row r="894">
          <cell r="E894">
            <v>1180</v>
          </cell>
        </row>
        <row r="895">
          <cell r="E895">
            <v>6604</v>
          </cell>
        </row>
        <row r="896">
          <cell r="E896">
            <v>120</v>
          </cell>
        </row>
        <row r="897">
          <cell r="E897">
            <v>50</v>
          </cell>
        </row>
        <row r="898">
          <cell r="E898">
            <v>1000</v>
          </cell>
        </row>
        <row r="899">
          <cell r="E899">
            <v>4715</v>
          </cell>
        </row>
        <row r="900">
          <cell r="E900">
            <v>20</v>
          </cell>
        </row>
        <row r="901">
          <cell r="E901">
            <v>105</v>
          </cell>
        </row>
        <row r="902">
          <cell r="E902">
            <v>800</v>
          </cell>
        </row>
        <row r="903">
          <cell r="E903">
            <v>9090</v>
          </cell>
        </row>
        <row r="904">
          <cell r="E904">
            <v>3155</v>
          </cell>
        </row>
        <row r="905">
          <cell r="E905">
            <v>1000</v>
          </cell>
        </row>
        <row r="906">
          <cell r="E906">
            <v>5000</v>
          </cell>
        </row>
        <row r="907">
          <cell r="E907">
            <v>2000</v>
          </cell>
        </row>
        <row r="908">
          <cell r="E908">
            <v>260</v>
          </cell>
        </row>
        <row r="909">
          <cell r="E909">
            <v>10000</v>
          </cell>
        </row>
        <row r="910">
          <cell r="E910">
            <v>90</v>
          </cell>
        </row>
        <row r="911">
          <cell r="E911">
            <v>500</v>
          </cell>
        </row>
        <row r="912">
          <cell r="E912">
            <v>335</v>
          </cell>
        </row>
        <row r="913">
          <cell r="E913">
            <v>2950</v>
          </cell>
        </row>
        <row r="914">
          <cell r="E914">
            <v>1110</v>
          </cell>
        </row>
        <row r="915">
          <cell r="E915">
            <v>3430</v>
          </cell>
        </row>
        <row r="916">
          <cell r="E916">
            <v>130</v>
          </cell>
        </row>
        <row r="917">
          <cell r="E917">
            <v>1330</v>
          </cell>
        </row>
        <row r="918">
          <cell r="E918">
            <v>75</v>
          </cell>
        </row>
        <row r="919">
          <cell r="E919">
            <v>2000</v>
          </cell>
        </row>
        <row r="920">
          <cell r="E920">
            <v>5000</v>
          </cell>
        </row>
        <row r="921">
          <cell r="E921">
            <v>38</v>
          </cell>
        </row>
        <row r="922">
          <cell r="E922">
            <v>325</v>
          </cell>
        </row>
        <row r="923">
          <cell r="E923">
            <v>310</v>
          </cell>
        </row>
        <row r="924">
          <cell r="E924">
            <v>43</v>
          </cell>
        </row>
        <row r="925">
          <cell r="E925">
            <v>110</v>
          </cell>
        </row>
        <row r="926">
          <cell r="E926">
            <v>100</v>
          </cell>
        </row>
        <row r="927">
          <cell r="E927">
            <v>95</v>
          </cell>
        </row>
        <row r="928">
          <cell r="E928">
            <v>110</v>
          </cell>
        </row>
        <row r="929">
          <cell r="E929">
            <v>290</v>
          </cell>
        </row>
        <row r="930">
          <cell r="E930">
            <v>10000</v>
          </cell>
        </row>
        <row r="931">
          <cell r="E931">
            <v>355</v>
          </cell>
        </row>
        <row r="932">
          <cell r="E932">
            <v>15</v>
          </cell>
        </row>
        <row r="933">
          <cell r="E933">
            <v>300</v>
          </cell>
        </row>
        <row r="934">
          <cell r="E934">
            <v>150</v>
          </cell>
        </row>
        <row r="935">
          <cell r="E935">
            <v>170</v>
          </cell>
        </row>
        <row r="936">
          <cell r="E936">
            <v>120</v>
          </cell>
        </row>
        <row r="937">
          <cell r="E937">
            <v>140</v>
          </cell>
        </row>
        <row r="938">
          <cell r="E938">
            <v>260</v>
          </cell>
        </row>
        <row r="939">
          <cell r="E939">
            <v>900</v>
          </cell>
        </row>
        <row r="940">
          <cell r="E940">
            <v>30</v>
          </cell>
        </row>
        <row r="941">
          <cell r="E941">
            <v>1450</v>
          </cell>
        </row>
        <row r="942">
          <cell r="E942">
            <v>325</v>
          </cell>
        </row>
        <row r="943">
          <cell r="E943">
            <v>10810</v>
          </cell>
        </row>
        <row r="944">
          <cell r="E944">
            <v>100</v>
          </cell>
        </row>
        <row r="945">
          <cell r="E945">
            <v>85</v>
          </cell>
        </row>
        <row r="946">
          <cell r="E946">
            <v>170</v>
          </cell>
        </row>
        <row r="947">
          <cell r="E947">
            <v>100</v>
          </cell>
        </row>
        <row r="948">
          <cell r="E948">
            <v>180</v>
          </cell>
        </row>
        <row r="949">
          <cell r="E949">
            <v>54</v>
          </cell>
        </row>
        <row r="950">
          <cell r="E950">
            <v>175</v>
          </cell>
        </row>
        <row r="951">
          <cell r="E951">
            <v>1000</v>
          </cell>
        </row>
        <row r="952">
          <cell r="E952">
            <v>37</v>
          </cell>
        </row>
        <row r="953">
          <cell r="E953">
            <v>100</v>
          </cell>
        </row>
        <row r="954">
          <cell r="E954">
            <v>9255</v>
          </cell>
        </row>
        <row r="955">
          <cell r="E955">
            <v>3160</v>
          </cell>
        </row>
        <row r="956">
          <cell r="E956">
            <v>6175</v>
          </cell>
        </row>
        <row r="957">
          <cell r="E957">
            <v>300</v>
          </cell>
        </row>
        <row r="958">
          <cell r="E958">
            <v>2000</v>
          </cell>
        </row>
        <row r="959">
          <cell r="E959">
            <v>65</v>
          </cell>
        </row>
        <row r="960">
          <cell r="E960">
            <v>530</v>
          </cell>
        </row>
        <row r="961">
          <cell r="E961">
            <v>28</v>
          </cell>
        </row>
        <row r="962">
          <cell r="E962">
            <v>100</v>
          </cell>
        </row>
        <row r="963">
          <cell r="E963">
            <v>28</v>
          </cell>
        </row>
        <row r="964">
          <cell r="E964">
            <v>907</v>
          </cell>
        </row>
        <row r="965">
          <cell r="E965">
            <v>83</v>
          </cell>
        </row>
        <row r="966">
          <cell r="E966">
            <v>500</v>
          </cell>
        </row>
        <row r="967">
          <cell r="E967">
            <v>25</v>
          </cell>
        </row>
        <row r="968">
          <cell r="E968">
            <v>80</v>
          </cell>
        </row>
        <row r="969">
          <cell r="E969">
            <v>13420</v>
          </cell>
        </row>
        <row r="970">
          <cell r="E970">
            <v>120</v>
          </cell>
        </row>
        <row r="971">
          <cell r="E971">
            <v>20</v>
          </cell>
        </row>
        <row r="972">
          <cell r="E972">
            <v>60</v>
          </cell>
        </row>
        <row r="973">
          <cell r="E973">
            <v>255</v>
          </cell>
        </row>
        <row r="974">
          <cell r="E974">
            <v>170</v>
          </cell>
        </row>
        <row r="975">
          <cell r="E975">
            <v>300</v>
          </cell>
        </row>
        <row r="976">
          <cell r="E976">
            <v>300</v>
          </cell>
        </row>
        <row r="977">
          <cell r="E977">
            <v>1610</v>
          </cell>
        </row>
        <row r="978">
          <cell r="E978">
            <v>35</v>
          </cell>
        </row>
        <row r="979">
          <cell r="E979">
            <v>142</v>
          </cell>
        </row>
        <row r="980">
          <cell r="E980">
            <v>4310</v>
          </cell>
        </row>
        <row r="981">
          <cell r="E981">
            <v>1155</v>
          </cell>
        </row>
        <row r="982">
          <cell r="E982">
            <v>250</v>
          </cell>
        </row>
        <row r="983">
          <cell r="E983">
            <v>115</v>
          </cell>
        </row>
        <row r="984">
          <cell r="E984">
            <v>1000</v>
          </cell>
        </row>
        <row r="985">
          <cell r="E985">
            <v>50</v>
          </cell>
        </row>
        <row r="986">
          <cell r="E986">
            <v>1085</v>
          </cell>
        </row>
        <row r="987">
          <cell r="E987">
            <v>7570</v>
          </cell>
        </row>
        <row r="988">
          <cell r="E988">
            <v>900</v>
          </cell>
        </row>
        <row r="989">
          <cell r="E989">
            <v>405</v>
          </cell>
        </row>
        <row r="990">
          <cell r="E990">
            <v>4385</v>
          </cell>
        </row>
        <row r="991">
          <cell r="E991">
            <v>1500</v>
          </cell>
        </row>
        <row r="992">
          <cell r="E992">
            <v>1005</v>
          </cell>
        </row>
        <row r="993">
          <cell r="E993">
            <v>1500</v>
          </cell>
        </row>
        <row r="994">
          <cell r="E994">
            <v>2000</v>
          </cell>
        </row>
        <row r="995">
          <cell r="E995">
            <v>4000</v>
          </cell>
        </row>
        <row r="996">
          <cell r="E996">
            <v>190</v>
          </cell>
        </row>
        <row r="997">
          <cell r="E997">
            <v>90</v>
          </cell>
        </row>
        <row r="998">
          <cell r="E998">
            <v>200</v>
          </cell>
        </row>
        <row r="999">
          <cell r="E999">
            <v>31</v>
          </cell>
        </row>
        <row r="1000">
          <cell r="E1000">
            <v>95</v>
          </cell>
        </row>
        <row r="1001">
          <cell r="E1001">
            <v>280</v>
          </cell>
        </row>
        <row r="1002">
          <cell r="E1002">
            <v>257</v>
          </cell>
        </row>
        <row r="1003">
          <cell r="E1003">
            <v>100</v>
          </cell>
        </row>
        <row r="1004">
          <cell r="E1004">
            <v>180</v>
          </cell>
        </row>
        <row r="1005">
          <cell r="E1005">
            <v>850</v>
          </cell>
        </row>
        <row r="1006">
          <cell r="E1006">
            <v>1950</v>
          </cell>
        </row>
        <row r="1007">
          <cell r="E1007">
            <v>930</v>
          </cell>
        </row>
        <row r="1008">
          <cell r="E1008">
            <v>150</v>
          </cell>
        </row>
        <row r="1009">
          <cell r="E1009">
            <v>90</v>
          </cell>
        </row>
        <row r="1010">
          <cell r="E1010">
            <v>7735</v>
          </cell>
        </row>
        <row r="1011">
          <cell r="E1011">
            <v>5000</v>
          </cell>
        </row>
        <row r="1012">
          <cell r="E1012">
            <v>150</v>
          </cell>
        </row>
        <row r="1013">
          <cell r="E1013">
            <v>15</v>
          </cell>
        </row>
        <row r="1014">
          <cell r="E1014">
            <v>30</v>
          </cell>
        </row>
        <row r="1015">
          <cell r="E1015">
            <v>5</v>
          </cell>
        </row>
        <row r="1016">
          <cell r="E1016">
            <v>38</v>
          </cell>
        </row>
        <row r="1017">
          <cell r="E1017">
            <v>10</v>
          </cell>
        </row>
        <row r="1018">
          <cell r="E1018">
            <v>100</v>
          </cell>
        </row>
        <row r="1019">
          <cell r="E1019">
            <v>90</v>
          </cell>
        </row>
        <row r="1020">
          <cell r="E1020">
            <v>100</v>
          </cell>
        </row>
        <row r="1021">
          <cell r="E1021">
            <v>100</v>
          </cell>
        </row>
        <row r="1022">
          <cell r="E1022">
            <v>1320</v>
          </cell>
        </row>
        <row r="1023">
          <cell r="E1023">
            <v>10000</v>
          </cell>
        </row>
        <row r="1024">
          <cell r="E1024">
            <v>2000</v>
          </cell>
        </row>
        <row r="1025">
          <cell r="E1025">
            <v>5000</v>
          </cell>
        </row>
        <row r="1026">
          <cell r="E1026">
            <v>465</v>
          </cell>
        </row>
        <row r="1027">
          <cell r="E1027">
            <v>75</v>
          </cell>
        </row>
        <row r="1028">
          <cell r="E1028">
            <v>1275</v>
          </cell>
        </row>
        <row r="1029">
          <cell r="E1029">
            <v>108</v>
          </cell>
        </row>
        <row r="1030">
          <cell r="E1030">
            <v>90</v>
          </cell>
        </row>
        <row r="1031">
          <cell r="E1031">
            <v>115</v>
          </cell>
        </row>
        <row r="1032">
          <cell r="E1032">
            <v>161</v>
          </cell>
        </row>
        <row r="1033">
          <cell r="E1033">
            <v>500</v>
          </cell>
        </row>
        <row r="1034">
          <cell r="E1034">
            <v>20</v>
          </cell>
        </row>
        <row r="1035">
          <cell r="E1035">
            <v>500</v>
          </cell>
        </row>
        <row r="1036">
          <cell r="E1036">
            <v>121</v>
          </cell>
        </row>
        <row r="1037">
          <cell r="E1037">
            <v>400</v>
          </cell>
        </row>
        <row r="1038">
          <cell r="E1038">
            <v>50</v>
          </cell>
        </row>
        <row r="1039">
          <cell r="E1039">
            <v>110</v>
          </cell>
        </row>
        <row r="1040">
          <cell r="E1040">
            <v>750</v>
          </cell>
        </row>
        <row r="1041">
          <cell r="E1041">
            <v>1500</v>
          </cell>
        </row>
        <row r="1042">
          <cell r="E1042">
            <v>50</v>
          </cell>
        </row>
        <row r="1043">
          <cell r="E1043">
            <v>120</v>
          </cell>
        </row>
        <row r="1044">
          <cell r="E1044">
            <v>10</v>
          </cell>
        </row>
        <row r="1045">
          <cell r="E1045">
            <v>30</v>
          </cell>
        </row>
        <row r="1046">
          <cell r="E1046">
            <v>8</v>
          </cell>
        </row>
        <row r="1047">
          <cell r="E1047">
            <v>340</v>
          </cell>
        </row>
        <row r="1048">
          <cell r="E1048">
            <v>130</v>
          </cell>
        </row>
        <row r="1049">
          <cell r="E1049">
            <v>200</v>
          </cell>
        </row>
        <row r="1050">
          <cell r="E1050">
            <v>315</v>
          </cell>
        </row>
        <row r="1051">
          <cell r="E1051">
            <v>990</v>
          </cell>
        </row>
        <row r="1052">
          <cell r="E1052">
            <v>10</v>
          </cell>
        </row>
        <row r="1053">
          <cell r="E1053">
            <v>1520</v>
          </cell>
        </row>
        <row r="1054">
          <cell r="E1054">
            <v>200</v>
          </cell>
        </row>
        <row r="1055">
          <cell r="E1055">
            <v>25</v>
          </cell>
        </row>
        <row r="1056">
          <cell r="E1056">
            <v>50</v>
          </cell>
        </row>
        <row r="1057">
          <cell r="E1057">
            <v>9500</v>
          </cell>
        </row>
        <row r="1058">
          <cell r="E1058">
            <v>12</v>
          </cell>
        </row>
        <row r="1059">
          <cell r="E1059">
            <v>85</v>
          </cell>
        </row>
        <row r="1060">
          <cell r="E1060">
            <v>262</v>
          </cell>
        </row>
        <row r="1061">
          <cell r="E1061">
            <v>1500</v>
          </cell>
        </row>
        <row r="1062">
          <cell r="E1062">
            <v>95</v>
          </cell>
        </row>
        <row r="1063">
          <cell r="E1063">
            <v>120</v>
          </cell>
        </row>
        <row r="1064">
          <cell r="E1064">
            <v>290</v>
          </cell>
        </row>
        <row r="1065">
          <cell r="E1065">
            <v>2600</v>
          </cell>
        </row>
        <row r="1066">
          <cell r="E1066">
            <v>140</v>
          </cell>
        </row>
        <row r="1067">
          <cell r="E1067">
            <v>120</v>
          </cell>
        </row>
        <row r="1068">
          <cell r="E1068">
            <v>2345</v>
          </cell>
        </row>
        <row r="1069">
          <cell r="E1069">
            <v>2180</v>
          </cell>
        </row>
        <row r="1070">
          <cell r="E1070">
            <v>90</v>
          </cell>
        </row>
        <row r="1071">
          <cell r="E1071">
            <v>305</v>
          </cell>
        </row>
        <row r="1072">
          <cell r="E1072">
            <v>3000</v>
          </cell>
        </row>
        <row r="1073">
          <cell r="E1073">
            <v>5800</v>
          </cell>
        </row>
        <row r="1074">
          <cell r="E1074">
            <v>10000</v>
          </cell>
        </row>
        <row r="1075">
          <cell r="E1075">
            <v>1435</v>
          </cell>
        </row>
        <row r="1076">
          <cell r="E1076">
            <v>550</v>
          </cell>
        </row>
        <row r="1077">
          <cell r="E1077">
            <v>235</v>
          </cell>
        </row>
        <row r="1078">
          <cell r="E1078">
            <v>28</v>
          </cell>
        </row>
        <row r="1079">
          <cell r="E1079">
            <v>5000</v>
          </cell>
        </row>
        <row r="1080">
          <cell r="E1080">
            <v>300</v>
          </cell>
        </row>
        <row r="1081">
          <cell r="E1081">
            <v>170</v>
          </cell>
        </row>
        <row r="1082">
          <cell r="E1082">
            <v>145</v>
          </cell>
        </row>
        <row r="1083">
          <cell r="E1083">
            <v>165</v>
          </cell>
        </row>
        <row r="1084">
          <cell r="E1084">
            <v>80</v>
          </cell>
        </row>
        <row r="1085">
          <cell r="E1085">
            <v>90</v>
          </cell>
        </row>
        <row r="1086">
          <cell r="E1086">
            <v>100</v>
          </cell>
        </row>
        <row r="1087">
          <cell r="E1087">
            <v>125</v>
          </cell>
        </row>
        <row r="1088">
          <cell r="E1088">
            <v>43</v>
          </cell>
        </row>
        <row r="1089">
          <cell r="E1089">
            <v>114</v>
          </cell>
        </row>
        <row r="1090">
          <cell r="E1090">
            <v>150</v>
          </cell>
        </row>
        <row r="1091">
          <cell r="E1091">
            <v>90</v>
          </cell>
        </row>
        <row r="1092">
          <cell r="E1092">
            <v>45</v>
          </cell>
        </row>
        <row r="1093">
          <cell r="E1093">
            <v>195</v>
          </cell>
        </row>
        <row r="1094">
          <cell r="E1094">
            <v>28</v>
          </cell>
        </row>
        <row r="1095">
          <cell r="E1095">
            <v>15</v>
          </cell>
        </row>
        <row r="1096">
          <cell r="E1096">
            <v>250</v>
          </cell>
        </row>
        <row r="1097">
          <cell r="E1097">
            <v>5540</v>
          </cell>
        </row>
        <row r="1098">
          <cell r="E1098">
            <v>90</v>
          </cell>
        </row>
        <row r="1099">
          <cell r="E1099">
            <v>500</v>
          </cell>
        </row>
        <row r="1100">
          <cell r="E1100">
            <v>20</v>
          </cell>
        </row>
        <row r="1101">
          <cell r="E1101">
            <v>400</v>
          </cell>
        </row>
        <row r="1102">
          <cell r="E1102">
            <v>215</v>
          </cell>
        </row>
        <row r="1103">
          <cell r="E1103">
            <v>150</v>
          </cell>
        </row>
        <row r="1104">
          <cell r="E1104">
            <v>15</v>
          </cell>
        </row>
        <row r="1105">
          <cell r="E1105">
            <v>177</v>
          </cell>
        </row>
        <row r="1106">
          <cell r="E1106">
            <v>1285</v>
          </cell>
        </row>
        <row r="1107">
          <cell r="E1107">
            <v>1555</v>
          </cell>
        </row>
        <row r="1108">
          <cell r="E1108">
            <v>200</v>
          </cell>
        </row>
        <row r="1109">
          <cell r="E1109">
            <v>1000</v>
          </cell>
        </row>
        <row r="1110">
          <cell r="E1110">
            <v>200</v>
          </cell>
        </row>
        <row r="1111">
          <cell r="E1111">
            <v>140</v>
          </cell>
        </row>
        <row r="1112">
          <cell r="E1112">
            <v>875</v>
          </cell>
        </row>
        <row r="1113">
          <cell r="E1113">
            <v>315</v>
          </cell>
        </row>
        <row r="1114">
          <cell r="E1114">
            <v>295</v>
          </cell>
        </row>
        <row r="1115">
          <cell r="E1115">
            <v>1770</v>
          </cell>
        </row>
        <row r="1116">
          <cell r="E1116">
            <v>93</v>
          </cell>
        </row>
        <row r="1117">
          <cell r="E1117">
            <v>640</v>
          </cell>
        </row>
        <row r="1118">
          <cell r="E1118">
            <v>200</v>
          </cell>
        </row>
        <row r="1119">
          <cell r="E1119">
            <v>6860</v>
          </cell>
        </row>
        <row r="1120">
          <cell r="E1120">
            <v>677</v>
          </cell>
        </row>
        <row r="1121">
          <cell r="E1121">
            <v>275</v>
          </cell>
        </row>
        <row r="1122">
          <cell r="E1122">
            <v>75</v>
          </cell>
        </row>
        <row r="1123">
          <cell r="E1123">
            <v>1210</v>
          </cell>
        </row>
        <row r="1124">
          <cell r="E1124">
            <v>2100</v>
          </cell>
        </row>
        <row r="1125">
          <cell r="E1125">
            <v>630</v>
          </cell>
        </row>
        <row r="1126">
          <cell r="E1126">
            <v>295</v>
          </cell>
        </row>
        <row r="1127">
          <cell r="E1127">
            <v>30</v>
          </cell>
        </row>
        <row r="1128">
          <cell r="E1128">
            <v>7825</v>
          </cell>
        </row>
        <row r="1129">
          <cell r="E1129">
            <v>330</v>
          </cell>
        </row>
        <row r="1130">
          <cell r="E1130">
            <v>8645</v>
          </cell>
        </row>
        <row r="1131">
          <cell r="E1131">
            <v>700</v>
          </cell>
        </row>
        <row r="1132">
          <cell r="E1132">
            <v>14000</v>
          </cell>
        </row>
        <row r="1133">
          <cell r="E1133">
            <v>11761</v>
          </cell>
        </row>
        <row r="1134">
          <cell r="E1134">
            <v>1770</v>
          </cell>
        </row>
        <row r="1135">
          <cell r="E1135">
            <v>195</v>
          </cell>
        </row>
        <row r="1136">
          <cell r="E1136">
            <v>15100</v>
          </cell>
        </row>
        <row r="1137">
          <cell r="E1137">
            <v>350</v>
          </cell>
        </row>
        <row r="1138">
          <cell r="E1138">
            <v>2000</v>
          </cell>
        </row>
        <row r="1139">
          <cell r="E1139">
            <v>17</v>
          </cell>
        </row>
        <row r="1140">
          <cell r="E1140">
            <v>26</v>
          </cell>
        </row>
        <row r="1141">
          <cell r="E1141">
            <v>10</v>
          </cell>
        </row>
        <row r="1142">
          <cell r="E1142">
            <v>2500</v>
          </cell>
        </row>
        <row r="1143">
          <cell r="E1143">
            <v>100</v>
          </cell>
        </row>
        <row r="1144">
          <cell r="E1144">
            <v>95</v>
          </cell>
        </row>
        <row r="1145">
          <cell r="E1145">
            <v>150</v>
          </cell>
        </row>
        <row r="1146">
          <cell r="E1146">
            <v>27</v>
          </cell>
        </row>
        <row r="1147">
          <cell r="E1147">
            <v>800</v>
          </cell>
        </row>
        <row r="1148">
          <cell r="E1148">
            <v>80</v>
          </cell>
        </row>
        <row r="1149">
          <cell r="E1149">
            <v>210</v>
          </cell>
        </row>
        <row r="1150">
          <cell r="E1150">
            <v>280</v>
          </cell>
        </row>
        <row r="1151">
          <cell r="E1151">
            <v>60</v>
          </cell>
        </row>
        <row r="1152">
          <cell r="E1152">
            <v>60</v>
          </cell>
        </row>
        <row r="1153">
          <cell r="E1153">
            <v>210</v>
          </cell>
        </row>
        <row r="1154">
          <cell r="E1154">
            <v>365</v>
          </cell>
        </row>
        <row r="1155">
          <cell r="E1155">
            <v>2105</v>
          </cell>
        </row>
        <row r="1156">
          <cell r="E1156">
            <v>860</v>
          </cell>
        </row>
        <row r="1157">
          <cell r="E1157">
            <v>90</v>
          </cell>
        </row>
        <row r="1158">
          <cell r="E1158">
            <v>2064</v>
          </cell>
        </row>
        <row r="1159">
          <cell r="E1159">
            <v>80</v>
          </cell>
        </row>
        <row r="1160">
          <cell r="E1160">
            <v>6705</v>
          </cell>
        </row>
        <row r="1161">
          <cell r="E1161">
            <v>1610</v>
          </cell>
        </row>
        <row r="1162">
          <cell r="E1162">
            <v>725</v>
          </cell>
        </row>
        <row r="1163">
          <cell r="E1163">
            <v>835</v>
          </cell>
        </row>
        <row r="1164">
          <cell r="E1164">
            <v>220</v>
          </cell>
        </row>
        <row r="1165">
          <cell r="E1165">
            <v>1565</v>
          </cell>
        </row>
        <row r="1166">
          <cell r="E1166">
            <v>11525</v>
          </cell>
        </row>
        <row r="1167">
          <cell r="E1167">
            <v>210</v>
          </cell>
        </row>
        <row r="1168">
          <cell r="E1168">
            <v>1007</v>
          </cell>
        </row>
        <row r="1169">
          <cell r="E1169">
            <v>4095</v>
          </cell>
        </row>
        <row r="1170">
          <cell r="E1170">
            <v>75</v>
          </cell>
        </row>
        <row r="1171">
          <cell r="E1171">
            <v>210</v>
          </cell>
        </row>
        <row r="1172">
          <cell r="E1172">
            <v>145</v>
          </cell>
        </row>
        <row r="1173">
          <cell r="E1173">
            <v>170</v>
          </cell>
        </row>
        <row r="1174">
          <cell r="E1174">
            <v>171</v>
          </cell>
        </row>
        <row r="1175">
          <cell r="E1175">
            <v>90</v>
          </cell>
        </row>
        <row r="1176">
          <cell r="E1176">
            <v>3546</v>
          </cell>
        </row>
        <row r="1177">
          <cell r="E1177">
            <v>30</v>
          </cell>
        </row>
        <row r="1178">
          <cell r="E1178">
            <v>140</v>
          </cell>
        </row>
        <row r="1179">
          <cell r="E1179">
            <v>4745</v>
          </cell>
        </row>
        <row r="1180">
          <cell r="E1180">
            <v>3015</v>
          </cell>
        </row>
        <row r="1181">
          <cell r="E1181">
            <v>950</v>
          </cell>
        </row>
        <row r="1182">
          <cell r="E1182">
            <v>200</v>
          </cell>
        </row>
        <row r="1183">
          <cell r="E1183">
            <v>20</v>
          </cell>
        </row>
        <row r="1184">
          <cell r="E1184">
            <v>870</v>
          </cell>
        </row>
        <row r="1185">
          <cell r="E1185">
            <v>1690</v>
          </cell>
        </row>
        <row r="1186">
          <cell r="E1186">
            <v>1200</v>
          </cell>
        </row>
        <row r="1187">
          <cell r="E1187">
            <v>5315</v>
          </cell>
        </row>
        <row r="1188">
          <cell r="E1188">
            <v>180</v>
          </cell>
        </row>
        <row r="1189">
          <cell r="E1189">
            <v>115</v>
          </cell>
        </row>
        <row r="1190">
          <cell r="E1190">
            <v>105</v>
          </cell>
        </row>
        <row r="1191">
          <cell r="E1191">
            <v>250</v>
          </cell>
        </row>
        <row r="1192">
          <cell r="E1192">
            <v>575</v>
          </cell>
        </row>
        <row r="1193">
          <cell r="E1193">
            <v>605</v>
          </cell>
        </row>
        <row r="1194">
          <cell r="E1194">
            <v>270</v>
          </cell>
        </row>
        <row r="1195">
          <cell r="E1195">
            <v>2155</v>
          </cell>
        </row>
        <row r="1196">
          <cell r="E1196">
            <v>450</v>
          </cell>
        </row>
        <row r="1197">
          <cell r="E1197">
            <v>500</v>
          </cell>
        </row>
        <row r="1198">
          <cell r="E1198">
            <v>30</v>
          </cell>
        </row>
        <row r="1199">
          <cell r="E1199">
            <v>2887</v>
          </cell>
        </row>
        <row r="1200">
          <cell r="E1200">
            <v>125</v>
          </cell>
        </row>
        <row r="1201">
          <cell r="E1201">
            <v>75</v>
          </cell>
        </row>
        <row r="1202">
          <cell r="E1202">
            <v>1980</v>
          </cell>
        </row>
        <row r="1203">
          <cell r="E1203">
            <v>2390</v>
          </cell>
        </row>
        <row r="1204">
          <cell r="E1204">
            <v>4360</v>
          </cell>
        </row>
        <row r="1205">
          <cell r="E1205">
            <v>2590</v>
          </cell>
        </row>
        <row r="1206">
          <cell r="E1206">
            <v>1695</v>
          </cell>
        </row>
        <row r="1207">
          <cell r="E1207">
            <v>215</v>
          </cell>
        </row>
        <row r="1208">
          <cell r="E1208">
            <v>3800</v>
          </cell>
        </row>
        <row r="1209">
          <cell r="E1209">
            <v>5230</v>
          </cell>
        </row>
        <row r="1210">
          <cell r="E1210">
            <v>200</v>
          </cell>
        </row>
        <row r="1211">
          <cell r="E1211">
            <v>1940</v>
          </cell>
        </row>
        <row r="1212">
          <cell r="E1212">
            <v>5000</v>
          </cell>
        </row>
        <row r="1213">
          <cell r="E1213">
            <v>120</v>
          </cell>
        </row>
        <row r="1214">
          <cell r="E1214">
            <v>1500</v>
          </cell>
        </row>
        <row r="1215">
          <cell r="E1215">
            <v>9850</v>
          </cell>
        </row>
        <row r="1216">
          <cell r="E1216">
            <v>4850</v>
          </cell>
        </row>
        <row r="1217">
          <cell r="E1217">
            <v>1400</v>
          </cell>
        </row>
        <row r="1218">
          <cell r="E1218">
            <v>400</v>
          </cell>
        </row>
        <row r="1219">
          <cell r="E1219">
            <v>90</v>
          </cell>
        </row>
        <row r="1220">
          <cell r="E1220">
            <v>1600</v>
          </cell>
        </row>
        <row r="1221">
          <cell r="E1221">
            <v>50</v>
          </cell>
        </row>
        <row r="1222">
          <cell r="E1222">
            <v>50</v>
          </cell>
        </row>
        <row r="1223">
          <cell r="E1223">
            <v>185</v>
          </cell>
        </row>
        <row r="1224">
          <cell r="E1224">
            <v>1548</v>
          </cell>
        </row>
        <row r="1225">
          <cell r="E1225">
            <v>10000</v>
          </cell>
        </row>
        <row r="1226">
          <cell r="E1226">
            <v>2250</v>
          </cell>
        </row>
        <row r="1227">
          <cell r="E1227">
            <v>75</v>
          </cell>
        </row>
        <row r="1228">
          <cell r="E1228">
            <v>120</v>
          </cell>
        </row>
        <row r="1229">
          <cell r="E1229">
            <v>5000</v>
          </cell>
        </row>
        <row r="1230">
          <cell r="E1230">
            <v>190</v>
          </cell>
        </row>
        <row r="1231">
          <cell r="E1231">
            <v>27</v>
          </cell>
        </row>
        <row r="1232">
          <cell r="E1232">
            <v>13480</v>
          </cell>
        </row>
        <row r="1233">
          <cell r="E1233">
            <v>260</v>
          </cell>
        </row>
        <row r="1234">
          <cell r="E1234">
            <v>100</v>
          </cell>
        </row>
        <row r="1235">
          <cell r="E1235">
            <v>120</v>
          </cell>
        </row>
        <row r="1236">
          <cell r="E1236">
            <v>140</v>
          </cell>
        </row>
        <row r="1237">
          <cell r="E1237">
            <v>205</v>
          </cell>
        </row>
        <row r="1238">
          <cell r="E1238">
            <v>250</v>
          </cell>
        </row>
        <row r="1239">
          <cell r="E1239">
            <v>175</v>
          </cell>
        </row>
        <row r="1240">
          <cell r="E1240">
            <v>735</v>
          </cell>
        </row>
        <row r="1241">
          <cell r="E1241">
            <v>545</v>
          </cell>
        </row>
        <row r="1242">
          <cell r="E1242">
            <v>100</v>
          </cell>
        </row>
        <row r="1243">
          <cell r="E1243">
            <v>2040</v>
          </cell>
        </row>
        <row r="1244">
          <cell r="E1244">
            <v>5</v>
          </cell>
        </row>
        <row r="1245">
          <cell r="E1245">
            <v>500</v>
          </cell>
        </row>
        <row r="1246">
          <cell r="E1246">
            <v>32</v>
          </cell>
        </row>
        <row r="1247">
          <cell r="E1247">
            <v>5</v>
          </cell>
        </row>
        <row r="1248">
          <cell r="E1248">
            <v>120</v>
          </cell>
        </row>
        <row r="1249">
          <cell r="E1249">
            <v>105</v>
          </cell>
        </row>
        <row r="1250">
          <cell r="E1250">
            <v>240</v>
          </cell>
        </row>
        <row r="1251">
          <cell r="E1251">
            <v>130</v>
          </cell>
        </row>
        <row r="1252">
          <cell r="E1252">
            <v>85</v>
          </cell>
        </row>
        <row r="1253">
          <cell r="E1253">
            <v>170</v>
          </cell>
        </row>
        <row r="1254">
          <cell r="E1254">
            <v>750</v>
          </cell>
        </row>
        <row r="1255">
          <cell r="E1255">
            <v>113</v>
          </cell>
        </row>
        <row r="1256">
          <cell r="E1256">
            <v>180</v>
          </cell>
        </row>
        <row r="1257">
          <cell r="E1257">
            <v>793</v>
          </cell>
        </row>
        <row r="1258">
          <cell r="E1258">
            <v>2390</v>
          </cell>
        </row>
        <row r="1259">
          <cell r="E1259">
            <v>10</v>
          </cell>
        </row>
        <row r="1260">
          <cell r="E1260">
            <v>100</v>
          </cell>
        </row>
        <row r="1261">
          <cell r="E1261">
            <v>350</v>
          </cell>
        </row>
        <row r="1262">
          <cell r="E1262">
            <v>90</v>
          </cell>
        </row>
        <row r="1263">
          <cell r="E1263">
            <v>2000</v>
          </cell>
        </row>
        <row r="1264">
          <cell r="E1264">
            <v>345</v>
          </cell>
        </row>
        <row r="1265">
          <cell r="E1265">
            <v>145</v>
          </cell>
        </row>
        <row r="1266">
          <cell r="E1266">
            <v>50000</v>
          </cell>
        </row>
        <row r="1267">
          <cell r="E1267">
            <v>165</v>
          </cell>
        </row>
        <row r="1268">
          <cell r="E1268">
            <v>125</v>
          </cell>
        </row>
        <row r="1269">
          <cell r="E1269">
            <v>260</v>
          </cell>
        </row>
        <row r="1270">
          <cell r="E1270">
            <v>105</v>
          </cell>
        </row>
        <row r="1271">
          <cell r="E1271">
            <v>14</v>
          </cell>
        </row>
        <row r="1272">
          <cell r="E1272">
            <v>1920</v>
          </cell>
        </row>
        <row r="1273">
          <cell r="E1273">
            <v>570</v>
          </cell>
        </row>
        <row r="1274">
          <cell r="E1274">
            <v>1625</v>
          </cell>
        </row>
        <row r="1275">
          <cell r="E1275">
            <v>30</v>
          </cell>
        </row>
        <row r="1276">
          <cell r="E1276">
            <v>135</v>
          </cell>
        </row>
        <row r="1277">
          <cell r="E1277">
            <v>1000</v>
          </cell>
        </row>
        <row r="1278">
          <cell r="E1278">
            <v>580</v>
          </cell>
        </row>
        <row r="1279">
          <cell r="E1279">
            <v>475</v>
          </cell>
        </row>
        <row r="1280">
          <cell r="E1280">
            <v>1605</v>
          </cell>
        </row>
        <row r="1281">
          <cell r="E1281">
            <v>805</v>
          </cell>
        </row>
        <row r="1282">
          <cell r="E1282">
            <v>320</v>
          </cell>
        </row>
        <row r="1283">
          <cell r="E1283">
            <v>170</v>
          </cell>
        </row>
        <row r="1284">
          <cell r="E1284">
            <v>90</v>
          </cell>
        </row>
        <row r="1285">
          <cell r="E1285">
            <v>480</v>
          </cell>
        </row>
        <row r="1286">
          <cell r="E1286">
            <v>290</v>
          </cell>
        </row>
        <row r="1287">
          <cell r="E1287">
            <v>2735</v>
          </cell>
        </row>
        <row r="1288">
          <cell r="E1288">
            <v>14000</v>
          </cell>
        </row>
        <row r="1289">
          <cell r="E1289">
            <v>3240</v>
          </cell>
        </row>
        <row r="1290">
          <cell r="E1290">
            <v>1170</v>
          </cell>
        </row>
        <row r="1291">
          <cell r="E1291">
            <v>2000</v>
          </cell>
        </row>
        <row r="1292">
          <cell r="E1292">
            <v>5000</v>
          </cell>
        </row>
        <row r="1293">
          <cell r="E1293">
            <v>7575</v>
          </cell>
        </row>
        <row r="1294">
          <cell r="E1294">
            <v>2145</v>
          </cell>
        </row>
        <row r="1295">
          <cell r="E1295">
            <v>4770</v>
          </cell>
        </row>
        <row r="1296">
          <cell r="E1296">
            <v>400</v>
          </cell>
        </row>
        <row r="1297">
          <cell r="E1297">
            <v>1000</v>
          </cell>
        </row>
        <row r="1298">
          <cell r="E1298">
            <v>4450</v>
          </cell>
        </row>
        <row r="1299">
          <cell r="E1299">
            <v>126</v>
          </cell>
        </row>
        <row r="1300">
          <cell r="E1300">
            <v>210</v>
          </cell>
        </row>
        <row r="1301">
          <cell r="E1301">
            <v>10</v>
          </cell>
        </row>
        <row r="1302">
          <cell r="E1302">
            <v>1625</v>
          </cell>
        </row>
        <row r="1303">
          <cell r="E1303">
            <v>10</v>
          </cell>
        </row>
        <row r="1304">
          <cell r="E1304">
            <v>500</v>
          </cell>
        </row>
        <row r="1305">
          <cell r="E1305">
            <v>38</v>
          </cell>
        </row>
        <row r="1306">
          <cell r="E1306">
            <v>495</v>
          </cell>
        </row>
        <row r="1307">
          <cell r="E1307">
            <v>90</v>
          </cell>
        </row>
        <row r="1308">
          <cell r="E1308">
            <v>3000</v>
          </cell>
        </row>
        <row r="1309">
          <cell r="E1309">
            <v>7505</v>
          </cell>
        </row>
        <row r="1310">
          <cell r="E1310">
            <v>445</v>
          </cell>
        </row>
        <row r="1311">
          <cell r="E1311">
            <v>300</v>
          </cell>
        </row>
        <row r="1312">
          <cell r="E1312">
            <v>1080</v>
          </cell>
        </row>
        <row r="1313">
          <cell r="E1313">
            <v>120</v>
          </cell>
        </row>
        <row r="1314">
          <cell r="E1314">
            <v>75</v>
          </cell>
        </row>
        <row r="1315">
          <cell r="E1315">
            <v>215</v>
          </cell>
        </row>
        <row r="1316">
          <cell r="E1316">
            <v>1110</v>
          </cell>
        </row>
        <row r="1317">
          <cell r="E1317">
            <v>24</v>
          </cell>
        </row>
        <row r="1318">
          <cell r="E1318">
            <v>51</v>
          </cell>
        </row>
        <row r="1319">
          <cell r="E1319">
            <v>7</v>
          </cell>
        </row>
        <row r="1320">
          <cell r="E1320">
            <v>109</v>
          </cell>
        </row>
        <row r="1321">
          <cell r="E1321">
            <v>40</v>
          </cell>
        </row>
        <row r="1322">
          <cell r="E1322">
            <v>60</v>
          </cell>
        </row>
        <row r="1323">
          <cell r="E1323">
            <v>95</v>
          </cell>
        </row>
        <row r="1324">
          <cell r="E1324">
            <v>160</v>
          </cell>
        </row>
        <row r="1325">
          <cell r="E1325">
            <v>90</v>
          </cell>
        </row>
        <row r="1326">
          <cell r="E1326">
            <v>225</v>
          </cell>
        </row>
        <row r="1327">
          <cell r="E1327">
            <v>180</v>
          </cell>
        </row>
        <row r="1328">
          <cell r="E1328">
            <v>540</v>
          </cell>
        </row>
        <row r="1329">
          <cell r="E1329">
            <v>100</v>
          </cell>
        </row>
        <row r="1330">
          <cell r="E1330">
            <v>150</v>
          </cell>
        </row>
        <row r="1331">
          <cell r="E1331">
            <v>520</v>
          </cell>
        </row>
        <row r="1332">
          <cell r="E1332">
            <v>185</v>
          </cell>
        </row>
        <row r="1333">
          <cell r="E1333">
            <v>650</v>
          </cell>
        </row>
        <row r="1334">
          <cell r="E1334">
            <v>120</v>
          </cell>
        </row>
        <row r="1335">
          <cell r="E1335">
            <v>5</v>
          </cell>
        </row>
        <row r="1336">
          <cell r="E1336">
            <v>225</v>
          </cell>
        </row>
        <row r="1337">
          <cell r="E1337">
            <v>90</v>
          </cell>
        </row>
        <row r="1338">
          <cell r="E1338">
            <v>50</v>
          </cell>
        </row>
        <row r="1339">
          <cell r="E1339">
            <v>290</v>
          </cell>
        </row>
        <row r="1340">
          <cell r="E1340">
            <v>304</v>
          </cell>
        </row>
        <row r="1341">
          <cell r="E1341">
            <v>140</v>
          </cell>
        </row>
        <row r="1342">
          <cell r="E1342">
            <v>120</v>
          </cell>
        </row>
        <row r="1343">
          <cell r="E1343">
            <v>1715</v>
          </cell>
        </row>
        <row r="1344">
          <cell r="E1344">
            <v>1073</v>
          </cell>
        </row>
        <row r="1345">
          <cell r="E1345">
            <v>390</v>
          </cell>
        </row>
        <row r="1346">
          <cell r="E1346">
            <v>140</v>
          </cell>
        </row>
        <row r="1347">
          <cell r="E1347">
            <v>2870</v>
          </cell>
        </row>
        <row r="1348">
          <cell r="E1348">
            <v>16</v>
          </cell>
        </row>
        <row r="1349">
          <cell r="E1349">
            <v>245</v>
          </cell>
        </row>
        <row r="1350">
          <cell r="E1350">
            <v>130</v>
          </cell>
        </row>
        <row r="1351">
          <cell r="E1351">
            <v>145</v>
          </cell>
        </row>
        <row r="1352">
          <cell r="E1352">
            <v>11475</v>
          </cell>
        </row>
        <row r="1353">
          <cell r="E1353">
            <v>28</v>
          </cell>
        </row>
        <row r="1354">
          <cell r="E1354">
            <v>3135</v>
          </cell>
        </row>
        <row r="1355">
          <cell r="E1355">
            <v>130</v>
          </cell>
        </row>
        <row r="1356">
          <cell r="E1356">
            <v>300</v>
          </cell>
        </row>
        <row r="1357">
          <cell r="E1357">
            <v>2410</v>
          </cell>
        </row>
        <row r="1358">
          <cell r="E1358">
            <v>15</v>
          </cell>
        </row>
        <row r="1359">
          <cell r="E1359">
            <v>100</v>
          </cell>
        </row>
        <row r="1360">
          <cell r="E1360">
            <v>1185</v>
          </cell>
        </row>
        <row r="1361">
          <cell r="E1361">
            <v>700</v>
          </cell>
        </row>
        <row r="1362">
          <cell r="E1362">
            <v>786</v>
          </cell>
        </row>
        <row r="1363">
          <cell r="E1363">
            <v>530</v>
          </cell>
        </row>
        <row r="1364">
          <cell r="E1364">
            <v>1910</v>
          </cell>
        </row>
        <row r="1365">
          <cell r="E1365">
            <v>1000</v>
          </cell>
        </row>
        <row r="1366">
          <cell r="E1366">
            <v>1923</v>
          </cell>
        </row>
        <row r="1367">
          <cell r="E1367">
            <v>1655</v>
          </cell>
        </row>
        <row r="1368">
          <cell r="E1368">
            <v>495</v>
          </cell>
        </row>
        <row r="1369">
          <cell r="E1369">
            <v>430</v>
          </cell>
        </row>
        <row r="1370">
          <cell r="E1370">
            <v>50</v>
          </cell>
        </row>
        <row r="1371">
          <cell r="E1371">
            <v>120</v>
          </cell>
        </row>
        <row r="1372">
          <cell r="E1372">
            <v>180</v>
          </cell>
        </row>
        <row r="1373">
          <cell r="E1373">
            <v>120</v>
          </cell>
        </row>
        <row r="1374">
          <cell r="E1374">
            <v>115</v>
          </cell>
        </row>
        <row r="1375">
          <cell r="E1375">
            <v>75</v>
          </cell>
        </row>
        <row r="1376">
          <cell r="E1376">
            <v>420</v>
          </cell>
        </row>
        <row r="1377">
          <cell r="E1377">
            <v>1540</v>
          </cell>
        </row>
        <row r="1378">
          <cell r="E1378">
            <v>2500</v>
          </cell>
        </row>
        <row r="1379">
          <cell r="E1379">
            <v>250</v>
          </cell>
        </row>
        <row r="1380">
          <cell r="E1380">
            <v>2850</v>
          </cell>
        </row>
        <row r="1381">
          <cell r="E1381">
            <v>95</v>
          </cell>
        </row>
        <row r="1382">
          <cell r="E1382">
            <v>15</v>
          </cell>
        </row>
        <row r="1383">
          <cell r="E1383">
            <v>20</v>
          </cell>
        </row>
        <row r="1384">
          <cell r="E1384">
            <v>10</v>
          </cell>
        </row>
        <row r="1385">
          <cell r="E1385">
            <v>2000</v>
          </cell>
        </row>
        <row r="1386">
          <cell r="E1386">
            <v>500</v>
          </cell>
        </row>
        <row r="1387">
          <cell r="E1387">
            <v>1650</v>
          </cell>
        </row>
        <row r="1388">
          <cell r="E1388">
            <v>5</v>
          </cell>
        </row>
        <row r="1389">
          <cell r="E1389">
            <v>10000</v>
          </cell>
        </row>
        <row r="1390">
          <cell r="E1390">
            <v>7290</v>
          </cell>
        </row>
        <row r="1391">
          <cell r="E1391">
            <v>90</v>
          </cell>
        </row>
        <row r="1392">
          <cell r="E1392">
            <v>5000</v>
          </cell>
        </row>
        <row r="1393">
          <cell r="E1393">
            <v>1825</v>
          </cell>
        </row>
        <row r="1394">
          <cell r="E1394">
            <v>695</v>
          </cell>
        </row>
        <row r="1395">
          <cell r="E1395">
            <v>150</v>
          </cell>
        </row>
        <row r="1396">
          <cell r="E1396">
            <v>14</v>
          </cell>
        </row>
        <row r="1397">
          <cell r="E1397">
            <v>150</v>
          </cell>
        </row>
        <row r="1398">
          <cell r="E1398">
            <v>50</v>
          </cell>
        </row>
        <row r="1399">
          <cell r="E1399">
            <v>35</v>
          </cell>
        </row>
        <row r="1400">
          <cell r="E1400">
            <v>4000</v>
          </cell>
        </row>
        <row r="1401">
          <cell r="E1401">
            <v>37</v>
          </cell>
        </row>
        <row r="1402">
          <cell r="E1402">
            <v>10</v>
          </cell>
        </row>
        <row r="1403">
          <cell r="E1403">
            <v>2000</v>
          </cell>
        </row>
        <row r="1404">
          <cell r="E1404">
            <v>195</v>
          </cell>
        </row>
        <row r="1405">
          <cell r="E1405">
            <v>95</v>
          </cell>
        </row>
        <row r="1406">
          <cell r="E1406">
            <v>400</v>
          </cell>
        </row>
        <row r="1407">
          <cell r="E1407">
            <v>45</v>
          </cell>
        </row>
        <row r="1408">
          <cell r="E1408">
            <v>27</v>
          </cell>
        </row>
        <row r="1409">
          <cell r="E1409">
            <v>320</v>
          </cell>
        </row>
        <row r="1410">
          <cell r="E1410">
            <v>45</v>
          </cell>
        </row>
        <row r="1411">
          <cell r="E1411">
            <v>45</v>
          </cell>
        </row>
        <row r="1412">
          <cell r="E1412">
            <v>140</v>
          </cell>
        </row>
        <row r="1413">
          <cell r="E1413">
            <v>145</v>
          </cell>
        </row>
        <row r="1414">
          <cell r="E1414">
            <v>50</v>
          </cell>
        </row>
        <row r="1415">
          <cell r="E1415">
            <v>2780</v>
          </cell>
        </row>
        <row r="1416">
          <cell r="E1416">
            <v>30</v>
          </cell>
        </row>
        <row r="1417">
          <cell r="E1417">
            <v>730</v>
          </cell>
        </row>
        <row r="1418">
          <cell r="E1418">
            <v>2400</v>
          </cell>
        </row>
        <row r="1419">
          <cell r="E1419">
            <v>1785</v>
          </cell>
        </row>
        <row r="1420">
          <cell r="E1420">
            <v>1418</v>
          </cell>
        </row>
        <row r="1421">
          <cell r="E1421">
            <v>5928</v>
          </cell>
        </row>
        <row r="1422">
          <cell r="E1422">
            <v>100</v>
          </cell>
        </row>
        <row r="1423">
          <cell r="E1423">
            <v>5900</v>
          </cell>
        </row>
        <row r="1424">
          <cell r="E1424">
            <v>170</v>
          </cell>
        </row>
        <row r="1425">
          <cell r="E1425">
            <v>200</v>
          </cell>
        </row>
        <row r="1426">
          <cell r="E1426">
            <v>180</v>
          </cell>
        </row>
        <row r="1427">
          <cell r="E1427">
            <v>5</v>
          </cell>
        </row>
        <row r="1428">
          <cell r="E1428">
            <v>4140</v>
          </cell>
        </row>
        <row r="1429">
          <cell r="E1429">
            <v>12000</v>
          </cell>
        </row>
        <row r="1430">
          <cell r="E1430">
            <v>45</v>
          </cell>
        </row>
        <row r="1431">
          <cell r="E1431">
            <v>100</v>
          </cell>
        </row>
        <row r="1432">
          <cell r="E1432">
            <v>165</v>
          </cell>
        </row>
        <row r="1433">
          <cell r="E1433">
            <v>90</v>
          </cell>
        </row>
        <row r="1434">
          <cell r="E1434">
            <v>20</v>
          </cell>
        </row>
        <row r="1435">
          <cell r="E1435">
            <v>80</v>
          </cell>
        </row>
        <row r="1436">
          <cell r="E1436">
            <v>80</v>
          </cell>
        </row>
        <row r="1437">
          <cell r="E1437">
            <v>100</v>
          </cell>
        </row>
        <row r="1438">
          <cell r="E1438">
            <v>15</v>
          </cell>
        </row>
        <row r="1439">
          <cell r="E1439">
            <v>220</v>
          </cell>
        </row>
        <row r="1440">
          <cell r="E1440">
            <v>975</v>
          </cell>
        </row>
        <row r="1441">
          <cell r="E1441">
            <v>2103</v>
          </cell>
        </row>
        <row r="1442">
          <cell r="E1442">
            <v>110</v>
          </cell>
        </row>
        <row r="1443">
          <cell r="E1443">
            <v>1855</v>
          </cell>
        </row>
        <row r="1444">
          <cell r="E1444">
            <v>6500</v>
          </cell>
        </row>
        <row r="1445">
          <cell r="E1445">
            <v>320</v>
          </cell>
        </row>
        <row r="1446">
          <cell r="E1446">
            <v>255</v>
          </cell>
        </row>
        <row r="1447">
          <cell r="E1447">
            <v>115</v>
          </cell>
        </row>
        <row r="1448">
          <cell r="E1448">
            <v>120</v>
          </cell>
        </row>
        <row r="1449">
          <cell r="E1449">
            <v>590</v>
          </cell>
        </row>
        <row r="1450">
          <cell r="E1450">
            <v>525</v>
          </cell>
        </row>
        <row r="1451">
          <cell r="E1451">
            <v>3540</v>
          </cell>
        </row>
        <row r="1452">
          <cell r="E1452">
            <v>440</v>
          </cell>
        </row>
        <row r="1453">
          <cell r="E1453">
            <v>1000</v>
          </cell>
        </row>
        <row r="1454">
          <cell r="E1454">
            <v>320</v>
          </cell>
        </row>
        <row r="1455">
          <cell r="E1455">
            <v>625</v>
          </cell>
        </row>
        <row r="1456">
          <cell r="E1456">
            <v>670</v>
          </cell>
        </row>
        <row r="1457">
          <cell r="E1457">
            <v>270</v>
          </cell>
        </row>
        <row r="1458">
          <cell r="E1458">
            <v>890</v>
          </cell>
        </row>
        <row r="1459">
          <cell r="E1459">
            <v>1148</v>
          </cell>
        </row>
        <row r="1460">
          <cell r="E1460">
            <v>1890</v>
          </cell>
        </row>
        <row r="1461">
          <cell r="E1461">
            <v>14</v>
          </cell>
        </row>
        <row r="1462">
          <cell r="E1462">
            <v>800</v>
          </cell>
        </row>
        <row r="1463">
          <cell r="E1463">
            <v>1060</v>
          </cell>
        </row>
        <row r="1464">
          <cell r="E1464">
            <v>1100</v>
          </cell>
        </row>
        <row r="1465">
          <cell r="E1465">
            <v>1445</v>
          </cell>
        </row>
        <row r="1466">
          <cell r="E1466">
            <v>145</v>
          </cell>
        </row>
        <row r="1467">
          <cell r="E1467">
            <v>1510</v>
          </cell>
        </row>
        <row r="1468">
          <cell r="E1468">
            <v>3657</v>
          </cell>
        </row>
        <row r="1469">
          <cell r="E1469">
            <v>280</v>
          </cell>
        </row>
        <row r="1470">
          <cell r="E1470">
            <v>123</v>
          </cell>
        </row>
        <row r="1471">
          <cell r="E1471">
            <v>100</v>
          </cell>
        </row>
        <row r="1472">
          <cell r="E1472">
            <v>20</v>
          </cell>
        </row>
        <row r="1473">
          <cell r="E1473">
            <v>3000</v>
          </cell>
        </row>
        <row r="1474">
          <cell r="E1474">
            <v>1200</v>
          </cell>
        </row>
        <row r="1475">
          <cell r="E1475">
            <v>4045</v>
          </cell>
        </row>
        <row r="1476">
          <cell r="E1476">
            <v>80</v>
          </cell>
        </row>
        <row r="1477">
          <cell r="E1477">
            <v>120</v>
          </cell>
        </row>
        <row r="1478">
          <cell r="E1478">
            <v>200</v>
          </cell>
        </row>
        <row r="1479">
          <cell r="E1479">
            <v>1530</v>
          </cell>
        </row>
        <row r="1480">
          <cell r="E1480">
            <v>2150</v>
          </cell>
        </row>
        <row r="1481">
          <cell r="E1481">
            <v>2900</v>
          </cell>
        </row>
        <row r="1482">
          <cell r="E1482">
            <v>2000</v>
          </cell>
        </row>
        <row r="1483">
          <cell r="E1483">
            <v>5240</v>
          </cell>
        </row>
        <row r="1484">
          <cell r="E1484">
            <v>2000</v>
          </cell>
        </row>
        <row r="1485">
          <cell r="E1485">
            <v>2000</v>
          </cell>
        </row>
        <row r="1486">
          <cell r="E1486">
            <v>2000</v>
          </cell>
        </row>
        <row r="1487">
          <cell r="E1487">
            <v>5990</v>
          </cell>
        </row>
        <row r="1488">
          <cell r="E1488">
            <v>1980</v>
          </cell>
        </row>
        <row r="1489">
          <cell r="E1489">
            <v>2000</v>
          </cell>
        </row>
        <row r="1490">
          <cell r="E1490">
            <v>2000</v>
          </cell>
        </row>
        <row r="1491">
          <cell r="E1491">
            <v>3040</v>
          </cell>
        </row>
        <row r="1492">
          <cell r="E1492">
            <v>2330</v>
          </cell>
        </row>
        <row r="1493">
          <cell r="E1493">
            <v>1280</v>
          </cell>
        </row>
        <row r="1494">
          <cell r="E1494">
            <v>2945</v>
          </cell>
        </row>
        <row r="1495">
          <cell r="E1495">
            <v>480</v>
          </cell>
        </row>
        <row r="1496">
          <cell r="E1496">
            <v>78</v>
          </cell>
        </row>
        <row r="1497">
          <cell r="E1497">
            <v>1950</v>
          </cell>
        </row>
        <row r="1498">
          <cell r="E1498">
            <v>495</v>
          </cell>
        </row>
        <row r="1499">
          <cell r="E1499">
            <v>4635</v>
          </cell>
        </row>
        <row r="1500">
          <cell r="E1500">
            <v>1150</v>
          </cell>
        </row>
        <row r="1501">
          <cell r="E1501">
            <v>115</v>
          </cell>
        </row>
        <row r="1502">
          <cell r="E1502">
            <v>970</v>
          </cell>
        </row>
        <row r="1503">
          <cell r="E1503">
            <v>75</v>
          </cell>
        </row>
        <row r="1504">
          <cell r="E1504">
            <v>214</v>
          </cell>
        </row>
        <row r="1505">
          <cell r="E1505">
            <v>20</v>
          </cell>
        </row>
        <row r="1506">
          <cell r="E1506">
            <v>10</v>
          </cell>
        </row>
        <row r="1507">
          <cell r="E1507">
            <v>180</v>
          </cell>
        </row>
        <row r="1508">
          <cell r="E1508">
            <v>85</v>
          </cell>
        </row>
        <row r="1509">
          <cell r="E1509">
            <v>41</v>
          </cell>
        </row>
        <row r="1510">
          <cell r="E1510">
            <v>15</v>
          </cell>
        </row>
        <row r="1511">
          <cell r="E1511">
            <v>170</v>
          </cell>
        </row>
        <row r="1512">
          <cell r="E1512">
            <v>400</v>
          </cell>
        </row>
        <row r="1513">
          <cell r="E1513">
            <v>7</v>
          </cell>
        </row>
        <row r="1514">
          <cell r="E1514">
            <v>125</v>
          </cell>
        </row>
        <row r="1515">
          <cell r="E1515">
            <v>300</v>
          </cell>
        </row>
        <row r="1516">
          <cell r="E1516">
            <v>2545</v>
          </cell>
        </row>
        <row r="1517">
          <cell r="E1517">
            <v>3700</v>
          </cell>
        </row>
        <row r="1518">
          <cell r="E1518">
            <v>45</v>
          </cell>
        </row>
        <row r="1519">
          <cell r="E1519">
            <v>150</v>
          </cell>
        </row>
        <row r="1520">
          <cell r="E1520">
            <v>135</v>
          </cell>
        </row>
        <row r="1521">
          <cell r="E1521">
            <v>140</v>
          </cell>
        </row>
        <row r="1522">
          <cell r="E1522">
            <v>190</v>
          </cell>
        </row>
        <row r="1523">
          <cell r="E1523">
            <v>680</v>
          </cell>
        </row>
        <row r="1524">
          <cell r="E1524">
            <v>2270</v>
          </cell>
        </row>
        <row r="1525">
          <cell r="E1525">
            <v>255</v>
          </cell>
        </row>
        <row r="1526">
          <cell r="E1526">
            <v>125</v>
          </cell>
        </row>
        <row r="1527">
          <cell r="E1527">
            <v>90</v>
          </cell>
        </row>
        <row r="1528">
          <cell r="E1528">
            <v>107</v>
          </cell>
        </row>
        <row r="1529">
          <cell r="E1529">
            <v>190</v>
          </cell>
        </row>
        <row r="1530">
          <cell r="E1530">
            <v>35000</v>
          </cell>
        </row>
        <row r="1531">
          <cell r="E1531">
            <v>5000</v>
          </cell>
        </row>
        <row r="1532">
          <cell r="E1532">
            <v>377</v>
          </cell>
        </row>
        <row r="1533">
          <cell r="E1533">
            <v>1470</v>
          </cell>
        </row>
        <row r="1534">
          <cell r="E1534">
            <v>12</v>
          </cell>
        </row>
        <row r="1535">
          <cell r="E1535">
            <v>125</v>
          </cell>
        </row>
        <row r="1536">
          <cell r="E1536">
            <v>280</v>
          </cell>
        </row>
        <row r="1537">
          <cell r="E1537">
            <v>10</v>
          </cell>
        </row>
        <row r="1538">
          <cell r="E1538">
            <v>200</v>
          </cell>
        </row>
        <row r="1539">
          <cell r="E1539">
            <v>11655</v>
          </cell>
        </row>
        <row r="1540">
          <cell r="E1540">
            <v>211</v>
          </cell>
        </row>
        <row r="1541">
          <cell r="E1541">
            <v>50</v>
          </cell>
        </row>
        <row r="1542">
          <cell r="E1542">
            <v>1090</v>
          </cell>
        </row>
        <row r="1543">
          <cell r="E1543">
            <v>30</v>
          </cell>
        </row>
        <row r="1544">
          <cell r="E1544">
            <v>175</v>
          </cell>
        </row>
        <row r="1545">
          <cell r="E1545">
            <v>170</v>
          </cell>
        </row>
        <row r="1546">
          <cell r="E1546">
            <v>1320</v>
          </cell>
        </row>
        <row r="1547">
          <cell r="E1547">
            <v>436</v>
          </cell>
        </row>
        <row r="1548">
          <cell r="E1548">
            <v>546</v>
          </cell>
        </row>
        <row r="1549">
          <cell r="E1549">
            <v>120</v>
          </cell>
        </row>
        <row r="1550">
          <cell r="E1550">
            <v>165</v>
          </cell>
        </row>
        <row r="1551">
          <cell r="E1551">
            <v>120</v>
          </cell>
        </row>
        <row r="1552">
          <cell r="E1552">
            <v>665</v>
          </cell>
        </row>
        <row r="1553">
          <cell r="E1553">
            <v>440</v>
          </cell>
        </row>
        <row r="1554">
          <cell r="E1554">
            <v>15</v>
          </cell>
        </row>
        <row r="1555">
          <cell r="E1555">
            <v>580</v>
          </cell>
        </row>
        <row r="1556">
          <cell r="E1556">
            <v>2125</v>
          </cell>
        </row>
        <row r="1557">
          <cell r="E1557">
            <v>18</v>
          </cell>
        </row>
        <row r="1558">
          <cell r="E1558">
            <v>200</v>
          </cell>
        </row>
        <row r="1559">
          <cell r="E1559">
            <v>3210</v>
          </cell>
        </row>
        <row r="1560">
          <cell r="E1560">
            <v>1200</v>
          </cell>
        </row>
        <row r="1561">
          <cell r="E1561">
            <v>80</v>
          </cell>
        </row>
        <row r="1562">
          <cell r="E1562">
            <v>90</v>
          </cell>
        </row>
        <row r="1563">
          <cell r="E1563">
            <v>35</v>
          </cell>
        </row>
        <row r="1564">
          <cell r="E1564">
            <v>132</v>
          </cell>
        </row>
        <row r="1565">
          <cell r="E1565">
            <v>100</v>
          </cell>
        </row>
        <row r="1566">
          <cell r="E1566">
            <v>100</v>
          </cell>
        </row>
        <row r="1567">
          <cell r="E1567">
            <v>370</v>
          </cell>
        </row>
        <row r="1568">
          <cell r="E1568">
            <v>3000</v>
          </cell>
        </row>
        <row r="1569">
          <cell r="E1569">
            <v>10</v>
          </cell>
        </row>
        <row r="1570">
          <cell r="E1570">
            <v>215</v>
          </cell>
        </row>
        <row r="1571">
          <cell r="E1571">
            <v>160</v>
          </cell>
        </row>
        <row r="1572">
          <cell r="E1572">
            <v>250</v>
          </cell>
        </row>
        <row r="1573">
          <cell r="E1573">
            <v>130</v>
          </cell>
        </row>
        <row r="1574">
          <cell r="E1574">
            <v>100</v>
          </cell>
        </row>
        <row r="1575">
          <cell r="E1575">
            <v>165</v>
          </cell>
        </row>
        <row r="1576">
          <cell r="E1576">
            <v>120</v>
          </cell>
        </row>
        <row r="1577">
          <cell r="E1577">
            <v>75</v>
          </cell>
        </row>
        <row r="1578">
          <cell r="E1578">
            <v>700</v>
          </cell>
        </row>
        <row r="1579">
          <cell r="E1579">
            <v>1100</v>
          </cell>
        </row>
        <row r="1580">
          <cell r="E1580">
            <v>5</v>
          </cell>
        </row>
        <row r="1581">
          <cell r="E1581">
            <v>1000</v>
          </cell>
        </row>
        <row r="1582">
          <cell r="E1582">
            <v>100</v>
          </cell>
        </row>
        <row r="1583">
          <cell r="E1583">
            <v>160</v>
          </cell>
        </row>
        <row r="1584">
          <cell r="E1584">
            <v>125</v>
          </cell>
        </row>
        <row r="1585">
          <cell r="E1585">
            <v>340</v>
          </cell>
        </row>
        <row r="1586">
          <cell r="E1586">
            <v>1000</v>
          </cell>
        </row>
        <row r="1587">
          <cell r="E1587">
            <v>110</v>
          </cell>
        </row>
        <row r="1588">
          <cell r="E1588">
            <v>2890</v>
          </cell>
        </row>
        <row r="1589">
          <cell r="E1589">
            <v>27</v>
          </cell>
        </row>
        <row r="1590">
          <cell r="E1590">
            <v>677</v>
          </cell>
        </row>
        <row r="1591">
          <cell r="E1591">
            <v>310</v>
          </cell>
        </row>
        <row r="1592">
          <cell r="E1592">
            <v>90</v>
          </cell>
        </row>
        <row r="1593">
          <cell r="E1593">
            <v>120</v>
          </cell>
        </row>
        <row r="1594">
          <cell r="E1594">
            <v>1510</v>
          </cell>
        </row>
        <row r="1595">
          <cell r="E1595">
            <v>130</v>
          </cell>
        </row>
        <row r="1596">
          <cell r="E1596">
            <v>150</v>
          </cell>
        </row>
        <row r="1597">
          <cell r="E1597">
            <v>310</v>
          </cell>
        </row>
        <row r="1598">
          <cell r="E1598">
            <v>1000</v>
          </cell>
        </row>
        <row r="1599">
          <cell r="E1599">
            <v>100</v>
          </cell>
        </row>
        <row r="1600">
          <cell r="E1600">
            <v>2100</v>
          </cell>
        </row>
        <row r="1601">
          <cell r="E1601">
            <v>4240</v>
          </cell>
        </row>
        <row r="1602">
          <cell r="E1602">
            <v>5895</v>
          </cell>
        </row>
        <row r="1603">
          <cell r="E1603">
            <v>210</v>
          </cell>
        </row>
        <row r="1604">
          <cell r="E1604">
            <v>1940</v>
          </cell>
        </row>
        <row r="1605">
          <cell r="E1605">
            <v>3000</v>
          </cell>
        </row>
        <row r="1606">
          <cell r="E1606">
            <v>1980</v>
          </cell>
        </row>
        <row r="1607">
          <cell r="E1607">
            <v>12570</v>
          </cell>
        </row>
        <row r="1608">
          <cell r="E1608">
            <v>80</v>
          </cell>
        </row>
        <row r="1609">
          <cell r="E1609">
            <v>90</v>
          </cell>
        </row>
        <row r="1610">
          <cell r="E1610">
            <v>5000</v>
          </cell>
        </row>
        <row r="1611">
          <cell r="E1611">
            <v>200</v>
          </cell>
        </row>
        <row r="1612">
          <cell r="E1612">
            <v>1625</v>
          </cell>
        </row>
        <row r="1613">
          <cell r="E1613">
            <v>3592</v>
          </cell>
        </row>
        <row r="1614">
          <cell r="E1614">
            <v>145</v>
          </cell>
        </row>
        <row r="1615">
          <cell r="E1615">
            <v>7</v>
          </cell>
        </row>
        <row r="1616">
          <cell r="E1616">
            <v>99</v>
          </cell>
        </row>
        <row r="1617">
          <cell r="E1617">
            <v>290</v>
          </cell>
        </row>
        <row r="1618">
          <cell r="E1618">
            <v>1680</v>
          </cell>
        </row>
        <row r="1619">
          <cell r="E1619">
            <v>134</v>
          </cell>
        </row>
        <row r="1620">
          <cell r="E1620">
            <v>38</v>
          </cell>
        </row>
        <row r="1621">
          <cell r="E1621">
            <v>10000</v>
          </cell>
        </row>
        <row r="1622">
          <cell r="E1622">
            <v>70</v>
          </cell>
        </row>
        <row r="1623">
          <cell r="E1623">
            <v>15</v>
          </cell>
        </row>
        <row r="1624">
          <cell r="E1624">
            <v>8</v>
          </cell>
        </row>
        <row r="1625">
          <cell r="E1625">
            <v>3880</v>
          </cell>
        </row>
        <row r="1626">
          <cell r="E1626">
            <v>70</v>
          </cell>
        </row>
        <row r="1627">
          <cell r="E1627">
            <v>1810</v>
          </cell>
        </row>
        <row r="1628">
          <cell r="E1628">
            <v>40</v>
          </cell>
        </row>
        <row r="1629">
          <cell r="E1629">
            <v>2100</v>
          </cell>
        </row>
        <row r="1630">
          <cell r="E1630">
            <v>7000</v>
          </cell>
        </row>
        <row r="1631">
          <cell r="E1631">
            <v>115</v>
          </cell>
        </row>
        <row r="1632">
          <cell r="E1632">
            <v>110</v>
          </cell>
        </row>
        <row r="1633">
          <cell r="E1633">
            <v>195</v>
          </cell>
        </row>
        <row r="1634">
          <cell r="E1634">
            <v>216</v>
          </cell>
        </row>
        <row r="1635">
          <cell r="E1635">
            <v>3123</v>
          </cell>
        </row>
        <row r="1636">
          <cell r="E1636">
            <v>90</v>
          </cell>
        </row>
        <row r="1637">
          <cell r="E1637">
            <v>200</v>
          </cell>
        </row>
        <row r="1638">
          <cell r="E1638">
            <v>85</v>
          </cell>
        </row>
        <row r="1639">
          <cell r="E1639">
            <v>34</v>
          </cell>
        </row>
        <row r="1640">
          <cell r="E1640">
            <v>2075</v>
          </cell>
        </row>
        <row r="1641">
          <cell r="E1641">
            <v>2000</v>
          </cell>
        </row>
        <row r="1642">
          <cell r="E1642">
            <v>1140</v>
          </cell>
        </row>
        <row r="1643">
          <cell r="E1643">
            <v>1050</v>
          </cell>
        </row>
        <row r="1644">
          <cell r="E1644">
            <v>21</v>
          </cell>
        </row>
        <row r="1645">
          <cell r="E1645">
            <v>360</v>
          </cell>
        </row>
        <row r="1646">
          <cell r="E1646">
            <v>115</v>
          </cell>
        </row>
        <row r="1647">
          <cell r="E1647">
            <v>200</v>
          </cell>
        </row>
        <row r="1648">
          <cell r="E1648">
            <v>1000</v>
          </cell>
        </row>
        <row r="1649">
          <cell r="E1649">
            <v>115</v>
          </cell>
        </row>
        <row r="1650">
          <cell r="E1650">
            <v>75</v>
          </cell>
        </row>
        <row r="1651">
          <cell r="E1651">
            <v>400</v>
          </cell>
        </row>
        <row r="1652">
          <cell r="E1652">
            <v>100</v>
          </cell>
        </row>
        <row r="1653">
          <cell r="E1653">
            <v>50</v>
          </cell>
        </row>
        <row r="1654">
          <cell r="E1654">
            <v>110</v>
          </cell>
        </row>
        <row r="1655">
          <cell r="E1655">
            <v>25</v>
          </cell>
        </row>
        <row r="1656">
          <cell r="E1656">
            <v>225</v>
          </cell>
        </row>
        <row r="1657">
          <cell r="E1657">
            <v>15</v>
          </cell>
        </row>
        <row r="1658">
          <cell r="E1658">
            <v>60</v>
          </cell>
        </row>
        <row r="1659">
          <cell r="E1659">
            <v>10</v>
          </cell>
        </row>
        <row r="1660">
          <cell r="E1660">
            <v>250</v>
          </cell>
        </row>
        <row r="1661">
          <cell r="E1661">
            <v>120</v>
          </cell>
        </row>
        <row r="1662">
          <cell r="E1662">
            <v>190</v>
          </cell>
        </row>
        <row r="1663">
          <cell r="E1663">
            <v>93</v>
          </cell>
        </row>
        <row r="1664">
          <cell r="E1664">
            <v>1980</v>
          </cell>
        </row>
        <row r="1665">
          <cell r="E1665">
            <v>50</v>
          </cell>
        </row>
        <row r="1666">
          <cell r="E1666">
            <v>595</v>
          </cell>
        </row>
        <row r="1667">
          <cell r="E1667">
            <v>220</v>
          </cell>
        </row>
        <row r="1668">
          <cell r="E1668">
            <v>2550</v>
          </cell>
        </row>
        <row r="1669">
          <cell r="E1669">
            <v>75</v>
          </cell>
        </row>
        <row r="1670">
          <cell r="E1670">
            <v>420</v>
          </cell>
        </row>
        <row r="1671">
          <cell r="E1671">
            <v>160</v>
          </cell>
        </row>
        <row r="1672">
          <cell r="E1672">
            <v>95</v>
          </cell>
        </row>
        <row r="1673">
          <cell r="E1673">
            <v>11</v>
          </cell>
        </row>
        <row r="1674">
          <cell r="E1674">
            <v>1000</v>
          </cell>
        </row>
        <row r="1675">
          <cell r="E1675">
            <v>105</v>
          </cell>
        </row>
        <row r="1676">
          <cell r="E1676">
            <v>180</v>
          </cell>
        </row>
        <row r="1677">
          <cell r="E1677">
            <v>50</v>
          </cell>
        </row>
        <row r="1678">
          <cell r="E1678">
            <v>5700</v>
          </cell>
        </row>
        <row r="1679">
          <cell r="E1679">
            <v>345</v>
          </cell>
        </row>
        <row r="1680">
          <cell r="E1680">
            <v>2000</v>
          </cell>
        </row>
        <row r="1681">
          <cell r="E1681">
            <v>500</v>
          </cell>
        </row>
        <row r="1682">
          <cell r="E1682">
            <v>3000</v>
          </cell>
        </row>
        <row r="1683">
          <cell r="E1683">
            <v>500</v>
          </cell>
        </row>
        <row r="1684">
          <cell r="E1684">
            <v>14</v>
          </cell>
        </row>
        <row r="1685">
          <cell r="E1685">
            <v>180</v>
          </cell>
        </row>
        <row r="1686">
          <cell r="E1686">
            <v>90</v>
          </cell>
        </row>
        <row r="1687">
          <cell r="E1687">
            <v>4635</v>
          </cell>
        </row>
        <row r="1688">
          <cell r="E1688">
            <v>2005</v>
          </cell>
        </row>
        <row r="1689">
          <cell r="E1689">
            <v>4120</v>
          </cell>
        </row>
        <row r="1692">
          <cell r="E1692">
            <v>2850</v>
          </cell>
        </row>
        <row r="1693">
          <cell r="E1693">
            <v>1430</v>
          </cell>
        </row>
        <row r="1694">
          <cell r="E1694">
            <v>860</v>
          </cell>
        </row>
        <row r="1695">
          <cell r="E1695">
            <v>1008</v>
          </cell>
        </row>
        <row r="1696">
          <cell r="E1696">
            <v>360</v>
          </cell>
        </row>
        <row r="1697">
          <cell r="E1697">
            <v>128</v>
          </cell>
        </row>
        <row r="1698">
          <cell r="E1698">
            <v>192</v>
          </cell>
        </row>
        <row r="1699">
          <cell r="E1699">
            <v>50</v>
          </cell>
        </row>
        <row r="1700">
          <cell r="E1700">
            <v>75</v>
          </cell>
        </row>
        <row r="1701">
          <cell r="E1701">
            <v>120</v>
          </cell>
        </row>
        <row r="1702">
          <cell r="E1702">
            <v>250</v>
          </cell>
        </row>
        <row r="1703">
          <cell r="E1703">
            <v>280</v>
          </cell>
        </row>
        <row r="1704">
          <cell r="E1704">
            <v>93</v>
          </cell>
        </row>
        <row r="1705">
          <cell r="E1705">
            <v>120</v>
          </cell>
        </row>
        <row r="1706">
          <cell r="E1706">
            <v>180</v>
          </cell>
        </row>
        <row r="1707">
          <cell r="E1707">
            <v>9515</v>
          </cell>
        </row>
        <row r="1708">
          <cell r="E1708">
            <v>195</v>
          </cell>
        </row>
        <row r="1709">
          <cell r="E1709">
            <v>112</v>
          </cell>
        </row>
        <row r="1710">
          <cell r="E1710">
            <v>110</v>
          </cell>
        </row>
        <row r="1711">
          <cell r="E1711">
            <v>90</v>
          </cell>
        </row>
        <row r="1712">
          <cell r="E1712">
            <v>567</v>
          </cell>
        </row>
        <row r="1713">
          <cell r="E1713">
            <v>3000</v>
          </cell>
        </row>
        <row r="1714">
          <cell r="E1714">
            <v>7600</v>
          </cell>
        </row>
        <row r="1715">
          <cell r="E1715">
            <v>60</v>
          </cell>
        </row>
        <row r="1716">
          <cell r="E1716">
            <v>450</v>
          </cell>
        </row>
        <row r="1717">
          <cell r="E1717">
            <v>1395</v>
          </cell>
        </row>
        <row r="1718">
          <cell r="E1718">
            <v>690</v>
          </cell>
        </row>
        <row r="1719">
          <cell r="E1719">
            <v>390</v>
          </cell>
        </row>
        <row r="1720">
          <cell r="E1720">
            <v>135</v>
          </cell>
        </row>
        <row r="1721">
          <cell r="E1721">
            <v>68</v>
          </cell>
        </row>
        <row r="1722">
          <cell r="E1722">
            <v>165</v>
          </cell>
        </row>
        <row r="1723">
          <cell r="E1723">
            <v>100</v>
          </cell>
        </row>
        <row r="1724">
          <cell r="E1724">
            <v>360</v>
          </cell>
        </row>
        <row r="1725">
          <cell r="E1725">
            <v>225</v>
          </cell>
        </row>
        <row r="1726">
          <cell r="E1726">
            <v>145</v>
          </cell>
        </row>
        <row r="1727">
          <cell r="E1727">
            <v>4270</v>
          </cell>
        </row>
        <row r="1728">
          <cell r="E1728">
            <v>1500</v>
          </cell>
        </row>
        <row r="1729">
          <cell r="E1729">
            <v>910</v>
          </cell>
        </row>
        <row r="1730">
          <cell r="E1730">
            <v>105</v>
          </cell>
        </row>
        <row r="1731">
          <cell r="E1731">
            <v>655</v>
          </cell>
        </row>
        <row r="1732">
          <cell r="E1732">
            <v>15</v>
          </cell>
        </row>
        <row r="1733">
          <cell r="E1733">
            <v>140</v>
          </cell>
        </row>
        <row r="1734">
          <cell r="E1734">
            <v>340</v>
          </cell>
        </row>
        <row r="1735">
          <cell r="E1735">
            <v>1048</v>
          </cell>
        </row>
        <row r="1736">
          <cell r="E1736">
            <v>200</v>
          </cell>
        </row>
        <row r="1737">
          <cell r="E1737">
            <v>46</v>
          </cell>
        </row>
        <row r="1738">
          <cell r="E1738">
            <v>185</v>
          </cell>
        </row>
        <row r="1739">
          <cell r="E1739">
            <v>765</v>
          </cell>
        </row>
        <row r="1740">
          <cell r="E1740">
            <v>72</v>
          </cell>
        </row>
        <row r="1741">
          <cell r="E1741">
            <v>28</v>
          </cell>
        </row>
        <row r="1742">
          <cell r="E1742">
            <v>2000</v>
          </cell>
        </row>
        <row r="1743">
          <cell r="E1743">
            <v>1000</v>
          </cell>
        </row>
        <row r="1744">
          <cell r="E1744">
            <v>1000</v>
          </cell>
        </row>
        <row r="1745">
          <cell r="E1745">
            <v>110</v>
          </cell>
        </row>
        <row r="1746">
          <cell r="E1746">
            <v>2000</v>
          </cell>
        </row>
        <row r="1747">
          <cell r="E1747">
            <v>115</v>
          </cell>
        </row>
        <row r="1748">
          <cell r="E1748">
            <v>225</v>
          </cell>
        </row>
        <row r="1749">
          <cell r="E1749">
            <v>105</v>
          </cell>
        </row>
        <row r="1750">
          <cell r="E1750">
            <v>27</v>
          </cell>
        </row>
        <row r="1751">
          <cell r="E1751">
            <v>290</v>
          </cell>
        </row>
        <row r="1752">
          <cell r="E1752">
            <v>370</v>
          </cell>
        </row>
        <row r="1753">
          <cell r="E1753">
            <v>90</v>
          </cell>
        </row>
        <row r="1754">
          <cell r="E1754">
            <v>75</v>
          </cell>
        </row>
        <row r="1755">
          <cell r="E1755">
            <v>150</v>
          </cell>
        </row>
        <row r="1756">
          <cell r="E1756">
            <v>2440</v>
          </cell>
        </row>
        <row r="1757">
          <cell r="E1757">
            <v>44</v>
          </cell>
        </row>
        <row r="1758">
          <cell r="E1758">
            <v>60</v>
          </cell>
        </row>
        <row r="1759">
          <cell r="E1759">
            <v>85</v>
          </cell>
        </row>
        <row r="1760">
          <cell r="E1760">
            <v>120</v>
          </cell>
        </row>
        <row r="1761">
          <cell r="E1761">
            <v>5580</v>
          </cell>
        </row>
        <row r="1762">
          <cell r="E1762">
            <v>960</v>
          </cell>
        </row>
        <row r="1763">
          <cell r="E1763">
            <v>150</v>
          </cell>
        </row>
        <row r="1764">
          <cell r="E1764">
            <v>1000</v>
          </cell>
        </row>
        <row r="1765">
          <cell r="E1765">
            <v>860</v>
          </cell>
        </row>
        <row r="1766">
          <cell r="E1766">
            <v>4810</v>
          </cell>
        </row>
        <row r="1767">
          <cell r="E1767">
            <v>500</v>
          </cell>
        </row>
        <row r="1768">
          <cell r="E1768">
            <v>990</v>
          </cell>
        </row>
        <row r="1769">
          <cell r="E1769">
            <v>3000</v>
          </cell>
        </row>
        <row r="1770">
          <cell r="E1770">
            <v>700</v>
          </cell>
        </row>
        <row r="1771">
          <cell r="E1771">
            <v>2000</v>
          </cell>
        </row>
        <row r="1772">
          <cell r="E1772">
            <v>1955</v>
          </cell>
        </row>
        <row r="1773">
          <cell r="E1773">
            <v>1000</v>
          </cell>
        </row>
        <row r="1774">
          <cell r="E1774">
            <v>15</v>
          </cell>
        </row>
        <row r="1775">
          <cell r="E1775">
            <v>5</v>
          </cell>
        </row>
        <row r="1776">
          <cell r="E1776">
            <v>7</v>
          </cell>
        </row>
        <row r="1777">
          <cell r="E1777">
            <v>20</v>
          </cell>
        </row>
        <row r="1778">
          <cell r="E1778">
            <v>4865</v>
          </cell>
        </row>
        <row r="1779">
          <cell r="E1779">
            <v>75</v>
          </cell>
        </row>
        <row r="1780">
          <cell r="E1780">
            <v>35</v>
          </cell>
        </row>
        <row r="1781">
          <cell r="E1781">
            <v>1124</v>
          </cell>
        </row>
        <row r="1782">
          <cell r="E1782">
            <v>100</v>
          </cell>
        </row>
        <row r="1783">
          <cell r="E1783">
            <v>20</v>
          </cell>
        </row>
        <row r="1784">
          <cell r="E1784">
            <v>210</v>
          </cell>
        </row>
        <row r="1785">
          <cell r="E1785">
            <v>20</v>
          </cell>
        </row>
        <row r="1786">
          <cell r="E1786">
            <v>540</v>
          </cell>
        </row>
        <row r="1787">
          <cell r="E1787">
            <v>11945</v>
          </cell>
        </row>
        <row r="1788">
          <cell r="E1788">
            <v>6310</v>
          </cell>
        </row>
        <row r="1789">
          <cell r="E1789">
            <v>95</v>
          </cell>
        </row>
        <row r="1790">
          <cell r="E1790">
            <v>82</v>
          </cell>
        </row>
        <row r="1791">
          <cell r="E1791">
            <v>250</v>
          </cell>
        </row>
        <row r="1792">
          <cell r="E1792">
            <v>40</v>
          </cell>
        </row>
        <row r="1793">
          <cell r="E1793">
            <v>180</v>
          </cell>
        </row>
        <row r="1794">
          <cell r="E1794">
            <v>95</v>
          </cell>
        </row>
        <row r="1795">
          <cell r="E1795">
            <v>371</v>
          </cell>
        </row>
        <row r="1796">
          <cell r="E1796">
            <v>120</v>
          </cell>
        </row>
        <row r="1797">
          <cell r="E1797">
            <v>1485</v>
          </cell>
        </row>
        <row r="1798">
          <cell r="E1798">
            <v>5000</v>
          </cell>
        </row>
        <row r="1799">
          <cell r="E1799">
            <v>120</v>
          </cell>
        </row>
        <row r="1800">
          <cell r="E1800">
            <v>5890</v>
          </cell>
        </row>
        <row r="1801">
          <cell r="E1801">
            <v>2000</v>
          </cell>
        </row>
        <row r="1802">
          <cell r="E1802">
            <v>1570</v>
          </cell>
        </row>
        <row r="1803">
          <cell r="E1803">
            <v>125</v>
          </cell>
        </row>
        <row r="1804">
          <cell r="E1804">
            <v>75</v>
          </cell>
        </row>
        <row r="1805">
          <cell r="E1805">
            <v>105</v>
          </cell>
        </row>
        <row r="1806">
          <cell r="E1806">
            <v>300</v>
          </cell>
        </row>
        <row r="1807">
          <cell r="E1807">
            <v>1395</v>
          </cell>
        </row>
        <row r="1808">
          <cell r="E1808">
            <v>370</v>
          </cell>
        </row>
        <row r="1809">
          <cell r="E1809">
            <v>100</v>
          </cell>
        </row>
        <row r="1810">
          <cell r="E1810">
            <v>195</v>
          </cell>
        </row>
        <row r="1811">
          <cell r="E1811">
            <v>3450</v>
          </cell>
        </row>
        <row r="1812">
          <cell r="E1812">
            <v>105</v>
          </cell>
        </row>
        <row r="1813">
          <cell r="E1813">
            <v>610</v>
          </cell>
        </row>
        <row r="1814">
          <cell r="E1814">
            <v>520</v>
          </cell>
        </row>
        <row r="1815">
          <cell r="E1815">
            <v>260</v>
          </cell>
        </row>
        <row r="1816">
          <cell r="E1816">
            <v>400</v>
          </cell>
        </row>
        <row r="1817">
          <cell r="E1817">
            <v>400</v>
          </cell>
        </row>
        <row r="1818">
          <cell r="E1818">
            <v>10000</v>
          </cell>
        </row>
        <row r="1819">
          <cell r="E1819">
            <v>1000</v>
          </cell>
        </row>
        <row r="1820">
          <cell r="E1820">
            <v>6290</v>
          </cell>
        </row>
        <row r="1821">
          <cell r="E1821">
            <v>3410</v>
          </cell>
        </row>
        <row r="1822">
          <cell r="E1822">
            <v>2640</v>
          </cell>
        </row>
        <row r="1823">
          <cell r="E1823">
            <v>1980</v>
          </cell>
        </row>
        <row r="1824">
          <cell r="E1824">
            <v>95</v>
          </cell>
        </row>
        <row r="1825">
          <cell r="E1825">
            <v>1500</v>
          </cell>
        </row>
        <row r="1826">
          <cell r="E1826">
            <v>18700</v>
          </cell>
        </row>
        <row r="1827">
          <cell r="E1827">
            <v>3000</v>
          </cell>
        </row>
        <row r="1828">
          <cell r="E1828">
            <v>3000</v>
          </cell>
        </row>
        <row r="1829">
          <cell r="E1829">
            <v>175</v>
          </cell>
        </row>
        <row r="1830">
          <cell r="E1830">
            <v>40</v>
          </cell>
        </row>
        <row r="1831">
          <cell r="E1831">
            <v>170</v>
          </cell>
        </row>
        <row r="1832">
          <cell r="E1832">
            <v>175</v>
          </cell>
        </row>
        <row r="1833">
          <cell r="E1833">
            <v>140</v>
          </cell>
        </row>
        <row r="1834">
          <cell r="E1834">
            <v>140</v>
          </cell>
        </row>
        <row r="1835">
          <cell r="E1835">
            <v>100</v>
          </cell>
        </row>
        <row r="1836">
          <cell r="E1836">
            <v>250</v>
          </cell>
        </row>
        <row r="1837">
          <cell r="E1837">
            <v>870</v>
          </cell>
        </row>
        <row r="1838">
          <cell r="E1838">
            <v>2135</v>
          </cell>
        </row>
        <row r="1839">
          <cell r="E1839">
            <v>140</v>
          </cell>
        </row>
        <row r="1840">
          <cell r="E1840">
            <v>730</v>
          </cell>
        </row>
        <row r="1841">
          <cell r="E1841">
            <v>51</v>
          </cell>
        </row>
        <row r="1842">
          <cell r="E1842">
            <v>965</v>
          </cell>
        </row>
        <row r="1843">
          <cell r="E1843">
            <v>195</v>
          </cell>
        </row>
        <row r="1844">
          <cell r="E1844">
            <v>500</v>
          </cell>
        </row>
        <row r="1845">
          <cell r="E1845">
            <v>310</v>
          </cell>
        </row>
        <row r="1846">
          <cell r="E1846">
            <v>140</v>
          </cell>
        </row>
        <row r="1847">
          <cell r="E1847">
            <v>65</v>
          </cell>
        </row>
        <row r="1848">
          <cell r="E1848">
            <v>29</v>
          </cell>
        </row>
        <row r="1849">
          <cell r="E1849">
            <v>125</v>
          </cell>
        </row>
        <row r="1850">
          <cell r="E1850">
            <v>50</v>
          </cell>
        </row>
        <row r="1851">
          <cell r="E1851">
            <v>125</v>
          </cell>
        </row>
        <row r="1852">
          <cell r="E1852">
            <v>90</v>
          </cell>
        </row>
        <row r="1853">
          <cell r="E1853">
            <v>105</v>
          </cell>
        </row>
        <row r="1854">
          <cell r="E1854">
            <v>345</v>
          </cell>
        </row>
        <row r="1855">
          <cell r="E1855">
            <v>2530</v>
          </cell>
        </row>
        <row r="1856">
          <cell r="E1856">
            <v>445</v>
          </cell>
        </row>
        <row r="1857">
          <cell r="E1857">
            <v>36</v>
          </cell>
        </row>
        <row r="1858">
          <cell r="E1858">
            <v>1880</v>
          </cell>
        </row>
        <row r="1859">
          <cell r="E1859">
            <v>210</v>
          </cell>
        </row>
        <row r="1860">
          <cell r="E1860">
            <v>508</v>
          </cell>
        </row>
        <row r="1861">
          <cell r="E1861">
            <v>100</v>
          </cell>
        </row>
        <row r="1862">
          <cell r="E1862">
            <v>100</v>
          </cell>
        </row>
        <row r="1863">
          <cell r="E1863">
            <v>1300</v>
          </cell>
        </row>
        <row r="1864">
          <cell r="E1864">
            <v>170</v>
          </cell>
        </row>
        <row r="1865">
          <cell r="E1865">
            <v>540</v>
          </cell>
        </row>
        <row r="1866">
          <cell r="E1866">
            <v>100</v>
          </cell>
        </row>
        <row r="1867">
          <cell r="E1867">
            <v>160</v>
          </cell>
        </row>
        <row r="1868">
          <cell r="E1868">
            <v>170</v>
          </cell>
        </row>
        <row r="1869">
          <cell r="E1869">
            <v>4750</v>
          </cell>
        </row>
        <row r="1870">
          <cell r="E1870">
            <v>16</v>
          </cell>
        </row>
        <row r="1871">
          <cell r="E1871">
            <v>185</v>
          </cell>
        </row>
        <row r="1872">
          <cell r="E1872">
            <v>400</v>
          </cell>
        </row>
        <row r="1873">
          <cell r="E1873">
            <v>75</v>
          </cell>
        </row>
        <row r="1874">
          <cell r="E1874">
            <v>100</v>
          </cell>
        </row>
        <row r="1875">
          <cell r="E1875">
            <v>4950</v>
          </cell>
        </row>
        <row r="1876">
          <cell r="E1876">
            <v>4075</v>
          </cell>
        </row>
        <row r="1877">
          <cell r="E1877">
            <v>5</v>
          </cell>
        </row>
        <row r="1878">
          <cell r="E1878">
            <v>18</v>
          </cell>
        </row>
        <row r="1879">
          <cell r="E1879">
            <v>50</v>
          </cell>
        </row>
        <row r="1880">
          <cell r="E1880">
            <v>105</v>
          </cell>
        </row>
        <row r="1881">
          <cell r="E1881">
            <v>190</v>
          </cell>
        </row>
        <row r="1882">
          <cell r="E1882">
            <v>85</v>
          </cell>
        </row>
        <row r="1883">
          <cell r="E1883">
            <v>90</v>
          </cell>
        </row>
        <row r="1884">
          <cell r="E1884">
            <v>110</v>
          </cell>
        </row>
        <row r="1885">
          <cell r="E1885">
            <v>15</v>
          </cell>
        </row>
        <row r="1886">
          <cell r="E1886">
            <v>72</v>
          </cell>
        </row>
        <row r="1887">
          <cell r="E1887">
            <v>275</v>
          </cell>
        </row>
        <row r="1888">
          <cell r="E1888">
            <v>20</v>
          </cell>
        </row>
        <row r="1889">
          <cell r="E1889">
            <v>100</v>
          </cell>
        </row>
        <row r="1890">
          <cell r="E1890">
            <v>230</v>
          </cell>
        </row>
        <row r="1891">
          <cell r="E1891">
            <v>10000</v>
          </cell>
        </row>
        <row r="1893">
          <cell r="E1893">
            <v>315</v>
          </cell>
        </row>
        <row r="1894">
          <cell r="E1894">
            <v>6200</v>
          </cell>
        </row>
        <row r="1895">
          <cell r="E1895">
            <v>3308</v>
          </cell>
        </row>
        <row r="1896">
          <cell r="E1896">
            <v>530</v>
          </cell>
        </row>
        <row r="1897">
          <cell r="E1897">
            <v>6670</v>
          </cell>
        </row>
        <row r="1898">
          <cell r="E1898">
            <v>100</v>
          </cell>
        </row>
        <row r="1899">
          <cell r="E1899">
            <v>15</v>
          </cell>
        </row>
        <row r="1900">
          <cell r="E1900">
            <v>280</v>
          </cell>
        </row>
        <row r="1901">
          <cell r="E1901">
            <v>165</v>
          </cell>
        </row>
        <row r="1902">
          <cell r="E1902">
            <v>160</v>
          </cell>
        </row>
        <row r="1903">
          <cell r="E1903">
            <v>84</v>
          </cell>
        </row>
        <row r="1904">
          <cell r="E1904">
            <v>95</v>
          </cell>
        </row>
        <row r="1905">
          <cell r="E1905">
            <v>158</v>
          </cell>
        </row>
        <row r="1906">
          <cell r="E1906">
            <v>312</v>
          </cell>
        </row>
        <row r="1907">
          <cell r="E1907">
            <v>1520</v>
          </cell>
        </row>
        <row r="1908">
          <cell r="E1908">
            <v>5475</v>
          </cell>
        </row>
        <row r="1909">
          <cell r="E1909">
            <v>155</v>
          </cell>
        </row>
        <row r="1910">
          <cell r="E1910">
            <v>1500</v>
          </cell>
        </row>
        <row r="1911">
          <cell r="E1911">
            <v>10000</v>
          </cell>
        </row>
        <row r="1912">
          <cell r="E1912">
            <v>360</v>
          </cell>
        </row>
        <row r="1913">
          <cell r="E1913">
            <v>10000</v>
          </cell>
        </row>
        <row r="1914">
          <cell r="E1914">
            <v>6675</v>
          </cell>
        </row>
        <row r="1916">
          <cell r="E1916">
            <v>2843</v>
          </cell>
        </row>
        <row r="1917">
          <cell r="E1917">
            <v>2455</v>
          </cell>
        </row>
        <row r="1918">
          <cell r="E1918">
            <v>120</v>
          </cell>
        </row>
        <row r="1919">
          <cell r="E1919">
            <v>115</v>
          </cell>
        </row>
        <row r="1920">
          <cell r="E1920">
            <v>270</v>
          </cell>
        </row>
        <row r="1921">
          <cell r="E1921">
            <v>6</v>
          </cell>
        </row>
        <row r="1922">
          <cell r="E1922">
            <v>535</v>
          </cell>
        </row>
        <row r="1923">
          <cell r="E1923">
            <v>1065</v>
          </cell>
        </row>
        <row r="1924">
          <cell r="E1924">
            <v>1335</v>
          </cell>
        </row>
        <row r="1925">
          <cell r="E1925">
            <v>1585</v>
          </cell>
        </row>
        <row r="1926">
          <cell r="E1926">
            <v>736</v>
          </cell>
        </row>
        <row r="1927">
          <cell r="E1927">
            <v>572</v>
          </cell>
        </row>
        <row r="1928">
          <cell r="E1928">
            <v>80</v>
          </cell>
        </row>
        <row r="1929">
          <cell r="E1929">
            <v>1000</v>
          </cell>
        </row>
        <row r="1930">
          <cell r="E1930">
            <v>4600</v>
          </cell>
        </row>
        <row r="1931">
          <cell r="E1931">
            <v>14855</v>
          </cell>
        </row>
        <row r="1932">
          <cell r="E1932">
            <v>775</v>
          </cell>
        </row>
        <row r="1933">
          <cell r="E1933">
            <v>5550</v>
          </cell>
        </row>
        <row r="1934">
          <cell r="E1934">
            <v>195</v>
          </cell>
        </row>
        <row r="1935">
          <cell r="E1935">
            <v>100</v>
          </cell>
        </row>
        <row r="1936">
          <cell r="E1936">
            <v>2000</v>
          </cell>
        </row>
        <row r="1937">
          <cell r="E1937">
            <v>5000</v>
          </cell>
        </row>
        <row r="1938">
          <cell r="E1938">
            <v>950</v>
          </cell>
        </row>
        <row r="1939">
          <cell r="E1939">
            <v>11720</v>
          </cell>
        </row>
        <row r="1940">
          <cell r="E1940">
            <v>200</v>
          </cell>
        </row>
        <row r="1941">
          <cell r="E1941">
            <v>5000</v>
          </cell>
        </row>
        <row r="1942">
          <cell r="E1942">
            <v>4290</v>
          </cell>
        </row>
        <row r="1943">
          <cell r="E1943">
            <v>20</v>
          </cell>
        </row>
        <row r="1944">
          <cell r="E1944">
            <v>345</v>
          </cell>
        </row>
        <row r="1945">
          <cell r="E1945">
            <v>2000</v>
          </cell>
        </row>
        <row r="1946">
          <cell r="E1946">
            <v>195</v>
          </cell>
        </row>
        <row r="1947">
          <cell r="E1947">
            <v>1600</v>
          </cell>
        </row>
        <row r="1948">
          <cell r="E1948">
            <v>250</v>
          </cell>
        </row>
        <row r="1949">
          <cell r="E1949">
            <v>170</v>
          </cell>
        </row>
        <row r="1950">
          <cell r="E1950">
            <v>495</v>
          </cell>
        </row>
        <row r="1951">
          <cell r="E1951">
            <v>50</v>
          </cell>
        </row>
        <row r="1952">
          <cell r="E1952">
            <v>140</v>
          </cell>
        </row>
        <row r="1953">
          <cell r="E1953">
            <v>7350</v>
          </cell>
        </row>
        <row r="1954">
          <cell r="E1954">
            <v>225</v>
          </cell>
        </row>
        <row r="1955">
          <cell r="E1955">
            <v>6585</v>
          </cell>
        </row>
        <row r="1956">
          <cell r="E1956">
            <v>100</v>
          </cell>
        </row>
        <row r="1957">
          <cell r="E1957">
            <v>14</v>
          </cell>
        </row>
        <row r="1958">
          <cell r="E1958">
            <v>110</v>
          </cell>
        </row>
        <row r="1959">
          <cell r="E1959">
            <v>2500</v>
          </cell>
        </row>
        <row r="1960">
          <cell r="E1960">
            <v>110</v>
          </cell>
        </row>
        <row r="1961">
          <cell r="E1961">
            <v>215</v>
          </cell>
        </row>
        <row r="1962">
          <cell r="E1962">
            <v>80</v>
          </cell>
        </row>
        <row r="1963">
          <cell r="E1963">
            <v>160</v>
          </cell>
        </row>
        <row r="1964">
          <cell r="E1964">
            <v>185</v>
          </cell>
        </row>
        <row r="1965">
          <cell r="E1965">
            <v>286</v>
          </cell>
        </row>
        <row r="1966">
          <cell r="E1966">
            <v>123</v>
          </cell>
        </row>
        <row r="1967">
          <cell r="E1967">
            <v>110</v>
          </cell>
        </row>
        <row r="1968">
          <cell r="E1968">
            <v>75</v>
          </cell>
        </row>
        <row r="1969">
          <cell r="E1969">
            <v>140</v>
          </cell>
        </row>
        <row r="1970">
          <cell r="E1970">
            <v>75</v>
          </cell>
        </row>
        <row r="1971">
          <cell r="E1971">
            <v>110</v>
          </cell>
        </row>
        <row r="1972">
          <cell r="E1972">
            <v>90</v>
          </cell>
        </row>
        <row r="1973">
          <cell r="E1973">
            <v>270</v>
          </cell>
        </row>
        <row r="1974">
          <cell r="E1974">
            <v>20</v>
          </cell>
        </row>
        <row r="1975">
          <cell r="E1975">
            <v>750</v>
          </cell>
        </row>
        <row r="1976">
          <cell r="E1976">
            <v>11</v>
          </cell>
        </row>
        <row r="1977">
          <cell r="E1977">
            <v>261</v>
          </cell>
        </row>
        <row r="1978">
          <cell r="E1978">
            <v>100</v>
          </cell>
        </row>
        <row r="1979">
          <cell r="E1979">
            <v>110</v>
          </cell>
        </row>
        <row r="1980">
          <cell r="E1980">
            <v>180</v>
          </cell>
        </row>
        <row r="1981">
          <cell r="E1981">
            <v>65</v>
          </cell>
        </row>
        <row r="1982">
          <cell r="E1982">
            <v>130</v>
          </cell>
        </row>
        <row r="1983">
          <cell r="E1983">
            <v>90</v>
          </cell>
        </row>
        <row r="1984">
          <cell r="E1984">
            <v>270</v>
          </cell>
        </row>
        <row r="1985">
          <cell r="E1985">
            <v>250</v>
          </cell>
        </row>
        <row r="1986">
          <cell r="E1986">
            <v>3765</v>
          </cell>
        </row>
        <row r="1987">
          <cell r="E1987">
            <v>1925</v>
          </cell>
        </row>
        <row r="1990">
          <cell r="E1990">
            <v>365</v>
          </cell>
        </row>
        <row r="1991">
          <cell r="E1991">
            <v>1685</v>
          </cell>
        </row>
        <row r="1992">
          <cell r="E1992">
            <v>275</v>
          </cell>
        </row>
        <row r="1993">
          <cell r="E1993">
            <v>1495</v>
          </cell>
        </row>
        <row r="1994">
          <cell r="E1994">
            <v>46200</v>
          </cell>
        </row>
        <row r="1995">
          <cell r="E1995">
            <v>1710</v>
          </cell>
        </row>
        <row r="1996">
          <cell r="E1996">
            <v>190</v>
          </cell>
        </row>
        <row r="1997">
          <cell r="E1997">
            <v>300</v>
          </cell>
        </row>
        <row r="1998">
          <cell r="E1998">
            <v>30</v>
          </cell>
        </row>
        <row r="1999">
          <cell r="E1999">
            <v>70</v>
          </cell>
        </row>
        <row r="2000">
          <cell r="E2000">
            <v>285</v>
          </cell>
        </row>
        <row r="2001">
          <cell r="E2001">
            <v>180</v>
          </cell>
        </row>
        <row r="2002">
          <cell r="E2002">
            <v>6130</v>
          </cell>
        </row>
        <row r="2003">
          <cell r="E2003">
            <v>4500</v>
          </cell>
        </row>
        <row r="2004">
          <cell r="E2004">
            <v>20</v>
          </cell>
        </row>
        <row r="2005">
          <cell r="E2005">
            <v>1190</v>
          </cell>
        </row>
        <row r="2006">
          <cell r="E2006">
            <v>310</v>
          </cell>
        </row>
        <row r="2007">
          <cell r="E2007">
            <v>70</v>
          </cell>
        </row>
        <row r="2008">
          <cell r="E2008">
            <v>322</v>
          </cell>
        </row>
        <row r="2010">
          <cell r="E2010">
            <v>7795</v>
          </cell>
        </row>
        <row r="2011">
          <cell r="E2011">
            <v>345</v>
          </cell>
        </row>
        <row r="2012">
          <cell r="E2012">
            <v>15</v>
          </cell>
        </row>
        <row r="2013">
          <cell r="E2013">
            <v>6385</v>
          </cell>
        </row>
        <row r="2014">
          <cell r="E2014">
            <v>575</v>
          </cell>
        </row>
        <row r="2015">
          <cell r="E2015">
            <v>12175</v>
          </cell>
        </row>
        <row r="2016">
          <cell r="E2016">
            <v>7060</v>
          </cell>
        </row>
        <row r="2017">
          <cell r="E2017">
            <v>30620</v>
          </cell>
        </row>
        <row r="2018">
          <cell r="E2018">
            <v>2000</v>
          </cell>
        </row>
        <row r="2019">
          <cell r="E2019">
            <v>1360</v>
          </cell>
        </row>
        <row r="2021">
          <cell r="E2021">
            <v>25</v>
          </cell>
        </row>
        <row r="2022">
          <cell r="E2022">
            <v>50</v>
          </cell>
        </row>
        <row r="2023">
          <cell r="E2023">
            <v>115</v>
          </cell>
        </row>
        <row r="2024">
          <cell r="E2024">
            <v>990</v>
          </cell>
        </row>
        <row r="2025">
          <cell r="E2025">
            <v>5250</v>
          </cell>
        </row>
        <row r="2026">
          <cell r="E2026">
            <v>5000</v>
          </cell>
        </row>
        <row r="2027">
          <cell r="E2027">
            <v>1270</v>
          </cell>
        </row>
        <row r="2028">
          <cell r="E2028">
            <v>90</v>
          </cell>
        </row>
        <row r="2029">
          <cell r="E2029">
            <v>2000</v>
          </cell>
        </row>
        <row r="2030">
          <cell r="E2030">
            <v>150</v>
          </cell>
        </row>
        <row r="2031">
          <cell r="E2031">
            <v>190</v>
          </cell>
        </row>
        <row r="2032">
          <cell r="E2032">
            <v>1300</v>
          </cell>
        </row>
        <row r="2033">
          <cell r="E2033">
            <v>415</v>
          </cell>
        </row>
        <row r="2034">
          <cell r="E2034">
            <v>1635</v>
          </cell>
        </row>
        <row r="2035">
          <cell r="E2035">
            <v>2475</v>
          </cell>
        </row>
        <row r="2036">
          <cell r="E2036">
            <v>1000</v>
          </cell>
        </row>
        <row r="2037">
          <cell r="E2037">
            <v>120</v>
          </cell>
        </row>
        <row r="2038">
          <cell r="E2038">
            <v>90</v>
          </cell>
        </row>
        <row r="2039">
          <cell r="E2039">
            <v>30</v>
          </cell>
        </row>
        <row r="2040">
          <cell r="E2040">
            <v>18</v>
          </cell>
        </row>
        <row r="2041">
          <cell r="E2041">
            <v>210</v>
          </cell>
        </row>
        <row r="2042">
          <cell r="E2042">
            <v>67</v>
          </cell>
        </row>
        <row r="2043">
          <cell r="E2043">
            <v>120</v>
          </cell>
        </row>
        <row r="2044">
          <cell r="E2044">
            <v>310</v>
          </cell>
        </row>
        <row r="2045">
          <cell r="E2045">
            <v>150</v>
          </cell>
        </row>
        <row r="2046">
          <cell r="E2046">
            <v>140</v>
          </cell>
        </row>
        <row r="2047">
          <cell r="E2047">
            <v>140</v>
          </cell>
        </row>
        <row r="2048">
          <cell r="E2048">
            <v>1520</v>
          </cell>
        </row>
        <row r="2049">
          <cell r="E2049">
            <v>50</v>
          </cell>
        </row>
        <row r="2050">
          <cell r="E2050">
            <v>2530</v>
          </cell>
        </row>
        <row r="2051">
          <cell r="E2051">
            <v>1627</v>
          </cell>
        </row>
        <row r="2052">
          <cell r="E2052">
            <v>608</v>
          </cell>
        </row>
        <row r="2053">
          <cell r="E2053">
            <v>950</v>
          </cell>
        </row>
        <row r="2054">
          <cell r="E2054">
            <v>175</v>
          </cell>
        </row>
        <row r="2055">
          <cell r="E2055">
            <v>610</v>
          </cell>
        </row>
        <row r="2056">
          <cell r="E2056">
            <v>840</v>
          </cell>
        </row>
        <row r="2057">
          <cell r="E2057">
            <v>1405</v>
          </cell>
        </row>
        <row r="2058">
          <cell r="E2058">
            <v>170</v>
          </cell>
        </row>
        <row r="2059">
          <cell r="E2059">
            <v>110</v>
          </cell>
        </row>
        <row r="2060">
          <cell r="E2060">
            <v>216</v>
          </cell>
        </row>
        <row r="2061">
          <cell r="E2061">
            <v>68</v>
          </cell>
        </row>
        <row r="2062">
          <cell r="E2062">
            <v>90</v>
          </cell>
        </row>
        <row r="2063">
          <cell r="E2063">
            <v>210</v>
          </cell>
        </row>
        <row r="2064">
          <cell r="E2064">
            <v>160</v>
          </cell>
        </row>
        <row r="2065">
          <cell r="E2065">
            <v>150</v>
          </cell>
        </row>
        <row r="2066">
          <cell r="E2066">
            <v>50</v>
          </cell>
        </row>
        <row r="2067">
          <cell r="E2067">
            <v>70</v>
          </cell>
        </row>
        <row r="2068">
          <cell r="E2068">
            <v>150</v>
          </cell>
        </row>
        <row r="2069">
          <cell r="E2069">
            <v>90</v>
          </cell>
        </row>
        <row r="2070">
          <cell r="E2070">
            <v>75</v>
          </cell>
        </row>
        <row r="2071">
          <cell r="E2071">
            <v>72</v>
          </cell>
        </row>
        <row r="2072">
          <cell r="E2072">
            <v>15</v>
          </cell>
        </row>
        <row r="2073">
          <cell r="E2073">
            <v>70</v>
          </cell>
        </row>
        <row r="2074">
          <cell r="E2074">
            <v>22</v>
          </cell>
        </row>
        <row r="2075">
          <cell r="E2075">
            <v>100</v>
          </cell>
        </row>
        <row r="2076">
          <cell r="E2076">
            <v>100</v>
          </cell>
        </row>
        <row r="2077">
          <cell r="E2077">
            <v>100</v>
          </cell>
        </row>
        <row r="2078">
          <cell r="E2078">
            <v>7540</v>
          </cell>
        </row>
        <row r="2079">
          <cell r="E2079">
            <v>190</v>
          </cell>
        </row>
        <row r="2080">
          <cell r="E2080">
            <v>1055</v>
          </cell>
        </row>
        <row r="2082">
          <cell r="E2082">
            <v>5000</v>
          </cell>
        </row>
        <row r="2083">
          <cell r="E2083">
            <v>2166</v>
          </cell>
        </row>
        <row r="2084">
          <cell r="E2084">
            <v>105</v>
          </cell>
        </row>
        <row r="2085">
          <cell r="E2085">
            <v>240</v>
          </cell>
        </row>
        <row r="2086">
          <cell r="E2086">
            <v>490</v>
          </cell>
        </row>
        <row r="2087">
          <cell r="E2087">
            <v>1420</v>
          </cell>
        </row>
        <row r="2088">
          <cell r="E2088">
            <v>3000</v>
          </cell>
        </row>
        <row r="2089">
          <cell r="E2089">
            <v>245</v>
          </cell>
        </row>
        <row r="2090">
          <cell r="E2090">
            <v>2072</v>
          </cell>
        </row>
        <row r="2091">
          <cell r="E2091">
            <v>5000</v>
          </cell>
        </row>
        <row r="2092">
          <cell r="E2092">
            <v>1527</v>
          </cell>
        </row>
        <row r="2093">
          <cell r="E2093">
            <v>50</v>
          </cell>
        </row>
        <row r="2094">
          <cell r="E2094">
            <v>30</v>
          </cell>
        </row>
        <row r="2095">
          <cell r="E2095">
            <v>170</v>
          </cell>
        </row>
        <row r="2096">
          <cell r="E2096">
            <v>275</v>
          </cell>
        </row>
        <row r="2097">
          <cell r="E2097">
            <v>40</v>
          </cell>
        </row>
        <row r="2098">
          <cell r="E2098">
            <v>20</v>
          </cell>
        </row>
        <row r="2099">
          <cell r="E2099">
            <v>160</v>
          </cell>
        </row>
        <row r="2100">
          <cell r="E2100">
            <v>740</v>
          </cell>
        </row>
        <row r="2101">
          <cell r="E2101">
            <v>740</v>
          </cell>
        </row>
        <row r="2102">
          <cell r="E2102">
            <v>3310</v>
          </cell>
        </row>
        <row r="2103">
          <cell r="E2103">
            <v>75</v>
          </cell>
        </row>
        <row r="2104">
          <cell r="E2104">
            <v>125</v>
          </cell>
        </row>
        <row r="2105">
          <cell r="E2105">
            <v>1800</v>
          </cell>
        </row>
        <row r="2106">
          <cell r="E2106">
            <v>420</v>
          </cell>
        </row>
        <row r="2107">
          <cell r="E2107">
            <v>5000</v>
          </cell>
        </row>
        <row r="2108">
          <cell r="E2108">
            <v>200</v>
          </cell>
        </row>
        <row r="2109">
          <cell r="E2109">
            <v>1660</v>
          </cell>
        </row>
        <row r="2110">
          <cell r="E2110">
            <v>95</v>
          </cell>
        </row>
        <row r="2111">
          <cell r="E2111">
            <v>150</v>
          </cell>
        </row>
        <row r="2113">
          <cell r="E2113">
            <v>655</v>
          </cell>
        </row>
        <row r="2114">
          <cell r="E2114">
            <v>788</v>
          </cell>
        </row>
        <row r="2115">
          <cell r="E2115">
            <v>1100</v>
          </cell>
        </row>
        <row r="2116">
          <cell r="E2116">
            <v>2186</v>
          </cell>
        </row>
        <row r="2117">
          <cell r="E2117">
            <v>520</v>
          </cell>
        </row>
        <row r="2118">
          <cell r="E2118">
            <v>280</v>
          </cell>
        </row>
        <row r="2119">
          <cell r="E2119">
            <v>695</v>
          </cell>
        </row>
        <row r="2120">
          <cell r="E2120">
            <v>460</v>
          </cell>
        </row>
        <row r="2121">
          <cell r="E2121">
            <v>750</v>
          </cell>
        </row>
        <row r="2122">
          <cell r="E2122">
            <v>1580</v>
          </cell>
        </row>
        <row r="2123">
          <cell r="E2123">
            <v>125</v>
          </cell>
        </row>
        <row r="2124">
          <cell r="E2124">
            <v>19</v>
          </cell>
        </row>
        <row r="2125">
          <cell r="E2125">
            <v>6425</v>
          </cell>
        </row>
        <row r="2126">
          <cell r="E2126">
            <v>5000</v>
          </cell>
        </row>
        <row r="2127">
          <cell r="E2127">
            <v>2340</v>
          </cell>
        </row>
        <row r="2128">
          <cell r="E2128">
            <v>5000</v>
          </cell>
        </row>
        <row r="2129">
          <cell r="E2129">
            <v>20000</v>
          </cell>
        </row>
        <row r="2130">
          <cell r="E2130">
            <v>5000</v>
          </cell>
        </row>
        <row r="2131">
          <cell r="E2131">
            <v>1405</v>
          </cell>
        </row>
        <row r="2132">
          <cell r="E2132">
            <v>2000</v>
          </cell>
        </row>
        <row r="2133">
          <cell r="E2133">
            <v>30</v>
          </cell>
        </row>
        <row r="2134">
          <cell r="E2134">
            <v>2630</v>
          </cell>
        </row>
        <row r="2135">
          <cell r="E2135">
            <v>1000</v>
          </cell>
        </row>
        <row r="2136">
          <cell r="E2136">
            <v>190</v>
          </cell>
        </row>
        <row r="2137">
          <cell r="E2137">
            <v>3000</v>
          </cell>
        </row>
        <row r="2138">
          <cell r="E2138">
            <v>51</v>
          </cell>
        </row>
        <row r="2139">
          <cell r="E2139">
            <v>20</v>
          </cell>
        </row>
        <row r="2140">
          <cell r="E2140">
            <v>100</v>
          </cell>
        </row>
        <row r="2141">
          <cell r="E2141">
            <v>100</v>
          </cell>
        </row>
        <row r="2142">
          <cell r="E2142">
            <v>20</v>
          </cell>
        </row>
        <row r="2143">
          <cell r="E2143">
            <v>420</v>
          </cell>
        </row>
        <row r="2144">
          <cell r="E2144">
            <v>118</v>
          </cell>
        </row>
        <row r="2145">
          <cell r="E2145">
            <v>3082</v>
          </cell>
        </row>
        <row r="2146">
          <cell r="E2146">
            <v>225</v>
          </cell>
        </row>
        <row r="2147">
          <cell r="E2147">
            <v>18000</v>
          </cell>
        </row>
        <row r="2148">
          <cell r="E2148">
            <v>140</v>
          </cell>
        </row>
        <row r="2149">
          <cell r="E2149">
            <v>354</v>
          </cell>
        </row>
        <row r="2150">
          <cell r="E2150">
            <v>205</v>
          </cell>
        </row>
        <row r="2151">
          <cell r="E2151">
            <v>168</v>
          </cell>
        </row>
        <row r="2152">
          <cell r="E2152">
            <v>40</v>
          </cell>
        </row>
        <row r="2153">
          <cell r="E2153">
            <v>120</v>
          </cell>
        </row>
        <row r="2154">
          <cell r="E2154">
            <v>120</v>
          </cell>
        </row>
        <row r="2155">
          <cell r="E2155">
            <v>68</v>
          </cell>
        </row>
        <row r="2156">
          <cell r="E2156">
            <v>260</v>
          </cell>
        </row>
        <row r="2157">
          <cell r="E2157">
            <v>140</v>
          </cell>
        </row>
        <row r="2158">
          <cell r="E2158">
            <v>140</v>
          </cell>
        </row>
        <row r="2159">
          <cell r="E2159">
            <v>190</v>
          </cell>
        </row>
        <row r="2160">
          <cell r="E2160">
            <v>2320</v>
          </cell>
        </row>
        <row r="2161">
          <cell r="E2161">
            <v>1060</v>
          </cell>
        </row>
        <row r="2162">
          <cell r="E2162">
            <v>1425</v>
          </cell>
        </row>
        <row r="2163">
          <cell r="E2163">
            <v>50</v>
          </cell>
        </row>
        <row r="2164">
          <cell r="E2164">
            <v>95</v>
          </cell>
        </row>
        <row r="2165">
          <cell r="E2165">
            <v>80</v>
          </cell>
        </row>
        <row r="2166">
          <cell r="E2166">
            <v>215</v>
          </cell>
        </row>
        <row r="2167">
          <cell r="E2167">
            <v>100</v>
          </cell>
        </row>
        <row r="2168">
          <cell r="E2168">
            <v>80</v>
          </cell>
        </row>
        <row r="2169">
          <cell r="E2169">
            <v>130</v>
          </cell>
        </row>
        <row r="2171">
          <cell r="E2171">
            <v>3000</v>
          </cell>
        </row>
        <row r="2172">
          <cell r="E2172">
            <v>15000</v>
          </cell>
        </row>
        <row r="2174">
          <cell r="E2174">
            <v>460</v>
          </cell>
        </row>
        <row r="2175">
          <cell r="E2175">
            <v>940</v>
          </cell>
        </row>
        <row r="2176">
          <cell r="E2176">
            <v>1730</v>
          </cell>
        </row>
        <row r="2177">
          <cell r="E2177">
            <v>453</v>
          </cell>
        </row>
        <row r="2178">
          <cell r="E2178">
            <v>545</v>
          </cell>
        </row>
        <row r="2179">
          <cell r="E2179">
            <v>40</v>
          </cell>
        </row>
        <row r="2180">
          <cell r="E2180">
            <v>30</v>
          </cell>
        </row>
        <row r="2181">
          <cell r="E2181">
            <v>20</v>
          </cell>
        </row>
        <row r="2182">
          <cell r="E2182">
            <v>10</v>
          </cell>
        </row>
        <row r="2183">
          <cell r="E2183">
            <v>10</v>
          </cell>
        </row>
        <row r="2184">
          <cell r="E2184">
            <v>15</v>
          </cell>
        </row>
        <row r="2185">
          <cell r="E2185">
            <v>195</v>
          </cell>
        </row>
        <row r="2186">
          <cell r="E2186">
            <v>175</v>
          </cell>
        </row>
        <row r="2187">
          <cell r="E2187">
            <v>180</v>
          </cell>
        </row>
        <row r="2188">
          <cell r="E2188">
            <v>275</v>
          </cell>
        </row>
        <row r="2189">
          <cell r="E2189">
            <v>2645</v>
          </cell>
        </row>
        <row r="2190">
          <cell r="E2190">
            <v>610</v>
          </cell>
        </row>
        <row r="2191">
          <cell r="E2191">
            <v>3320</v>
          </cell>
        </row>
        <row r="2192">
          <cell r="E2192">
            <v>466</v>
          </cell>
        </row>
        <row r="2193">
          <cell r="E2193">
            <v>1000</v>
          </cell>
        </row>
        <row r="2194">
          <cell r="E2194">
            <v>75</v>
          </cell>
        </row>
        <row r="2195">
          <cell r="E2195">
            <v>8</v>
          </cell>
        </row>
        <row r="2196">
          <cell r="E2196">
            <v>133</v>
          </cell>
        </row>
        <row r="2197">
          <cell r="E2197">
            <v>114</v>
          </cell>
        </row>
        <row r="2198">
          <cell r="E2198">
            <v>125040</v>
          </cell>
        </row>
        <row r="2199">
          <cell r="E2199">
            <v>195</v>
          </cell>
        </row>
        <row r="2200">
          <cell r="E2200">
            <v>1580</v>
          </cell>
        </row>
        <row r="2201">
          <cell r="E2201">
            <v>5000</v>
          </cell>
        </row>
        <row r="2202">
          <cell r="E2202">
            <v>990</v>
          </cell>
        </row>
        <row r="2203">
          <cell r="E2203">
            <v>18</v>
          </cell>
        </row>
        <row r="2204">
          <cell r="E2204">
            <v>11286</v>
          </cell>
        </row>
        <row r="2205">
          <cell r="E2205">
            <v>240</v>
          </cell>
        </row>
        <row r="2206">
          <cell r="E2206">
            <v>50</v>
          </cell>
        </row>
        <row r="2207">
          <cell r="E2207">
            <v>260</v>
          </cell>
        </row>
        <row r="2208">
          <cell r="E2208">
            <v>100</v>
          </cell>
        </row>
        <row r="2209">
          <cell r="E2209">
            <v>185</v>
          </cell>
        </row>
        <row r="2210">
          <cell r="E2210">
            <v>165</v>
          </cell>
        </row>
        <row r="2211">
          <cell r="E2211">
            <v>95</v>
          </cell>
        </row>
        <row r="2212">
          <cell r="E2212">
            <v>1290</v>
          </cell>
        </row>
        <row r="2213">
          <cell r="E2213">
            <v>10000</v>
          </cell>
        </row>
        <row r="2214">
          <cell r="E2214">
            <v>210</v>
          </cell>
        </row>
        <row r="2215">
          <cell r="E2215">
            <v>142</v>
          </cell>
        </row>
        <row r="2216">
          <cell r="E2216">
            <v>23</v>
          </cell>
        </row>
        <row r="2217">
          <cell r="E2217">
            <v>120</v>
          </cell>
        </row>
        <row r="2218">
          <cell r="E2218">
            <v>667</v>
          </cell>
        </row>
        <row r="2219">
          <cell r="E2219">
            <v>140</v>
          </cell>
        </row>
        <row r="2220">
          <cell r="E2220">
            <v>250</v>
          </cell>
        </row>
        <row r="2221">
          <cell r="E2221">
            <v>135</v>
          </cell>
        </row>
        <row r="2222">
          <cell r="E2222">
            <v>90</v>
          </cell>
        </row>
        <row r="2223">
          <cell r="E2223">
            <v>370</v>
          </cell>
        </row>
        <row r="2224">
          <cell r="E2224">
            <v>140</v>
          </cell>
        </row>
        <row r="2225">
          <cell r="E2225">
            <v>400</v>
          </cell>
        </row>
        <row r="2226">
          <cell r="E2226">
            <v>2815</v>
          </cell>
        </row>
        <row r="2227">
          <cell r="E2227">
            <v>2645</v>
          </cell>
        </row>
        <row r="2228">
          <cell r="E2228">
            <v>350</v>
          </cell>
        </row>
        <row r="2229">
          <cell r="E2229">
            <v>2815</v>
          </cell>
        </row>
        <row r="2230">
          <cell r="E2230">
            <v>72</v>
          </cell>
        </row>
        <row r="2231">
          <cell r="E2231">
            <v>10</v>
          </cell>
        </row>
        <row r="2232">
          <cell r="E2232">
            <v>105</v>
          </cell>
        </row>
        <row r="2233">
          <cell r="E2233">
            <v>175</v>
          </cell>
        </row>
        <row r="2234">
          <cell r="E2234">
            <v>210</v>
          </cell>
        </row>
        <row r="2235">
          <cell r="E2235">
            <v>5100</v>
          </cell>
        </row>
        <row r="2236">
          <cell r="E2236">
            <v>100</v>
          </cell>
        </row>
        <row r="2237">
          <cell r="E2237">
            <v>1000</v>
          </cell>
        </row>
        <row r="2238">
          <cell r="E2238">
            <v>490</v>
          </cell>
        </row>
        <row r="2239">
          <cell r="E2239">
            <v>2720</v>
          </cell>
        </row>
        <row r="2240">
          <cell r="E2240">
            <v>150</v>
          </cell>
        </row>
        <row r="2241">
          <cell r="E2241">
            <v>190</v>
          </cell>
        </row>
        <row r="2242">
          <cell r="E2242">
            <v>90</v>
          </cell>
        </row>
        <row r="2243">
          <cell r="E2243">
            <v>95</v>
          </cell>
        </row>
        <row r="2244">
          <cell r="E2244">
            <v>70</v>
          </cell>
        </row>
        <row r="2245">
          <cell r="E2245">
            <v>60</v>
          </cell>
        </row>
        <row r="2246">
          <cell r="E2246">
            <v>115</v>
          </cell>
        </row>
        <row r="2247">
          <cell r="E2247">
            <v>20</v>
          </cell>
        </row>
        <row r="2248">
          <cell r="E2248">
            <v>120</v>
          </cell>
        </row>
        <row r="2249">
          <cell r="E2249">
            <v>175</v>
          </cell>
        </row>
        <row r="2250">
          <cell r="E2250">
            <v>52</v>
          </cell>
        </row>
        <row r="2251">
          <cell r="E2251">
            <v>165</v>
          </cell>
        </row>
        <row r="2252">
          <cell r="E2252">
            <v>59</v>
          </cell>
        </row>
        <row r="2253">
          <cell r="E2253">
            <v>200</v>
          </cell>
        </row>
        <row r="2254">
          <cell r="E2254">
            <v>100</v>
          </cell>
        </row>
        <row r="2256">
          <cell r="E2256">
            <v>122</v>
          </cell>
        </row>
        <row r="2257">
          <cell r="E2257">
            <v>270</v>
          </cell>
        </row>
        <row r="2258">
          <cell r="E2258">
            <v>170</v>
          </cell>
        </row>
        <row r="2259">
          <cell r="E2259">
            <v>200</v>
          </cell>
        </row>
        <row r="2260">
          <cell r="E2260">
            <v>20</v>
          </cell>
        </row>
        <row r="2261">
          <cell r="E2261">
            <v>20</v>
          </cell>
        </row>
        <row r="2262">
          <cell r="E2262">
            <v>27</v>
          </cell>
        </row>
        <row r="2263">
          <cell r="E2263">
            <v>2400</v>
          </cell>
        </row>
        <row r="2264">
          <cell r="E2264">
            <v>2873</v>
          </cell>
        </row>
        <row r="2265">
          <cell r="E2265">
            <v>1120</v>
          </cell>
        </row>
        <row r="2266">
          <cell r="E2266">
            <v>3485</v>
          </cell>
        </row>
        <row r="2267">
          <cell r="E2267">
            <v>1415</v>
          </cell>
        </row>
        <row r="2268">
          <cell r="E2268">
            <v>115</v>
          </cell>
        </row>
        <row r="2269">
          <cell r="E2269">
            <v>320</v>
          </cell>
        </row>
        <row r="2270">
          <cell r="E2270">
            <v>125</v>
          </cell>
        </row>
        <row r="2271">
          <cell r="E2271">
            <v>75</v>
          </cell>
        </row>
        <row r="2272">
          <cell r="E2272">
            <v>195</v>
          </cell>
        </row>
        <row r="2273">
          <cell r="E2273">
            <v>305</v>
          </cell>
        </row>
        <row r="2274">
          <cell r="E2274">
            <v>490</v>
          </cell>
        </row>
        <row r="2276">
          <cell r="E2276">
            <v>10000</v>
          </cell>
        </row>
        <row r="2277">
          <cell r="E2277">
            <v>240</v>
          </cell>
        </row>
        <row r="2278">
          <cell r="E2278">
            <v>31</v>
          </cell>
        </row>
        <row r="2279">
          <cell r="E2279">
            <v>9</v>
          </cell>
        </row>
        <row r="2280">
          <cell r="E2280">
            <v>50</v>
          </cell>
        </row>
        <row r="2281">
          <cell r="E2281">
            <v>260</v>
          </cell>
        </row>
        <row r="2282">
          <cell r="E2282">
            <v>2450</v>
          </cell>
        </row>
        <row r="2283">
          <cell r="E2283">
            <v>100000</v>
          </cell>
        </row>
        <row r="2285">
          <cell r="E2285">
            <v>5000</v>
          </cell>
        </row>
        <row r="2286">
          <cell r="E2286">
            <v>2000</v>
          </cell>
        </row>
        <row r="2287">
          <cell r="E2287">
            <v>5625</v>
          </cell>
        </row>
        <row r="2288">
          <cell r="E2288">
            <v>3340</v>
          </cell>
        </row>
        <row r="2289">
          <cell r="E2289">
            <v>6015</v>
          </cell>
        </row>
        <row r="2290">
          <cell r="E2290">
            <v>985</v>
          </cell>
        </row>
        <row r="2291">
          <cell r="E2291">
            <v>3635</v>
          </cell>
        </row>
        <row r="2292">
          <cell r="E2292">
            <v>95</v>
          </cell>
        </row>
        <row r="2293">
          <cell r="E2293">
            <v>70</v>
          </cell>
        </row>
        <row r="2294">
          <cell r="E2294">
            <v>2175</v>
          </cell>
        </row>
        <row r="2295">
          <cell r="E2295">
            <v>1325</v>
          </cell>
        </row>
        <row r="2296">
          <cell r="E2296">
            <v>195</v>
          </cell>
        </row>
        <row r="2297">
          <cell r="E2297">
            <v>120</v>
          </cell>
        </row>
        <row r="2298">
          <cell r="E2298">
            <v>630</v>
          </cell>
        </row>
        <row r="2299">
          <cell r="E2299">
            <v>100</v>
          </cell>
        </row>
        <row r="2300">
          <cell r="E2300">
            <v>1550</v>
          </cell>
        </row>
        <row r="2301">
          <cell r="E2301">
            <v>195</v>
          </cell>
        </row>
        <row r="2302">
          <cell r="E2302">
            <v>1380</v>
          </cell>
        </row>
        <row r="2303">
          <cell r="E2303">
            <v>15</v>
          </cell>
        </row>
        <row r="2304">
          <cell r="E2304">
            <v>750</v>
          </cell>
        </row>
        <row r="2305">
          <cell r="E2305">
            <v>10</v>
          </cell>
        </row>
        <row r="2306">
          <cell r="E2306">
            <v>280</v>
          </cell>
        </row>
        <row r="2307">
          <cell r="E2307">
            <v>170</v>
          </cell>
        </row>
        <row r="2308">
          <cell r="E2308">
            <v>100</v>
          </cell>
        </row>
        <row r="2309">
          <cell r="E2309">
            <v>170</v>
          </cell>
        </row>
        <row r="2310">
          <cell r="E2310">
            <v>4990</v>
          </cell>
        </row>
        <row r="2311">
          <cell r="E2311">
            <v>1200</v>
          </cell>
        </row>
        <row r="2312">
          <cell r="E2312">
            <v>3000</v>
          </cell>
        </row>
        <row r="2313">
          <cell r="E2313">
            <v>1230</v>
          </cell>
        </row>
        <row r="2314">
          <cell r="E2314">
            <v>175</v>
          </cell>
        </row>
        <row r="2315">
          <cell r="E2315">
            <v>75</v>
          </cell>
        </row>
        <row r="2316">
          <cell r="E2316">
            <v>85</v>
          </cell>
        </row>
        <row r="2317">
          <cell r="E2317">
            <v>710</v>
          </cell>
        </row>
        <row r="2318">
          <cell r="E2318">
            <v>260</v>
          </cell>
        </row>
        <row r="2319">
          <cell r="E2319">
            <v>3</v>
          </cell>
        </row>
        <row r="2320">
          <cell r="E2320">
            <v>190</v>
          </cell>
        </row>
        <row r="2321">
          <cell r="E2321">
            <v>100</v>
          </cell>
        </row>
        <row r="2322">
          <cell r="E2322">
            <v>140</v>
          </cell>
        </row>
        <row r="2323">
          <cell r="E2323">
            <v>45</v>
          </cell>
        </row>
        <row r="2324">
          <cell r="E2324">
            <v>120</v>
          </cell>
        </row>
        <row r="2325">
          <cell r="E2325">
            <v>70</v>
          </cell>
        </row>
        <row r="2326">
          <cell r="E2326">
            <v>635</v>
          </cell>
        </row>
        <row r="2327">
          <cell r="E2327">
            <v>350</v>
          </cell>
        </row>
        <row r="2328">
          <cell r="E2328">
            <v>990</v>
          </cell>
        </row>
        <row r="2329">
          <cell r="E2329">
            <v>115</v>
          </cell>
        </row>
        <row r="2330">
          <cell r="E2330">
            <v>70</v>
          </cell>
        </row>
        <row r="2331">
          <cell r="E2331">
            <v>110</v>
          </cell>
        </row>
        <row r="2332">
          <cell r="E2332">
            <v>100</v>
          </cell>
        </row>
        <row r="2333">
          <cell r="E2333">
            <v>210</v>
          </cell>
        </row>
        <row r="2334">
          <cell r="E2334">
            <v>195</v>
          </cell>
        </row>
        <row r="2335">
          <cell r="E2335">
            <v>145</v>
          </cell>
        </row>
        <row r="2336">
          <cell r="E2336">
            <v>160</v>
          </cell>
        </row>
        <row r="2337">
          <cell r="E2337">
            <v>60</v>
          </cell>
        </row>
        <row r="2338">
          <cell r="E2338">
            <v>410</v>
          </cell>
        </row>
        <row r="2339">
          <cell r="E2339">
            <v>290</v>
          </cell>
        </row>
        <row r="2340">
          <cell r="E2340">
            <v>120</v>
          </cell>
        </row>
        <row r="2341">
          <cell r="E2341">
            <v>580</v>
          </cell>
        </row>
        <row r="2342">
          <cell r="E2342">
            <v>3165</v>
          </cell>
        </row>
        <row r="2343">
          <cell r="E2343">
            <v>2625</v>
          </cell>
        </row>
        <row r="2344">
          <cell r="E2344">
            <v>105</v>
          </cell>
        </row>
        <row r="2345">
          <cell r="E2345">
            <v>5440</v>
          </cell>
        </row>
        <row r="2346">
          <cell r="E2346">
            <v>132</v>
          </cell>
        </row>
        <row r="2347">
          <cell r="E2347">
            <v>100</v>
          </cell>
        </row>
        <row r="2348">
          <cell r="E2348">
            <v>725</v>
          </cell>
        </row>
        <row r="2349">
          <cell r="E2349">
            <v>80</v>
          </cell>
        </row>
        <row r="2350">
          <cell r="E2350">
            <v>595</v>
          </cell>
        </row>
        <row r="2351">
          <cell r="E2351">
            <v>560</v>
          </cell>
        </row>
        <row r="2352">
          <cell r="E2352">
            <v>1500</v>
          </cell>
        </row>
        <row r="2353">
          <cell r="E2353">
            <v>3525</v>
          </cell>
        </row>
        <row r="2354">
          <cell r="E2354">
            <v>2640</v>
          </cell>
        </row>
        <row r="2355">
          <cell r="E2355">
            <v>13980</v>
          </cell>
        </row>
        <row r="2356">
          <cell r="E2356">
            <v>4000</v>
          </cell>
        </row>
        <row r="2357">
          <cell r="E2357">
            <v>15000</v>
          </cell>
        </row>
        <row r="2358">
          <cell r="E2358">
            <v>64</v>
          </cell>
        </row>
        <row r="2359">
          <cell r="E2359">
            <v>131</v>
          </cell>
        </row>
        <row r="2360">
          <cell r="E2360">
            <v>79</v>
          </cell>
        </row>
        <row r="2361">
          <cell r="E2361">
            <v>121</v>
          </cell>
        </row>
        <row r="2362">
          <cell r="E2362">
            <v>53</v>
          </cell>
        </row>
        <row r="2363">
          <cell r="E2363">
            <v>500</v>
          </cell>
        </row>
        <row r="2364">
          <cell r="E2364">
            <v>6280</v>
          </cell>
        </row>
        <row r="2437">
          <cell r="E2437">
            <v>3645265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DD45216-0DDB-4A9C-BCB3-25F6D30237E4}" name="Table1672023" displayName="Table1672023" ref="A2:E53" totalsRowCount="1" headerRowDxfId="826" dataDxfId="824" totalsRowDxfId="822" headerRowBorderDxfId="825" tableBorderDxfId="823" totalsRowBorderDxfId="821">
  <autoFilter ref="A2:E52" xr:uid="{00000000-0009-0000-0100-000002000000}"/>
  <tableColumns count="5">
    <tableColumn id="1" xr3:uid="{76911386-30F9-41E0-A84E-25E0CCC8C385}" name="ايرادات " dataDxfId="820" totalsRowDxfId="819"/>
    <tableColumn id="2" xr3:uid="{71114A4C-55BA-40E2-808C-11F43DC6FB72}" name="Column1" totalsRowFunction="sum" dataDxfId="818" totalsRowDxfId="817"/>
    <tableColumn id="3" xr3:uid="{45C2F92E-93A1-4E53-B9D0-043C3A60663E}" name="مصروفات" dataDxfId="816" totalsRowDxfId="815"/>
    <tableColumn id="4" xr3:uid="{7B7D5C07-2194-4567-8446-632282D67BC6}" name="Column2" totalsRowFunction="sum" dataDxfId="814" totalsRowDxfId="813"/>
    <tableColumn id="5" xr3:uid="{5B5C3937-C08C-441F-A221-083E94CD0D48}" name="Column3" dataDxfId="812" totalsRowDxfId="81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DE68EDE-52A1-493A-8A08-CA4CDC26418F}" name="Table972023" displayName="Table972023" ref="A2:E102" totalsRowCount="1" headerRowDxfId="682" dataDxfId="680" totalsRowDxfId="678" headerRowBorderDxfId="681" tableBorderDxfId="679" totalsRowBorderDxfId="677">
  <autoFilter ref="A2:E101" xr:uid="{00000000-0009-0000-0100-000002000000}"/>
  <tableColumns count="5">
    <tableColumn id="1" xr3:uid="{6851D808-04C6-4192-BB24-2FF168C4FACE}" name="ايرادات" dataDxfId="676" totalsRowDxfId="675"/>
    <tableColumn id="2" xr3:uid="{C16E1123-CB6E-43C1-A736-DA686BD6549C}" name="Column1" totalsRowFunction="sum" dataDxfId="674" totalsRowDxfId="673"/>
    <tableColumn id="3" xr3:uid="{35590979-EC79-4945-93F8-CC91276DE0CE}" name="مصروفات" dataDxfId="672" totalsRowDxfId="671"/>
    <tableColumn id="4" xr3:uid="{FCB778DA-6364-4998-840B-A4F096AC35EF}" name="Column2" totalsRowFunction="sum" dataDxfId="670" totalsRowDxfId="669"/>
    <tableColumn id="5" xr3:uid="{3A1DE07C-0543-4F8F-A693-6F437AE0C611}" name="Column3" dataDxfId="668" totalsRowDxfId="66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3A3A8B-4F6F-416F-AFF9-30A981032E1D}" name="Table1072023" displayName="Table1072023" ref="A2:E98" totalsRowCount="1" headerRowDxfId="666" dataDxfId="664" totalsRowDxfId="662" headerRowBorderDxfId="665" tableBorderDxfId="663" totalsRowBorderDxfId="661">
  <autoFilter ref="A2:E97" xr:uid="{00000000-0009-0000-0100-000002000000}"/>
  <tableColumns count="5">
    <tableColumn id="1" xr3:uid="{5E0ED57D-0314-45A8-83C0-13BCC532A0E1}" name="ايرادات " dataDxfId="660" totalsRowDxfId="659"/>
    <tableColumn id="2" xr3:uid="{9486797C-1455-4216-A477-B39B4A743BA2}" name="Column1" totalsRowFunction="sum" dataDxfId="658" totalsRowDxfId="657"/>
    <tableColumn id="3" xr3:uid="{C1542E95-4E54-401A-99C4-A528119BB444}" name="مصروفات" dataDxfId="656" totalsRowDxfId="655"/>
    <tableColumn id="4" xr3:uid="{F1BC9726-0B1E-434D-BB2A-410D17469ADB}" name="Column2" totalsRowFunction="sum" dataDxfId="654" totalsRowDxfId="653"/>
    <tableColumn id="5" xr3:uid="{75F145E6-5E97-4515-A5D5-07C2A4AE25AF}" name="Column3" dataDxfId="652" totalsRowDxfId="65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60B393-7643-44FA-8314-78F2F4534FF0}" name="Table1172023" displayName="Table1172023" ref="A2:E102" totalsRowCount="1" headerRowDxfId="650" dataDxfId="648" totalsRowDxfId="646" headerRowBorderDxfId="649" tableBorderDxfId="647" totalsRowBorderDxfId="645">
  <tableColumns count="5">
    <tableColumn id="1" xr3:uid="{64B0D0D9-40D1-435D-BDE5-22DC130E830D}" name="ايرادات " dataDxfId="644" totalsRowDxfId="643"/>
    <tableColumn id="2" xr3:uid="{B461F442-FBA1-4B90-B6EE-034AB5FB970B}" name="Column1" totalsRowFunction="sum" dataDxfId="642" totalsRowDxfId="641"/>
    <tableColumn id="3" xr3:uid="{DFB7ED5E-9941-4A76-8B5E-5B6784845307}" name="مصروفات" dataDxfId="640" totalsRowDxfId="639"/>
    <tableColumn id="4" xr3:uid="{62788797-4AB5-4127-BCCC-CF99A51EE25F}" name="Column2" totalsRowFunction="sum" dataDxfId="638" totalsRowDxfId="637"/>
    <tableColumn id="5" xr3:uid="{5B3F0D96-FBCD-42AD-9E6A-33533275610C}" name="Column3" dataDxfId="63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DA95EA-AE52-458D-A599-8BBDF8FC7E29}" name="Table1272023" displayName="Table1272023" ref="A2:E91" totalsRowCount="1" headerRowDxfId="635" dataDxfId="633" totalsRowDxfId="631" headerRowBorderDxfId="634" tableBorderDxfId="632" totalsRowBorderDxfId="630">
  <autoFilter ref="A2:E90" xr:uid="{00000000-0009-0000-0100-000002000000}"/>
  <tableColumns count="5">
    <tableColumn id="1" xr3:uid="{1B61F230-50FB-4E35-8CFF-0F7473D4D0FE}" name="ايرادات " dataDxfId="629" totalsRowDxfId="628"/>
    <tableColumn id="2" xr3:uid="{4CF8FA1C-D39A-451F-B3FE-2FC1CD1E704D}" name="Column1" totalsRowFunction="sum" dataDxfId="627" totalsRowDxfId="626"/>
    <tableColumn id="3" xr3:uid="{226E8029-613B-430A-9063-DF742189400A}" name="مصروفات" dataDxfId="625" totalsRowDxfId="624"/>
    <tableColumn id="4" xr3:uid="{2F17BD5D-B0D9-4B46-A8C8-6E6F8D685932}" name="Column2" totalsRowFunction="sum" dataDxfId="623" totalsRowDxfId="622"/>
    <tableColumn id="5" xr3:uid="{D6584FA7-9A3B-40BF-8629-D5DCCE021B4A}" name="Column3" dataDxfId="621" totalsRowDxfId="6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F7155C8-B203-4C47-89A5-03660B3E1785}" name="Table1372023" displayName="Table1372023" ref="A2:E96" totalsRowCount="1" headerRowDxfId="619" dataDxfId="617" totalsRowDxfId="615" headerRowBorderDxfId="618" tableBorderDxfId="616" totalsRowBorderDxfId="614">
  <autoFilter ref="A2:E95" xr:uid="{00000000-0009-0000-0100-000002000000}"/>
  <tableColumns count="5">
    <tableColumn id="1" xr3:uid="{0CB5066A-70A4-4502-818F-1C387FF6C6C5}" name="ايرادات " dataDxfId="613" totalsRowDxfId="612"/>
    <tableColumn id="2" xr3:uid="{69D062C0-1A67-4454-A968-FD94B73EAA58}" name="Column1" totalsRowFunction="sum" dataDxfId="611" totalsRowDxfId="610"/>
    <tableColumn id="3" xr3:uid="{820C1EB7-8DBF-42A4-A5A0-04A3CE664510}" name="مصروفات" dataDxfId="609" totalsRowDxfId="608"/>
    <tableColumn id="4" xr3:uid="{3C50AE71-5AC3-4D8B-9D71-23ECF2EFC13A}" name="Column2" totalsRowFunction="sum" dataDxfId="607" totalsRowDxfId="606"/>
    <tableColumn id="5" xr3:uid="{4BBABB5F-228F-4B2D-9E67-8123AB8B4649}" name="Column3" dataDxfId="605" totalsRowDxfId="60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28790AD-0024-45A4-83F4-17740B45EB53}" name="Table147202318" displayName="Table147202318" ref="A2:E42" totalsRowCount="1" headerRowDxfId="603" dataDxfId="601" totalsRowDxfId="599" headerRowBorderDxfId="602" tableBorderDxfId="600" totalsRowBorderDxfId="598">
  <autoFilter ref="A2:E41" xr:uid="{00000000-0009-0000-0100-000002000000}"/>
  <tableColumns count="5">
    <tableColumn id="1" xr3:uid="{C8449885-3B50-4C5C-A28E-25BAEC01BB88}" name="ايرادات " dataDxfId="597" totalsRowDxfId="596"/>
    <tableColumn id="2" xr3:uid="{C3310450-2786-4746-9CFE-AC8CA2170D4D}" name="Column1" totalsRowFunction="sum" dataDxfId="595" totalsRowDxfId="594"/>
    <tableColumn id="3" xr3:uid="{36EB0D33-0626-4A0D-8E83-57792BD66CDB}" name="مصروفات" dataDxfId="593" totalsRowDxfId="592"/>
    <tableColumn id="4" xr3:uid="{6C2927CC-4091-414B-A5F7-5CFD69B74C0D}" name="Column2" totalsRowFunction="sum" dataDxfId="591" totalsRowDxfId="590"/>
    <tableColumn id="5" xr3:uid="{3D58BD62-6EBC-4638-BA79-BE6FE7C80C30}" name="Column3" dataDxfId="589" totalsRowDxfId="58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332A616-3A5B-4B6A-A6C6-F006533D92E4}" name="Table1572023" displayName="Table1572023" ref="A2:E53" totalsRowCount="1" headerRowDxfId="587" dataDxfId="585" totalsRowDxfId="583" headerRowBorderDxfId="586" tableBorderDxfId="584" totalsRowBorderDxfId="582">
  <autoFilter ref="A2:E52" xr:uid="{00000000-0009-0000-0100-000002000000}"/>
  <tableColumns count="5">
    <tableColumn id="1" xr3:uid="{0A607D95-7C5F-4086-8B14-1EBD81662B2F}" name="ايرادات " dataDxfId="581" totalsRowDxfId="580"/>
    <tableColumn id="2" xr3:uid="{84DEC028-DE34-4F7A-97F3-E118C2D95138}" name="Column1" totalsRowFunction="sum" dataDxfId="579" totalsRowDxfId="578"/>
    <tableColumn id="3" xr3:uid="{1C2D4470-622E-438E-A300-1CDDFB3047D8}" name="مصروفات" dataDxfId="577" totalsRowDxfId="576"/>
    <tableColumn id="4" xr3:uid="{0C95D64D-28D4-4236-A91E-FF83198EF7B1}" name="Column2" totalsRowFunction="sum" dataDxfId="575" totalsRowDxfId="574"/>
    <tableColumn id="5" xr3:uid="{2400EEC9-1A0F-462B-A63F-FEAB8B8C075A}" name="Column3" dataDxfId="573" totalsRowDxfId="57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C256A02-470B-47E2-99B5-E08DE65E6BF5}" name="Table12720231314151617" displayName="Table12720231314151617" ref="A2:E53" totalsRowCount="1" headerRowDxfId="571" dataDxfId="569" totalsRowDxfId="567" headerRowBorderDxfId="570" tableBorderDxfId="568" totalsRowBorderDxfId="566">
  <autoFilter ref="A2:E52" xr:uid="{00000000-0009-0000-0100-000002000000}"/>
  <tableColumns count="5">
    <tableColumn id="1" xr3:uid="{F710D79E-B4A6-4D9B-86CD-733D7D0A72B2}" name="ايرادات " dataDxfId="565" totalsRowDxfId="564"/>
    <tableColumn id="2" xr3:uid="{8DFD4BA3-5A6D-46A3-AC3E-03CE958F8276}" name="Column1" totalsRowFunction="sum" dataDxfId="563" totalsRowDxfId="562"/>
    <tableColumn id="3" xr3:uid="{F3A6BAA9-FBD7-4214-BD14-A6E3925E4E42}" name="مصروفات" dataDxfId="561" totalsRowDxfId="560"/>
    <tableColumn id="4" xr3:uid="{847C3DCC-D16E-41CF-96D4-E03BDD78401F}" name="Column2" totalsRowFunction="sum" dataDxfId="559" totalsRowDxfId="558"/>
    <tableColumn id="5" xr3:uid="{142A29B9-B065-4822-BA1D-38B4A4809BCE}" name="Column3" dataDxfId="557" totalsRowDxfId="5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00000000}" name="Table172023" displayName="Table172023" ref="A2:E89" totalsRowCount="1" headerRowDxfId="810" dataDxfId="808" totalsRowDxfId="806" headerRowBorderDxfId="809" tableBorderDxfId="807" totalsRowBorderDxfId="805">
  <autoFilter ref="A2:E88" xr:uid="{00000000-0009-0000-0100-00001F000000}"/>
  <tableColumns count="5">
    <tableColumn id="1" xr3:uid="{00000000-0010-0000-0000-000001000000}" name="ايرادات " dataDxfId="804" totalsRowDxfId="803"/>
    <tableColumn id="2" xr3:uid="{00000000-0010-0000-0000-000002000000}" name="Column1" totalsRowFunction="sum" dataDxfId="802" totalsRowDxfId="801"/>
    <tableColumn id="3" xr3:uid="{00000000-0010-0000-0000-000003000000}" name="مصروفات" dataDxfId="800" totalsRowDxfId="799"/>
    <tableColumn id="4" xr3:uid="{00000000-0010-0000-0000-000004000000}" name="Column2" totalsRowFunction="sum" dataDxfId="798" totalsRowDxfId="797"/>
    <tableColumn id="5" xr3:uid="{00000000-0010-0000-0000-000005000000}" name="Column3" dataDxfId="796" totalsRowDxfId="795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72023" displayName="Table272023" ref="A2:E80" totalsRowCount="1" headerRowDxfId="794" dataDxfId="792" totalsRowDxfId="790" headerRowBorderDxfId="793" tableBorderDxfId="791" totalsRowBorderDxfId="789">
  <autoFilter ref="A2:E79" xr:uid="{00000000-0009-0000-0100-000001000000}"/>
  <tableColumns count="5">
    <tableColumn id="1" xr3:uid="{00000000-0010-0000-0100-000001000000}" name="ايرادات " dataDxfId="788" totalsRowDxfId="787"/>
    <tableColumn id="2" xr3:uid="{00000000-0010-0000-0100-000002000000}" name="Column1" totalsRowFunction="sum" dataDxfId="786" totalsRowDxfId="785"/>
    <tableColumn id="3" xr3:uid="{00000000-0010-0000-0100-000003000000}" name="مصروفات" dataDxfId="784" totalsRowDxfId="783"/>
    <tableColumn id="4" xr3:uid="{00000000-0010-0000-0100-000004000000}" name="Column2" totalsRowFunction="sum" dataDxfId="782" totalsRowDxfId="781"/>
    <tableColumn id="5" xr3:uid="{00000000-0010-0000-0100-000005000000}" name="Column3" dataDxfId="780" totalsRowDxfId="779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72023" displayName="Table372023" ref="A2:E129" totalsRowCount="1" headerRowDxfId="778" dataDxfId="776" totalsRowDxfId="774" headerRowBorderDxfId="777" tableBorderDxfId="775" totalsRowBorderDxfId="773">
  <autoFilter ref="A2:E128" xr:uid="{00000000-0009-0000-0100-000002000000}"/>
  <tableColumns count="5">
    <tableColumn id="1" xr3:uid="{00000000-0010-0000-0200-000001000000}" name="ايرادات " dataDxfId="772" totalsRowDxfId="771"/>
    <tableColumn id="2" xr3:uid="{00000000-0010-0000-0200-000002000000}" name="Column1" totalsRowFunction="sum" dataDxfId="770" totalsRowDxfId="769"/>
    <tableColumn id="3" xr3:uid="{00000000-0010-0000-0200-000003000000}" name="مصروفات" dataDxfId="768" totalsRowDxfId="767"/>
    <tableColumn id="4" xr3:uid="{00000000-0010-0000-0200-000004000000}" name="Column2" totalsRowFunction="sum" dataDxfId="766" totalsRowDxfId="765"/>
    <tableColumn id="5" xr3:uid="{00000000-0010-0000-0200-000005000000}" name="Column3" dataDxfId="764" totalsRowDxfId="7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17AC87-5BD7-4FA1-AD92-F12F4857F5CE}" name="Table472023" displayName="Table472023" ref="A2:E81" totalsRowCount="1" headerRowDxfId="762" dataDxfId="760" totalsRowDxfId="758" headerRowBorderDxfId="761" tableBorderDxfId="759" totalsRowBorderDxfId="757">
  <autoFilter ref="A2:E80" xr:uid="{00000000-0009-0000-0100-000002000000}"/>
  <tableColumns count="5">
    <tableColumn id="1" xr3:uid="{DE94F74B-DB1A-415E-85B5-177AEC5E4E77}" name="ايرادات " dataDxfId="756" totalsRowDxfId="755"/>
    <tableColumn id="2" xr3:uid="{D8802F20-5D5A-4812-AAD3-6EFE98BCDDF9}" name="Column1" totalsRowFunction="sum" dataDxfId="754" totalsRowDxfId="753"/>
    <tableColumn id="3" xr3:uid="{BA346F54-985F-4D14-BAC6-B7A527699F0B}" name="مصروفات" dataDxfId="752" totalsRowDxfId="751"/>
    <tableColumn id="4" xr3:uid="{5EBF9CA3-7C5E-40B7-B9EC-1B0CC1E9E934}" name="Column2" totalsRowFunction="sum" dataDxfId="750" totalsRowDxfId="749"/>
    <tableColumn id="5" xr3:uid="{486FD4D6-78C6-4BFC-85DE-98892C7EAC24}" name="Column3" dataDxfId="748" totalsRowDxfId="74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FB301A-12C7-4E3D-8736-57F5807C15FC}" name="Table572023" displayName="Table572023" ref="A2:E116" totalsRowCount="1" headerRowDxfId="746" dataDxfId="744" totalsRowDxfId="742" headerRowBorderDxfId="745" tableBorderDxfId="743" totalsRowBorderDxfId="741">
  <autoFilter ref="A2:E115" xr:uid="{00000000-0009-0000-0100-000002000000}"/>
  <tableColumns count="5">
    <tableColumn id="1" xr3:uid="{2E89AE0E-D04D-4B46-BC50-87FC38FB0E28}" name="ايرادات " dataDxfId="740" totalsRowDxfId="739"/>
    <tableColumn id="2" xr3:uid="{A4091AB6-6E59-4F54-83A6-A18BD84E5B84}" name="Column1" totalsRowFunction="sum" dataDxfId="738" totalsRowDxfId="737"/>
    <tableColumn id="3" xr3:uid="{9F3AAF0A-65AD-4969-A162-8BF79E4CD955}" name="مصروفات" dataDxfId="736" totalsRowDxfId="735"/>
    <tableColumn id="4" xr3:uid="{A22C24B3-2C7D-49E2-8352-475F4FFFDA93}" name="Column2" totalsRowFunction="sum" dataDxfId="734" totalsRowDxfId="733"/>
    <tableColumn id="5" xr3:uid="{E3FFBBA5-3158-48FB-B5C9-362D55FEA0F9}" name="Column3" dataDxfId="732" totalsRowDxfId="7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4FFCA8-6BAE-4C8D-8E58-D79746E6C0FC}" name="Table672023" displayName="Table672023" ref="A2:E86" totalsRowCount="1" headerRowDxfId="730" dataDxfId="728" totalsRowDxfId="726" headerRowBorderDxfId="729" tableBorderDxfId="727" totalsRowBorderDxfId="725">
  <autoFilter ref="A2:E85" xr:uid="{00000000-0009-0000-0100-000002000000}"/>
  <tableColumns count="5">
    <tableColumn id="1" xr3:uid="{3B65AC40-7260-4A99-A4B0-E4FF3C2AE0F8}" name="ايرادات " dataDxfId="724" totalsRowDxfId="723"/>
    <tableColumn id="2" xr3:uid="{ECD02ABE-4D07-4FB9-BFD0-7E7EF830E1A8}" name="Column1" totalsRowFunction="sum" dataDxfId="722" totalsRowDxfId="721"/>
    <tableColumn id="3" xr3:uid="{5EE7CC29-5CE2-4AA7-9C60-1192285D4D10}" name="مصروفات" dataDxfId="720" totalsRowDxfId="719"/>
    <tableColumn id="4" xr3:uid="{C8F2919E-845D-4250-B51A-583DD4E3F38D}" name="Column2" totalsRowFunction="sum" dataDxfId="718" totalsRowDxfId="717"/>
    <tableColumn id="5" xr3:uid="{6CD2241E-7D8E-4B59-B95A-A149925997B2}" name="Column3" dataDxfId="716" totalsRowDxfId="7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8B1A00-D042-4C7C-9077-746D87079DC6}" name="Table772023" displayName="Table772023" ref="A2:E63" totalsRowCount="1" headerRowDxfId="714" dataDxfId="712" totalsRowDxfId="710" headerRowBorderDxfId="713" tableBorderDxfId="711" totalsRowBorderDxfId="709">
  <autoFilter ref="A2:E62" xr:uid="{00000000-0009-0000-0100-000002000000}"/>
  <tableColumns count="5">
    <tableColumn id="1" xr3:uid="{B0CFF687-A071-454C-B8C7-EA96819BDBF6}" name="ايرادات " dataDxfId="708" totalsRowDxfId="707"/>
    <tableColumn id="2" xr3:uid="{3A0D5979-8A10-4EA3-B89E-606F5417D19E}" name="Column1" totalsRowFunction="sum" dataDxfId="706" totalsRowDxfId="705"/>
    <tableColumn id="3" xr3:uid="{EA50B733-B040-45BC-B8B3-F1A54095E8E5}" name="مصروفات" dataDxfId="704" totalsRowDxfId="703"/>
    <tableColumn id="4" xr3:uid="{F91AA3E3-A7FC-4BA4-B264-4980C7014852}" name="Column2" totalsRowFunction="sum" dataDxfId="702" totalsRowDxfId="701"/>
    <tableColumn id="5" xr3:uid="{FB4196BD-5EB3-472E-9615-2FAAA2A61D06}" name="Column3" dataDxfId="700" totalsRowDxfId="6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F53587-CC20-4DDF-BD28-BA348914011C}" name="Table872023" displayName="Table872023" ref="A2:E92" totalsRowCount="1" headerRowDxfId="698" dataDxfId="696" totalsRowDxfId="694" headerRowBorderDxfId="697" tableBorderDxfId="695" totalsRowBorderDxfId="693">
  <autoFilter ref="A2:E91" xr:uid="{00000000-0009-0000-0100-000002000000}"/>
  <tableColumns count="5">
    <tableColumn id="1" xr3:uid="{5A446438-00D7-4C8C-BC8F-09D26A0F7EAB}" name="ايرادات " dataDxfId="692" totalsRowDxfId="691"/>
    <tableColumn id="2" xr3:uid="{4C62B7B9-B583-471C-8D15-D768BDCFF8B9}" name="Column1" totalsRowFunction="sum" dataDxfId="690" totalsRowDxfId="689"/>
    <tableColumn id="3" xr3:uid="{B7FACD1A-6CB1-45E4-A8E4-731DAB35DB5E}" name="مصروفات" dataDxfId="688" totalsRowDxfId="687"/>
    <tableColumn id="4" xr3:uid="{EBF3C30C-809A-40FE-8953-E4833A68C71C}" name="Column2" totalsRowFunction="sum" dataDxfId="686" totalsRowDxfId="685"/>
    <tableColumn id="5" xr3:uid="{553537C5-B266-4405-B8BF-2278A61EBCAF}" name="Column3" dataDxfId="684" totalsRowDxfId="6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2246-39A6-4E7F-8422-C24A3D0BAFA0}">
  <sheetPr codeName="Sheet1"/>
  <dimension ref="A1:E29"/>
  <sheetViews>
    <sheetView rightToLeft="1" workbookViewId="0">
      <selection activeCell="B16" sqref="B16"/>
    </sheetView>
  </sheetViews>
  <sheetFormatPr defaultRowHeight="15" x14ac:dyDescent="0.25"/>
  <cols>
    <col min="1" max="1" width="8.42578125" customWidth="1"/>
    <col min="2" max="2" width="22.42578125" bestFit="1" customWidth="1"/>
    <col min="3" max="3" width="2.42578125" customWidth="1"/>
    <col min="4" max="4" width="45.7109375" customWidth="1"/>
    <col min="10" max="10" width="18.28515625" bestFit="1" customWidth="1"/>
  </cols>
  <sheetData>
    <row r="1" spans="1:5" ht="15.75" thickBot="1" x14ac:dyDescent="0.3">
      <c r="A1" s="272"/>
      <c r="B1" s="272"/>
      <c r="C1" s="273"/>
      <c r="D1" s="272"/>
      <c r="E1" s="272"/>
    </row>
    <row r="2" spans="1:5" ht="19.5" thickBot="1" x14ac:dyDescent="0.35">
      <c r="B2" s="274" t="s">
        <v>926</v>
      </c>
      <c r="C2" s="275"/>
      <c r="D2" s="274" t="s">
        <v>927</v>
      </c>
    </row>
    <row r="3" spans="1:5" ht="19.5" thickBot="1" x14ac:dyDescent="0.35">
      <c r="B3" s="276"/>
      <c r="C3" s="275"/>
      <c r="D3" s="276"/>
    </row>
    <row r="4" spans="1:5" ht="18.75" x14ac:dyDescent="0.3">
      <c r="B4" s="277" t="s">
        <v>763</v>
      </c>
      <c r="C4" s="275"/>
      <c r="D4" s="277" t="s">
        <v>928</v>
      </c>
    </row>
    <row r="5" spans="1:5" ht="18.75" x14ac:dyDescent="0.3">
      <c r="B5" s="278" t="s">
        <v>765</v>
      </c>
      <c r="C5" s="275"/>
      <c r="D5" s="278" t="s">
        <v>935</v>
      </c>
    </row>
    <row r="6" spans="1:5" ht="18.75" x14ac:dyDescent="0.3">
      <c r="B6" s="278" t="s">
        <v>924</v>
      </c>
      <c r="C6" s="275"/>
      <c r="D6" s="278" t="s">
        <v>936</v>
      </c>
    </row>
    <row r="7" spans="1:5" ht="18.75" x14ac:dyDescent="0.3">
      <c r="B7" s="278" t="s">
        <v>766</v>
      </c>
      <c r="C7" s="275"/>
      <c r="D7" s="278" t="s">
        <v>974</v>
      </c>
    </row>
    <row r="8" spans="1:5" ht="18.75" x14ac:dyDescent="0.3">
      <c r="B8" s="278" t="s">
        <v>768</v>
      </c>
      <c r="C8" s="275"/>
      <c r="D8" s="278" t="s">
        <v>960</v>
      </c>
    </row>
    <row r="9" spans="1:5" ht="18.75" x14ac:dyDescent="0.3">
      <c r="B9" s="278" t="s">
        <v>923</v>
      </c>
      <c r="C9" s="275"/>
      <c r="D9" s="278" t="s">
        <v>929</v>
      </c>
    </row>
    <row r="10" spans="1:5" ht="18.75" x14ac:dyDescent="0.3">
      <c r="B10" s="278" t="s">
        <v>772</v>
      </c>
      <c r="C10" s="275"/>
      <c r="D10" s="278" t="s">
        <v>929</v>
      </c>
    </row>
    <row r="11" spans="1:5" ht="18.75" x14ac:dyDescent="0.3">
      <c r="B11" s="278" t="s">
        <v>771</v>
      </c>
      <c r="C11" s="275"/>
      <c r="D11" s="278" t="s">
        <v>929</v>
      </c>
    </row>
    <row r="12" spans="1:5" ht="18.75" x14ac:dyDescent="0.3">
      <c r="B12" s="278" t="s">
        <v>925</v>
      </c>
      <c r="C12" s="275"/>
      <c r="D12" s="278" t="s">
        <v>945</v>
      </c>
    </row>
    <row r="13" spans="1:5" ht="18.75" x14ac:dyDescent="0.3">
      <c r="B13" s="279" t="s">
        <v>931</v>
      </c>
      <c r="C13" s="275"/>
      <c r="D13" s="278" t="s">
        <v>943</v>
      </c>
    </row>
    <row r="14" spans="1:5" ht="18.75" x14ac:dyDescent="0.3">
      <c r="B14" s="278" t="s">
        <v>1075</v>
      </c>
      <c r="C14" s="275"/>
      <c r="D14" s="278" t="s">
        <v>1075</v>
      </c>
    </row>
    <row r="15" spans="1:5" ht="18.75" x14ac:dyDescent="0.3">
      <c r="B15" s="279" t="s">
        <v>937</v>
      </c>
      <c r="C15" s="275"/>
      <c r="D15" s="279" t="s">
        <v>931</v>
      </c>
    </row>
    <row r="16" spans="1:5" ht="18.75" x14ac:dyDescent="0.3">
      <c r="B16" s="279" t="s">
        <v>938</v>
      </c>
      <c r="C16" s="275"/>
      <c r="D16" s="279" t="s">
        <v>937</v>
      </c>
    </row>
    <row r="17" spans="1:5" ht="18.75" x14ac:dyDescent="0.3">
      <c r="B17" s="278" t="s">
        <v>1075</v>
      </c>
      <c r="C17" s="275"/>
      <c r="D17" s="279" t="s">
        <v>938</v>
      </c>
    </row>
    <row r="18" spans="1:5" ht="18.75" x14ac:dyDescent="0.3">
      <c r="B18" s="278" t="s">
        <v>939</v>
      </c>
      <c r="C18" s="280"/>
      <c r="D18" s="278" t="s">
        <v>930</v>
      </c>
    </row>
    <row r="19" spans="1:5" ht="18.75" x14ac:dyDescent="0.3">
      <c r="B19" s="278" t="s">
        <v>940</v>
      </c>
      <c r="C19" s="280"/>
      <c r="D19" s="278" t="s">
        <v>933</v>
      </c>
    </row>
    <row r="20" spans="1:5" ht="18.75" x14ac:dyDescent="0.3">
      <c r="B20" s="278"/>
      <c r="C20" s="280"/>
      <c r="D20" s="278" t="s">
        <v>932</v>
      </c>
    </row>
    <row r="21" spans="1:5" ht="18.75" x14ac:dyDescent="0.3">
      <c r="B21" s="278"/>
      <c r="C21" s="280"/>
      <c r="D21" s="278" t="s">
        <v>934</v>
      </c>
    </row>
    <row r="22" spans="1:5" ht="18.75" x14ac:dyDescent="0.3">
      <c r="B22" s="278"/>
      <c r="C22" s="280"/>
      <c r="D22" s="278" t="s">
        <v>464</v>
      </c>
    </row>
    <row r="23" spans="1:5" ht="18.75" x14ac:dyDescent="0.3">
      <c r="B23" s="278"/>
      <c r="C23" s="280"/>
      <c r="D23" s="278" t="s">
        <v>938</v>
      </c>
    </row>
    <row r="24" spans="1:5" ht="18.75" x14ac:dyDescent="0.3">
      <c r="B24" s="278"/>
      <c r="C24" s="280"/>
      <c r="D24" s="278" t="s">
        <v>962</v>
      </c>
    </row>
    <row r="25" spans="1:5" ht="18.75" x14ac:dyDescent="0.3">
      <c r="B25" s="278"/>
      <c r="C25" s="280"/>
      <c r="D25" s="278" t="s">
        <v>939</v>
      </c>
    </row>
    <row r="26" spans="1:5" ht="18.75" x14ac:dyDescent="0.3">
      <c r="B26" s="278"/>
      <c r="C26" s="280"/>
      <c r="D26" s="278" t="s">
        <v>940</v>
      </c>
    </row>
    <row r="27" spans="1:5" ht="19.5" thickBot="1" x14ac:dyDescent="0.35">
      <c r="B27" s="281"/>
      <c r="C27" s="280"/>
      <c r="D27" s="278" t="s">
        <v>941</v>
      </c>
    </row>
    <row r="28" spans="1:5" ht="19.5" thickBot="1" x14ac:dyDescent="0.35">
      <c r="C28" s="280"/>
      <c r="D28" s="281" t="s">
        <v>942</v>
      </c>
    </row>
    <row r="29" spans="1:5" x14ac:dyDescent="0.25">
      <c r="A29" s="265"/>
      <c r="B29" s="265"/>
      <c r="C29" s="265"/>
      <c r="D29" s="265"/>
      <c r="E29" s="26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B666-2736-4B22-98C8-AED6A2365C16}">
  <sheetPr codeName="Sheet4"/>
  <dimension ref="A1:K198"/>
  <sheetViews>
    <sheetView rightToLeft="1" topLeftCell="A28" zoomScale="85" zoomScaleNormal="85" workbookViewId="0">
      <selection activeCell="B21" sqref="B21"/>
    </sheetView>
  </sheetViews>
  <sheetFormatPr defaultRowHeight="15" x14ac:dyDescent="0.25"/>
  <cols>
    <col min="1" max="1" width="39.140625" customWidth="1"/>
    <col min="2" max="2" width="18.7109375" bestFit="1" customWidth="1"/>
    <col min="3" max="3" width="26.7109375" customWidth="1"/>
    <col min="4" max="4" width="8" bestFit="1" customWidth="1"/>
    <col min="5" max="5" width="10" customWidth="1"/>
    <col min="7" max="7" width="39.140625" customWidth="1"/>
    <col min="8" max="8" width="11.7109375" bestFit="1" customWidth="1"/>
    <col min="9" max="9" width="26.7109375" customWidth="1"/>
    <col min="10" max="10" width="8" bestFit="1" customWidth="1"/>
    <col min="11" max="11" width="10" customWidth="1"/>
  </cols>
  <sheetData>
    <row r="1" spans="1:10" ht="24" thickBot="1" x14ac:dyDescent="0.3">
      <c r="A1" s="76" t="s">
        <v>1385</v>
      </c>
      <c r="B1" s="460">
        <v>45130</v>
      </c>
      <c r="C1" s="461"/>
      <c r="G1" s="76" t="s">
        <v>29</v>
      </c>
      <c r="H1" s="460">
        <v>45130</v>
      </c>
      <c r="I1" s="461"/>
    </row>
    <row r="2" spans="1:10" ht="21" thickBot="1" x14ac:dyDescent="0.3">
      <c r="A2" s="53" t="s">
        <v>137</v>
      </c>
      <c r="B2" s="53" t="s">
        <v>3</v>
      </c>
      <c r="C2" s="53" t="s">
        <v>138</v>
      </c>
      <c r="G2" s="53" t="s">
        <v>137</v>
      </c>
      <c r="H2" s="53" t="s">
        <v>3</v>
      </c>
      <c r="I2" s="53" t="s">
        <v>138</v>
      </c>
    </row>
    <row r="3" spans="1:10" ht="18" x14ac:dyDescent="0.25">
      <c r="A3" s="337">
        <f>10000+500+75+15+1485+3350</f>
        <v>15425</v>
      </c>
      <c r="B3" s="418">
        <f>10+47+25</f>
        <v>82</v>
      </c>
      <c r="C3" s="419" t="s">
        <v>73</v>
      </c>
      <c r="G3" s="336">
        <f>10000+2700+500+500+335</f>
        <v>14035</v>
      </c>
      <c r="H3" s="420">
        <v>4075</v>
      </c>
      <c r="I3" s="421" t="s">
        <v>20</v>
      </c>
    </row>
    <row r="4" spans="1:10" ht="18" x14ac:dyDescent="0.25">
      <c r="A4" s="338"/>
      <c r="B4" s="339">
        <v>250</v>
      </c>
      <c r="C4" s="339" t="s">
        <v>8</v>
      </c>
      <c r="G4" s="60"/>
      <c r="H4" s="422">
        <v>5</v>
      </c>
      <c r="I4" s="421" t="s">
        <v>357</v>
      </c>
    </row>
    <row r="5" spans="1:10" ht="18" x14ac:dyDescent="0.25">
      <c r="A5" s="338"/>
      <c r="B5" s="418">
        <v>40</v>
      </c>
      <c r="C5" s="418" t="s">
        <v>1325</v>
      </c>
      <c r="G5" s="60"/>
      <c r="H5" s="423">
        <v>18</v>
      </c>
      <c r="I5" s="423" t="s">
        <v>1376</v>
      </c>
    </row>
    <row r="6" spans="1:10" ht="18" x14ac:dyDescent="0.25">
      <c r="A6" s="338"/>
      <c r="B6" s="339">
        <v>180</v>
      </c>
      <c r="C6" s="418" t="s">
        <v>399</v>
      </c>
      <c r="G6" s="60"/>
      <c r="H6" s="422">
        <v>50</v>
      </c>
      <c r="I6" s="422" t="s">
        <v>373</v>
      </c>
    </row>
    <row r="7" spans="1:10" ht="18" x14ac:dyDescent="0.25">
      <c r="A7" s="338"/>
      <c r="B7" s="418">
        <v>95</v>
      </c>
      <c r="C7" s="339" t="s">
        <v>373</v>
      </c>
      <c r="G7" s="60"/>
    </row>
    <row r="8" spans="1:10" ht="18" x14ac:dyDescent="0.25">
      <c r="A8" s="338"/>
      <c r="B8" s="418">
        <v>371</v>
      </c>
      <c r="C8" s="339" t="s">
        <v>31</v>
      </c>
      <c r="G8" s="60"/>
      <c r="H8" s="422"/>
      <c r="I8" s="422"/>
    </row>
    <row r="9" spans="1:10" ht="18" x14ac:dyDescent="0.25">
      <c r="A9" s="338"/>
      <c r="B9" s="339">
        <v>120</v>
      </c>
      <c r="C9" s="339" t="s">
        <v>393</v>
      </c>
      <c r="G9" s="60"/>
      <c r="H9" s="422"/>
      <c r="I9" s="422"/>
    </row>
    <row r="10" spans="1:10" ht="18" x14ac:dyDescent="0.25">
      <c r="A10" s="338"/>
      <c r="B10" s="339"/>
      <c r="C10" s="339"/>
      <c r="G10" s="60"/>
      <c r="H10" s="422"/>
      <c r="I10" s="422"/>
    </row>
    <row r="11" spans="1:10" ht="18" x14ac:dyDescent="0.25">
      <c r="A11" s="339"/>
      <c r="B11" s="339"/>
      <c r="C11" s="339"/>
      <c r="G11" s="60"/>
      <c r="H11" s="422"/>
      <c r="I11" s="422"/>
    </row>
    <row r="12" spans="1:10" ht="18" x14ac:dyDescent="0.25">
      <c r="A12" s="339"/>
      <c r="B12" s="339"/>
      <c r="C12" s="339"/>
      <c r="G12" s="60"/>
      <c r="H12" s="422"/>
      <c r="I12" s="422"/>
    </row>
    <row r="13" spans="1:10" ht="18" x14ac:dyDescent="0.25">
      <c r="A13" s="339"/>
      <c r="B13" s="339"/>
      <c r="C13" s="339"/>
      <c r="G13" s="60"/>
      <c r="H13" s="422"/>
      <c r="I13" s="422"/>
      <c r="J13" s="341"/>
    </row>
    <row r="14" spans="1:10" ht="18" x14ac:dyDescent="0.25">
      <c r="A14" s="339"/>
      <c r="B14" s="339"/>
      <c r="C14" s="339"/>
      <c r="G14" s="60"/>
      <c r="H14" s="422"/>
      <c r="I14" s="422"/>
    </row>
    <row r="15" spans="1:10" ht="18" x14ac:dyDescent="0.25">
      <c r="A15" s="339"/>
      <c r="B15" s="339"/>
      <c r="C15" s="339"/>
      <c r="G15" s="60"/>
      <c r="H15" s="422"/>
      <c r="I15" s="422"/>
    </row>
    <row r="16" spans="1:10" ht="18" x14ac:dyDescent="0.25">
      <c r="A16" s="339"/>
      <c r="B16" s="339"/>
      <c r="C16" s="339"/>
      <c r="G16" s="60"/>
      <c r="H16" s="422"/>
      <c r="I16" s="422"/>
    </row>
    <row r="17" spans="1:11" ht="18" x14ac:dyDescent="0.25">
      <c r="A17" s="338"/>
      <c r="B17" s="339"/>
      <c r="C17" s="339"/>
      <c r="G17" s="60"/>
      <c r="H17" s="422"/>
      <c r="I17" s="422"/>
    </row>
    <row r="18" spans="1:11" ht="18" x14ac:dyDescent="0.25">
      <c r="A18" s="338"/>
      <c r="B18" s="339"/>
      <c r="C18" s="339"/>
      <c r="G18" s="60"/>
      <c r="H18" s="422"/>
      <c r="I18" s="422"/>
    </row>
    <row r="19" spans="1:11" ht="18.75" thickBot="1" x14ac:dyDescent="0.3">
      <c r="A19" s="338"/>
      <c r="B19" s="339"/>
      <c r="C19" s="339"/>
      <c r="G19" s="60"/>
      <c r="H19" s="422"/>
      <c r="I19" s="422"/>
    </row>
    <row r="20" spans="1:11" ht="24" thickBot="1" x14ac:dyDescent="0.3">
      <c r="A20" s="66"/>
      <c r="B20" s="56"/>
      <c r="C20" s="64"/>
      <c r="D20" s="314" t="str">
        <f>IF(E20&gt;0,"زيادة","عجز")</f>
        <v>زيادة</v>
      </c>
      <c r="E20" s="99">
        <f>E25-E21</f>
        <v>76</v>
      </c>
      <c r="G20" s="66"/>
      <c r="H20" s="56"/>
      <c r="I20" s="64"/>
      <c r="J20" s="314" t="str">
        <f>IF(K20&gt;0,"زيادة","عجز")</f>
        <v>عجز</v>
      </c>
      <c r="K20" s="99">
        <f>K25-K21</f>
        <v>0</v>
      </c>
    </row>
    <row r="21" spans="1:11" ht="24" thickBot="1" x14ac:dyDescent="0.3">
      <c r="A21" s="68">
        <f>SUM(A3:A20)</f>
        <v>15425</v>
      </c>
      <c r="B21" s="69">
        <f>SUM(B3:B20)</f>
        <v>1138</v>
      </c>
      <c r="D21" s="135" t="s">
        <v>94</v>
      </c>
      <c r="E21" s="99">
        <f>7909-6560</f>
        <v>1349</v>
      </c>
      <c r="G21" s="68">
        <f>SUM(G3:G20)</f>
        <v>14035</v>
      </c>
      <c r="H21" s="69">
        <f>SUM(H3:H20)</f>
        <v>4148</v>
      </c>
      <c r="J21" s="135" t="s">
        <v>94</v>
      </c>
      <c r="K21" s="99"/>
    </row>
    <row r="22" spans="1:11" ht="21.75" thickBot="1" x14ac:dyDescent="0.3">
      <c r="A22" s="462" t="s">
        <v>139</v>
      </c>
      <c r="B22" s="463"/>
      <c r="C22" s="71" t="s">
        <v>75</v>
      </c>
      <c r="D22" s="136" t="s">
        <v>65</v>
      </c>
      <c r="E22" s="85">
        <f>1150+275</f>
        <v>1425</v>
      </c>
      <c r="G22" s="462" t="s">
        <v>139</v>
      </c>
      <c r="H22" s="463"/>
      <c r="I22" s="71" t="s">
        <v>75</v>
      </c>
      <c r="J22" s="136" t="s">
        <v>65</v>
      </c>
      <c r="K22" s="85"/>
    </row>
    <row r="23" spans="1:11" ht="24" thickBot="1" x14ac:dyDescent="0.3">
      <c r="A23" s="464">
        <f>B21+A21</f>
        <v>16563</v>
      </c>
      <c r="B23" s="465"/>
      <c r="C23" s="313">
        <f>139+35+162</f>
        <v>336</v>
      </c>
      <c r="D23" s="82"/>
      <c r="E23" s="83"/>
      <c r="G23" s="464">
        <f>H21+G21</f>
        <v>18183</v>
      </c>
      <c r="H23" s="465"/>
      <c r="I23" s="313">
        <f>110+270+102+242+105+788</f>
        <v>1617</v>
      </c>
      <c r="J23" s="82"/>
      <c r="K23" s="83"/>
    </row>
    <row r="24" spans="1:11" ht="24" thickBot="1" x14ac:dyDescent="0.3">
      <c r="A24" s="466" t="s">
        <v>99</v>
      </c>
      <c r="B24" s="467"/>
      <c r="C24" s="78">
        <f>A25-C25</f>
        <v>-53</v>
      </c>
      <c r="D24" s="82"/>
      <c r="E24" s="83"/>
      <c r="G24" s="466" t="s">
        <v>99</v>
      </c>
      <c r="H24" s="467"/>
      <c r="I24" s="78">
        <f>G25-I25</f>
        <v>169</v>
      </c>
      <c r="J24" s="82"/>
      <c r="K24" s="83"/>
    </row>
    <row r="25" spans="1:11" ht="24" thickBot="1" x14ac:dyDescent="0.3">
      <c r="A25" s="468">
        <f>C23+A23</f>
        <v>16899</v>
      </c>
      <c r="B25" s="469"/>
      <c r="C25" s="121">
        <v>16952</v>
      </c>
      <c r="D25" s="82" t="s">
        <v>164</v>
      </c>
      <c r="E25" s="83">
        <f>SUM(E22:E24)</f>
        <v>1425</v>
      </c>
      <c r="G25" s="468">
        <f>I23+G23</f>
        <v>19800</v>
      </c>
      <c r="H25" s="469"/>
      <c r="I25" s="121">
        <v>19631</v>
      </c>
      <c r="J25" s="82" t="s">
        <v>164</v>
      </c>
      <c r="K25" s="83">
        <f>SUM(K22:K24)</f>
        <v>0</v>
      </c>
    </row>
    <row r="26" spans="1:11" ht="24" thickBot="1" x14ac:dyDescent="0.3">
      <c r="C26" s="314" t="str">
        <f>IF(C24&gt;0,"زيادة","عجز")</f>
        <v>عجز</v>
      </c>
      <c r="D26" s="318"/>
      <c r="I26" s="314" t="str">
        <f>IF(I24&gt;0,"زيادة","عجز")</f>
        <v>زيادة</v>
      </c>
      <c r="J26" s="318"/>
    </row>
    <row r="27" spans="1:11" x14ac:dyDescent="0.25">
      <c r="G27">
        <f>4+5+10+8+2+35+54+81+240+17+25+30+6+13+10+16+5+10+145+35+95+4+33+20+185+50+9+12+20+18+25+5+39+33+58+20+10+32+8+135+20+5+14+10+6+20+187+151+20+10+32+5+10+48+4+49+5+20+5+66+30+43+5+5+28-160-165</f>
        <v>2035</v>
      </c>
    </row>
    <row r="29" spans="1:11" ht="15.75" thickBot="1" x14ac:dyDescent="0.3"/>
    <row r="30" spans="1:11" ht="24" thickBot="1" x14ac:dyDescent="0.3">
      <c r="A30" s="76" t="s">
        <v>15</v>
      </c>
      <c r="B30" s="460">
        <v>45130</v>
      </c>
      <c r="C30" s="461"/>
      <c r="G30" s="76" t="s">
        <v>85</v>
      </c>
      <c r="H30" s="460">
        <v>45130</v>
      </c>
      <c r="I30" s="461"/>
    </row>
    <row r="31" spans="1:11" ht="21" thickBot="1" x14ac:dyDescent="0.3">
      <c r="A31" s="53" t="s">
        <v>137</v>
      </c>
      <c r="B31" s="53" t="s">
        <v>3</v>
      </c>
      <c r="C31" s="53" t="s">
        <v>138</v>
      </c>
      <c r="G31" s="53" t="s">
        <v>137</v>
      </c>
      <c r="H31" s="53" t="s">
        <v>3</v>
      </c>
      <c r="I31" s="53" t="s">
        <v>138</v>
      </c>
    </row>
    <row r="32" spans="1:11" ht="18" x14ac:dyDescent="0.25">
      <c r="A32" s="55">
        <f>10000+900+500+280</f>
        <v>11680</v>
      </c>
      <c r="B32" s="57">
        <v>90</v>
      </c>
      <c r="C32" s="56" t="s">
        <v>510</v>
      </c>
      <c r="G32" s="55">
        <f>5000+3000+950+45</f>
        <v>8995</v>
      </c>
      <c r="H32" s="77">
        <v>4750</v>
      </c>
      <c r="I32" s="57" t="s">
        <v>27</v>
      </c>
    </row>
    <row r="33" spans="1:9" ht="18" x14ac:dyDescent="0.25">
      <c r="A33" s="60"/>
      <c r="B33" s="56">
        <v>105</v>
      </c>
      <c r="C33" s="56" t="s">
        <v>32</v>
      </c>
      <c r="G33" s="60"/>
      <c r="H33" s="56">
        <v>16</v>
      </c>
      <c r="I33" s="57" t="s">
        <v>1373</v>
      </c>
    </row>
    <row r="34" spans="1:9" ht="18" x14ac:dyDescent="0.25">
      <c r="A34" s="60"/>
      <c r="B34" s="77">
        <v>345</v>
      </c>
      <c r="C34" s="56" t="s">
        <v>1369</v>
      </c>
      <c r="G34" s="60"/>
      <c r="H34" s="77">
        <v>185</v>
      </c>
      <c r="I34" s="77" t="s">
        <v>1374</v>
      </c>
    </row>
    <row r="35" spans="1:9" ht="18" x14ac:dyDescent="0.25">
      <c r="A35" s="60"/>
      <c r="B35" s="77">
        <v>2530</v>
      </c>
      <c r="C35" s="56" t="s">
        <v>645</v>
      </c>
      <c r="G35" s="60"/>
      <c r="H35" s="56">
        <v>400</v>
      </c>
      <c r="I35" s="77" t="s">
        <v>1226</v>
      </c>
    </row>
    <row r="36" spans="1:9" ht="18" x14ac:dyDescent="0.25">
      <c r="A36" s="60"/>
      <c r="B36" s="56">
        <v>445</v>
      </c>
      <c r="C36" s="56" t="s">
        <v>1370</v>
      </c>
      <c r="G36" s="60"/>
      <c r="H36" s="77"/>
      <c r="I36" s="56"/>
    </row>
    <row r="37" spans="1:9" ht="18" x14ac:dyDescent="0.25">
      <c r="A37" s="60"/>
      <c r="B37" s="77">
        <v>36</v>
      </c>
      <c r="C37" s="56" t="s">
        <v>458</v>
      </c>
      <c r="G37" s="60"/>
      <c r="H37" s="77"/>
      <c r="I37" s="56"/>
    </row>
    <row r="38" spans="1:9" ht="18" x14ac:dyDescent="0.25">
      <c r="A38" s="60"/>
      <c r="B38" s="56">
        <v>1880</v>
      </c>
      <c r="C38" s="56" t="s">
        <v>20</v>
      </c>
      <c r="G38" s="60"/>
      <c r="H38" s="56"/>
      <c r="I38" s="56"/>
    </row>
    <row r="39" spans="1:9" ht="18" x14ac:dyDescent="0.25">
      <c r="A39" s="60"/>
      <c r="B39" s="56">
        <v>210</v>
      </c>
      <c r="C39" s="56" t="s">
        <v>1319</v>
      </c>
      <c r="G39" s="60"/>
      <c r="H39" s="56"/>
      <c r="I39" s="56"/>
    </row>
    <row r="40" spans="1:9" ht="18" x14ac:dyDescent="0.25">
      <c r="A40" s="60"/>
      <c r="B40" s="56">
        <v>508</v>
      </c>
      <c r="C40" s="56" t="s">
        <v>439</v>
      </c>
      <c r="G40" s="60"/>
      <c r="H40" s="56"/>
      <c r="I40" s="56"/>
    </row>
    <row r="41" spans="1:9" ht="18" x14ac:dyDescent="0.25">
      <c r="A41" s="60"/>
      <c r="B41" s="56">
        <v>100</v>
      </c>
      <c r="C41" s="56" t="s">
        <v>1264</v>
      </c>
      <c r="G41" s="60"/>
      <c r="H41" s="56"/>
      <c r="I41" s="56"/>
    </row>
    <row r="42" spans="1:9" ht="18" x14ac:dyDescent="0.25">
      <c r="A42" s="60"/>
      <c r="B42" s="56">
        <v>100</v>
      </c>
      <c r="C42" s="56" t="s">
        <v>29</v>
      </c>
      <c r="G42" s="60"/>
      <c r="H42" s="56"/>
      <c r="I42" s="56"/>
    </row>
    <row r="43" spans="1:9" ht="18" x14ac:dyDescent="0.25">
      <c r="A43" s="60"/>
      <c r="B43" s="56">
        <v>1300</v>
      </c>
      <c r="C43" s="56" t="s">
        <v>1371</v>
      </c>
      <c r="G43" s="60"/>
      <c r="H43" s="56"/>
      <c r="I43" s="56"/>
    </row>
    <row r="44" spans="1:9" ht="18" x14ac:dyDescent="0.25">
      <c r="A44" s="60"/>
      <c r="B44" s="56">
        <v>170</v>
      </c>
      <c r="C44" s="56" t="s">
        <v>86</v>
      </c>
      <c r="G44" s="60"/>
      <c r="H44" s="56"/>
      <c r="I44" s="56"/>
    </row>
    <row r="45" spans="1:9" ht="18" x14ac:dyDescent="0.25">
      <c r="A45" s="60"/>
      <c r="B45" s="56">
        <v>540</v>
      </c>
      <c r="C45" s="56" t="s">
        <v>715</v>
      </c>
      <c r="G45" s="60"/>
      <c r="H45" s="56"/>
      <c r="I45" s="56"/>
    </row>
    <row r="46" spans="1:9" ht="18" x14ac:dyDescent="0.25">
      <c r="A46" s="60"/>
      <c r="B46" s="56">
        <v>100</v>
      </c>
      <c r="C46" s="56" t="s">
        <v>1372</v>
      </c>
      <c r="G46" s="60"/>
      <c r="H46" s="56"/>
      <c r="I46" s="56"/>
    </row>
    <row r="47" spans="1:9" ht="18" x14ac:dyDescent="0.25">
      <c r="A47" s="60"/>
      <c r="B47" s="56">
        <v>160</v>
      </c>
      <c r="C47" s="56" t="s">
        <v>498</v>
      </c>
      <c r="G47" s="60"/>
      <c r="H47" s="56"/>
      <c r="I47" s="56"/>
    </row>
    <row r="48" spans="1:9" ht="18" x14ac:dyDescent="0.25">
      <c r="A48" s="60"/>
      <c r="B48" s="56">
        <v>170</v>
      </c>
      <c r="C48" s="56" t="s">
        <v>15</v>
      </c>
      <c r="G48" s="60"/>
      <c r="H48" s="56"/>
      <c r="I48" s="56"/>
    </row>
    <row r="49" spans="1:11" ht="18" x14ac:dyDescent="0.25">
      <c r="A49" s="60"/>
      <c r="B49" s="56"/>
      <c r="C49" s="56"/>
      <c r="G49" s="60"/>
      <c r="H49" s="56"/>
      <c r="I49" s="56"/>
    </row>
    <row r="50" spans="1:11" ht="18" x14ac:dyDescent="0.25">
      <c r="A50" s="60"/>
      <c r="B50" s="56"/>
      <c r="C50" s="56"/>
      <c r="G50" s="60"/>
      <c r="H50" s="56"/>
      <c r="I50" s="56"/>
    </row>
    <row r="51" spans="1:11" ht="18.75" thickBot="1" x14ac:dyDescent="0.3">
      <c r="A51" s="60"/>
      <c r="B51" s="56"/>
      <c r="C51" s="56"/>
      <c r="G51" s="60"/>
      <c r="I51" s="56"/>
    </row>
    <row r="52" spans="1:11" ht="24" thickBot="1" x14ac:dyDescent="0.3">
      <c r="A52" s="66"/>
      <c r="B52" s="56"/>
      <c r="C52" s="64"/>
      <c r="D52" s="314" t="str">
        <f>IF(E52&gt;0,"زيادة","عجز")</f>
        <v>زيادة</v>
      </c>
      <c r="E52" s="99">
        <f>E57-E53</f>
        <v>507</v>
      </c>
      <c r="G52" s="66"/>
      <c r="H52" s="56"/>
      <c r="I52" s="64"/>
      <c r="J52" s="314" t="str">
        <f>IF(K52&gt;0,"زيادة","عجز")</f>
        <v>عجز</v>
      </c>
      <c r="K52" s="99">
        <f>K57-K53</f>
        <v>0</v>
      </c>
    </row>
    <row r="53" spans="1:11" ht="24" thickBot="1" x14ac:dyDescent="0.3">
      <c r="A53" s="68">
        <f>SUM(A32:A52)</f>
        <v>11680</v>
      </c>
      <c r="B53" s="69">
        <f>SUM(B32:B52)</f>
        <v>8789</v>
      </c>
      <c r="D53" s="135" t="s">
        <v>94</v>
      </c>
      <c r="E53" s="99"/>
      <c r="G53" s="68">
        <f>SUM(G32:G52)</f>
        <v>8995</v>
      </c>
      <c r="H53" s="69">
        <f>SUM(H32:H52)</f>
        <v>5351</v>
      </c>
      <c r="J53" s="135" t="s">
        <v>94</v>
      </c>
      <c r="K53" s="99"/>
    </row>
    <row r="54" spans="1:11" ht="21.75" thickBot="1" x14ac:dyDescent="0.3">
      <c r="A54" s="462" t="s">
        <v>139</v>
      </c>
      <c r="B54" s="463"/>
      <c r="C54" s="71" t="s">
        <v>75</v>
      </c>
      <c r="D54" s="136" t="s">
        <v>65</v>
      </c>
      <c r="E54" s="85">
        <f>2+350+155</f>
        <v>507</v>
      </c>
      <c r="G54" s="462" t="s">
        <v>139</v>
      </c>
      <c r="H54" s="463"/>
      <c r="I54" s="71" t="s">
        <v>75</v>
      </c>
      <c r="J54" s="136" t="s">
        <v>65</v>
      </c>
      <c r="K54" s="85"/>
    </row>
    <row r="55" spans="1:11" ht="24" thickBot="1" x14ac:dyDescent="0.3">
      <c r="A55" s="464">
        <f>B53+A53</f>
        <v>20469</v>
      </c>
      <c r="B55" s="465"/>
      <c r="C55" s="313">
        <f>100+320+285+96</f>
        <v>801</v>
      </c>
      <c r="D55" s="82"/>
      <c r="E55" s="83"/>
      <c r="G55" s="464">
        <f>H53+G53</f>
        <v>14346</v>
      </c>
      <c r="H55" s="465"/>
      <c r="I55" s="313">
        <v>753</v>
      </c>
      <c r="J55" s="82"/>
      <c r="K55" s="83"/>
    </row>
    <row r="56" spans="1:11" ht="24" thickBot="1" x14ac:dyDescent="0.3">
      <c r="A56" s="466" t="s">
        <v>99</v>
      </c>
      <c r="B56" s="467"/>
      <c r="C56" s="78">
        <f>A57-C57</f>
        <v>17</v>
      </c>
      <c r="D56" s="82"/>
      <c r="E56" s="83"/>
      <c r="G56" s="466" t="s">
        <v>99</v>
      </c>
      <c r="H56" s="467"/>
      <c r="I56" s="78">
        <f>G57-I57</f>
        <v>-33</v>
      </c>
      <c r="J56" s="82"/>
      <c r="K56" s="83"/>
    </row>
    <row r="57" spans="1:11" ht="24" thickBot="1" x14ac:dyDescent="0.3">
      <c r="A57" s="468">
        <f>C55+A55</f>
        <v>21270</v>
      </c>
      <c r="B57" s="469"/>
      <c r="C57" s="121">
        <v>21253</v>
      </c>
      <c r="D57" s="82" t="s">
        <v>164</v>
      </c>
      <c r="E57" s="83">
        <f>SUM(E54:E56)</f>
        <v>507</v>
      </c>
      <c r="G57" s="468">
        <f>I55+G55</f>
        <v>15099</v>
      </c>
      <c r="H57" s="469"/>
      <c r="I57" s="121">
        <v>15132</v>
      </c>
      <c r="J57" s="82" t="s">
        <v>164</v>
      </c>
      <c r="K57" s="83">
        <f>SUM(K54:K56)</f>
        <v>0</v>
      </c>
    </row>
    <row r="58" spans="1:11" ht="24" thickBot="1" x14ac:dyDescent="0.3">
      <c r="C58" s="314" t="str">
        <f>IF(C56&gt;0,"زيادة","عجز")</f>
        <v>زيادة</v>
      </c>
      <c r="D58" s="318"/>
      <c r="I58" s="314" t="str">
        <f>IF(I56&gt;0,"زيادة","عجز")</f>
        <v>عجز</v>
      </c>
      <c r="J58" s="318"/>
    </row>
    <row r="62" spans="1:11" ht="15.75" thickBot="1" x14ac:dyDescent="0.3"/>
    <row r="63" spans="1:11" ht="24" thickBot="1" x14ac:dyDescent="0.3">
      <c r="A63" s="76" t="s">
        <v>1162</v>
      </c>
      <c r="B63" s="460">
        <v>45130</v>
      </c>
      <c r="C63" s="474"/>
      <c r="G63" s="76" t="s">
        <v>6</v>
      </c>
      <c r="H63" s="460">
        <v>45129</v>
      </c>
      <c r="I63" s="461"/>
    </row>
    <row r="64" spans="1:11" ht="21" thickBot="1" x14ac:dyDescent="0.3">
      <c r="A64" s="53" t="s">
        <v>137</v>
      </c>
      <c r="B64" s="53" t="s">
        <v>3</v>
      </c>
      <c r="C64" s="53" t="s">
        <v>138</v>
      </c>
      <c r="G64" s="53" t="s">
        <v>137</v>
      </c>
      <c r="H64" s="53" t="s">
        <v>3</v>
      </c>
      <c r="I64" s="53" t="s">
        <v>138</v>
      </c>
    </row>
    <row r="65" spans="1:9" ht="18" x14ac:dyDescent="0.25">
      <c r="A65" s="55">
        <f>5000+1350+300</f>
        <v>6650</v>
      </c>
      <c r="B65" s="77">
        <v>105</v>
      </c>
      <c r="C65" s="57" t="s">
        <v>376</v>
      </c>
      <c r="G65" s="55"/>
      <c r="H65" s="77"/>
      <c r="I65" s="57"/>
    </row>
    <row r="66" spans="1:9" ht="18" x14ac:dyDescent="0.25">
      <c r="A66" s="60"/>
      <c r="B66" s="56">
        <v>190</v>
      </c>
      <c r="C66" s="57" t="s">
        <v>341</v>
      </c>
      <c r="G66" s="60"/>
      <c r="H66" s="56"/>
      <c r="I66" s="57"/>
    </row>
    <row r="67" spans="1:9" ht="18" x14ac:dyDescent="0.25">
      <c r="A67" s="60"/>
      <c r="B67" s="77">
        <v>85</v>
      </c>
      <c r="C67" s="77" t="s">
        <v>1219</v>
      </c>
      <c r="G67" s="60"/>
      <c r="H67" s="77"/>
      <c r="I67" s="77"/>
    </row>
    <row r="68" spans="1:9" ht="18" x14ac:dyDescent="0.25">
      <c r="A68" s="60"/>
      <c r="B68" s="56">
        <v>90</v>
      </c>
      <c r="C68" s="77" t="s">
        <v>223</v>
      </c>
      <c r="G68" s="60"/>
      <c r="H68" s="56"/>
      <c r="I68" s="77"/>
    </row>
    <row r="69" spans="1:9" ht="18" x14ac:dyDescent="0.25">
      <c r="A69" s="60"/>
      <c r="B69" s="77">
        <v>110</v>
      </c>
      <c r="C69" s="56" t="s">
        <v>741</v>
      </c>
      <c r="G69" s="60"/>
      <c r="H69" s="77"/>
      <c r="I69" s="56"/>
    </row>
    <row r="70" spans="1:9" ht="18" x14ac:dyDescent="0.25">
      <c r="A70" s="60"/>
      <c r="B70" s="77">
        <v>15</v>
      </c>
      <c r="C70" s="56" t="s">
        <v>1318</v>
      </c>
      <c r="G70" s="60"/>
      <c r="H70" s="77"/>
      <c r="I70" s="56"/>
    </row>
    <row r="71" spans="1:9" ht="18" x14ac:dyDescent="0.25">
      <c r="A71" s="60"/>
      <c r="B71" s="56"/>
      <c r="C71" s="56"/>
      <c r="G71" s="60"/>
      <c r="H71" s="56"/>
      <c r="I71" s="56"/>
    </row>
    <row r="72" spans="1:9" ht="18" x14ac:dyDescent="0.25">
      <c r="A72" s="60"/>
      <c r="B72" s="56"/>
      <c r="C72" s="56"/>
      <c r="G72" s="60"/>
      <c r="H72" s="56"/>
      <c r="I72" s="56"/>
    </row>
    <row r="73" spans="1:9" ht="18" x14ac:dyDescent="0.25">
      <c r="A73" s="60"/>
      <c r="B73" s="56"/>
      <c r="C73" s="56"/>
      <c r="G73" s="60"/>
      <c r="H73" s="56"/>
      <c r="I73" s="56"/>
    </row>
    <row r="74" spans="1:9" ht="18" x14ac:dyDescent="0.25">
      <c r="A74" s="60"/>
      <c r="B74" s="56"/>
      <c r="C74" s="56"/>
      <c r="G74" s="60"/>
      <c r="H74" s="56"/>
      <c r="I74" s="56"/>
    </row>
    <row r="75" spans="1:9" ht="18" x14ac:dyDescent="0.25">
      <c r="A75" s="60"/>
      <c r="B75" s="56"/>
      <c r="C75" s="56"/>
      <c r="G75" s="60"/>
      <c r="H75" s="56"/>
      <c r="I75" s="56"/>
    </row>
    <row r="76" spans="1:9" ht="18" x14ac:dyDescent="0.25">
      <c r="A76" s="60"/>
      <c r="B76" s="56"/>
      <c r="C76" s="56"/>
      <c r="G76" s="60"/>
      <c r="H76" s="56"/>
      <c r="I76" s="56"/>
    </row>
    <row r="77" spans="1:9" ht="18" x14ac:dyDescent="0.25">
      <c r="A77" s="60"/>
      <c r="B77" s="56"/>
      <c r="C77" s="56"/>
      <c r="G77" s="60"/>
      <c r="H77" s="56"/>
      <c r="I77" s="56"/>
    </row>
    <row r="78" spans="1:9" ht="18" x14ac:dyDescent="0.25">
      <c r="A78" s="60"/>
      <c r="B78" s="56"/>
      <c r="C78" s="56"/>
      <c r="G78" s="60"/>
      <c r="H78" s="56"/>
      <c r="I78" s="56"/>
    </row>
    <row r="79" spans="1:9" ht="18" x14ac:dyDescent="0.25">
      <c r="A79" s="60"/>
      <c r="B79" s="56"/>
      <c r="C79" s="56"/>
      <c r="G79" s="60"/>
      <c r="H79" s="56"/>
      <c r="I79" s="56"/>
    </row>
    <row r="80" spans="1:9" ht="27" thickBot="1" x14ac:dyDescent="0.45">
      <c r="A80" s="60"/>
      <c r="B80" s="56"/>
      <c r="C80" s="56"/>
      <c r="D80" s="477" t="s">
        <v>1386</v>
      </c>
      <c r="E80" s="478"/>
      <c r="G80" s="60"/>
      <c r="H80" s="56"/>
      <c r="I80" s="56"/>
    </row>
    <row r="81" spans="1:11" ht="24" thickBot="1" x14ac:dyDescent="0.3">
      <c r="A81" s="66"/>
      <c r="B81" s="56"/>
      <c r="C81" s="64"/>
      <c r="D81" s="314" t="str">
        <f>IF(E81&gt;0,"زيادة","عجز")</f>
        <v>عجز</v>
      </c>
      <c r="E81" s="99">
        <f>E87-E82</f>
        <v>-479</v>
      </c>
      <c r="G81" s="60"/>
      <c r="H81" s="56"/>
      <c r="I81" s="56"/>
    </row>
    <row r="82" spans="1:11" ht="24" thickBot="1" x14ac:dyDescent="0.3">
      <c r="A82" s="68">
        <f>SUM(A65:A81)</f>
        <v>6650</v>
      </c>
      <c r="B82" s="69">
        <f>SUM(B65:B81)</f>
        <v>595</v>
      </c>
      <c r="D82" s="135" t="s">
        <v>94</v>
      </c>
      <c r="E82" s="99">
        <f>5368-3435</f>
        <v>1933</v>
      </c>
      <c r="G82" s="60"/>
      <c r="H82" s="56"/>
      <c r="I82" s="56"/>
    </row>
    <row r="83" spans="1:11" ht="21.75" thickBot="1" x14ac:dyDescent="0.3">
      <c r="A83" s="365" t="s">
        <v>139</v>
      </c>
      <c r="B83" s="366"/>
      <c r="C83" s="71" t="s">
        <v>75</v>
      </c>
      <c r="D83" s="136" t="s">
        <v>65</v>
      </c>
      <c r="E83" s="85">
        <f>900+185+2</f>
        <v>1087</v>
      </c>
      <c r="G83" s="60"/>
      <c r="H83" s="56"/>
      <c r="I83" s="56"/>
    </row>
    <row r="84" spans="1:11" ht="24" thickBot="1" x14ac:dyDescent="0.3">
      <c r="A84" s="367">
        <f>B82+A82</f>
        <v>7245</v>
      </c>
      <c r="B84" s="368"/>
      <c r="C84" s="313">
        <v>20</v>
      </c>
      <c r="D84" s="82" t="s">
        <v>21</v>
      </c>
      <c r="E84" s="83">
        <v>72</v>
      </c>
      <c r="G84" s="66"/>
      <c r="H84" s="56"/>
      <c r="I84" s="64"/>
      <c r="J84" s="314" t="str">
        <f>IF(K84&gt;0,"زيادة","عجز")</f>
        <v>عجز</v>
      </c>
      <c r="K84" s="99">
        <f>K89-K85</f>
        <v>0</v>
      </c>
    </row>
    <row r="85" spans="1:11" ht="24" thickBot="1" x14ac:dyDescent="0.3">
      <c r="A85" s="369" t="s">
        <v>99</v>
      </c>
      <c r="B85" s="370"/>
      <c r="C85" s="78">
        <f>A86-C86</f>
        <v>528</v>
      </c>
      <c r="D85" s="82" t="s">
        <v>1378</v>
      </c>
      <c r="E85" s="83">
        <v>275</v>
      </c>
      <c r="G85" s="68">
        <f>SUM(G65:G84)</f>
        <v>0</v>
      </c>
      <c r="H85" s="69">
        <f>SUM(H65:H84)</f>
        <v>0</v>
      </c>
      <c r="J85" s="135" t="s">
        <v>94</v>
      </c>
      <c r="K85" s="99"/>
    </row>
    <row r="86" spans="1:11" ht="24" thickBot="1" x14ac:dyDescent="0.3">
      <c r="A86" s="371">
        <f>C84+A84</f>
        <v>7265</v>
      </c>
      <c r="B86" s="372"/>
      <c r="C86" s="121">
        <v>6737</v>
      </c>
      <c r="D86" s="82" t="s">
        <v>373</v>
      </c>
      <c r="E86" s="83">
        <v>20</v>
      </c>
      <c r="G86" s="462" t="s">
        <v>139</v>
      </c>
      <c r="H86" s="463"/>
      <c r="I86" s="71" t="s">
        <v>75</v>
      </c>
      <c r="J86" s="136" t="s">
        <v>65</v>
      </c>
      <c r="K86" s="85"/>
    </row>
    <row r="87" spans="1:11" ht="24" thickBot="1" x14ac:dyDescent="0.3">
      <c r="C87" s="314" t="str">
        <f>IF(C85&gt;0,"زيادة","عجز")</f>
        <v>زيادة</v>
      </c>
      <c r="D87" s="82" t="s">
        <v>164</v>
      </c>
      <c r="E87" s="83">
        <f>SUM(E83:E86)</f>
        <v>1454</v>
      </c>
      <c r="G87" s="464">
        <f>H85+G85</f>
        <v>0</v>
      </c>
      <c r="H87" s="465"/>
      <c r="I87" s="313"/>
      <c r="J87" s="82"/>
      <c r="K87" s="83"/>
    </row>
    <row r="88" spans="1:11" ht="24" thickBot="1" x14ac:dyDescent="0.3">
      <c r="D88" s="318"/>
      <c r="G88" s="466" t="s">
        <v>99</v>
      </c>
      <c r="H88" s="467"/>
      <c r="I88" s="78">
        <f>G89-I89</f>
        <v>0</v>
      </c>
      <c r="J88" s="82"/>
      <c r="K88" s="83"/>
    </row>
    <row r="89" spans="1:11" ht="24" thickBot="1" x14ac:dyDescent="0.3">
      <c r="G89" s="468">
        <f>I87+G87</f>
        <v>0</v>
      </c>
      <c r="H89" s="469"/>
      <c r="I89" s="121"/>
      <c r="J89" s="82" t="s">
        <v>164</v>
      </c>
      <c r="K89" s="83">
        <f>SUM(K86:K88)</f>
        <v>0</v>
      </c>
    </row>
    <row r="90" spans="1:11" ht="24" thickBot="1" x14ac:dyDescent="0.3">
      <c r="I90" s="314" t="str">
        <f>IF(I88&gt;0,"زيادة","عجز")</f>
        <v>عجز</v>
      </c>
      <c r="J90" s="318"/>
    </row>
    <row r="91" spans="1:11" ht="24" thickBot="1" x14ac:dyDescent="0.3">
      <c r="I91" s="372"/>
      <c r="J91" s="104"/>
    </row>
    <row r="92" spans="1:11" ht="24" thickBot="1" x14ac:dyDescent="0.3">
      <c r="A92" s="76" t="s">
        <v>1162</v>
      </c>
      <c r="B92" s="460">
        <v>45126</v>
      </c>
      <c r="C92" s="474"/>
      <c r="G92" s="76" t="s">
        <v>15</v>
      </c>
      <c r="H92" s="460">
        <v>45130</v>
      </c>
      <c r="I92" s="461"/>
    </row>
    <row r="93" spans="1:11" ht="21" thickBot="1" x14ac:dyDescent="0.3">
      <c r="A93" s="53" t="s">
        <v>137</v>
      </c>
      <c r="B93" s="53" t="s">
        <v>3</v>
      </c>
      <c r="C93" s="53" t="s">
        <v>138</v>
      </c>
      <c r="G93" s="53" t="s">
        <v>137</v>
      </c>
      <c r="H93" s="53" t="s">
        <v>3</v>
      </c>
      <c r="I93" s="53" t="s">
        <v>138</v>
      </c>
    </row>
    <row r="94" spans="1:11" ht="18" x14ac:dyDescent="0.25">
      <c r="A94" s="55"/>
      <c r="B94" s="77"/>
      <c r="C94" s="57"/>
      <c r="G94" s="55"/>
      <c r="H94" s="77"/>
      <c r="I94" s="57"/>
    </row>
    <row r="95" spans="1:11" ht="18" x14ac:dyDescent="0.25">
      <c r="A95" s="60"/>
      <c r="B95" s="56"/>
      <c r="C95" s="57"/>
      <c r="G95" s="60"/>
      <c r="H95" s="56"/>
      <c r="I95" s="57"/>
    </row>
    <row r="96" spans="1:11" ht="18" x14ac:dyDescent="0.25">
      <c r="A96" s="60"/>
      <c r="B96" s="77"/>
      <c r="C96" s="77"/>
      <c r="G96" s="60"/>
      <c r="H96" s="77"/>
      <c r="I96" s="77"/>
    </row>
    <row r="97" spans="1:9" ht="18" x14ac:dyDescent="0.25">
      <c r="A97" s="60"/>
      <c r="B97" s="56"/>
      <c r="C97" s="77"/>
      <c r="G97" s="60"/>
      <c r="H97" s="56"/>
      <c r="I97" s="77"/>
    </row>
    <row r="98" spans="1:9" ht="18" x14ac:dyDescent="0.25">
      <c r="A98" s="60"/>
      <c r="B98" s="77"/>
      <c r="C98" s="56"/>
      <c r="G98" s="60"/>
      <c r="H98" s="77"/>
      <c r="I98" s="56"/>
    </row>
    <row r="99" spans="1:9" ht="18" x14ac:dyDescent="0.25">
      <c r="A99" s="60"/>
      <c r="B99" s="77"/>
      <c r="C99" s="56"/>
      <c r="G99" s="60"/>
      <c r="H99" s="77"/>
      <c r="I99" s="56"/>
    </row>
    <row r="100" spans="1:9" ht="18" x14ac:dyDescent="0.25">
      <c r="A100" s="60"/>
      <c r="B100" s="56"/>
      <c r="C100" s="56"/>
      <c r="G100" s="60"/>
      <c r="H100" s="56"/>
      <c r="I100" s="56"/>
    </row>
    <row r="101" spans="1:9" ht="18" x14ac:dyDescent="0.25">
      <c r="A101" s="60"/>
      <c r="B101" s="56"/>
      <c r="C101" s="56"/>
      <c r="G101" s="60"/>
      <c r="H101" s="56"/>
      <c r="I101" s="56"/>
    </row>
    <row r="102" spans="1:9" ht="18" x14ac:dyDescent="0.25">
      <c r="A102" s="60"/>
      <c r="B102" s="56"/>
      <c r="C102" s="56"/>
      <c r="G102" s="60"/>
      <c r="H102" s="56"/>
      <c r="I102" s="56"/>
    </row>
    <row r="103" spans="1:9" ht="18" x14ac:dyDescent="0.25">
      <c r="A103" s="60"/>
      <c r="B103" s="56"/>
      <c r="C103" s="56"/>
      <c r="G103" s="60"/>
      <c r="H103" s="56"/>
      <c r="I103" s="56"/>
    </row>
    <row r="104" spans="1:9" ht="18" x14ac:dyDescent="0.25">
      <c r="A104" s="60"/>
      <c r="B104" s="56"/>
      <c r="C104" s="56"/>
      <c r="G104" s="60"/>
      <c r="H104" s="56"/>
      <c r="I104" s="56"/>
    </row>
    <row r="105" spans="1:9" ht="18" x14ac:dyDescent="0.25">
      <c r="A105" s="60"/>
      <c r="B105" s="56"/>
      <c r="C105" s="56"/>
      <c r="G105" s="60"/>
      <c r="H105" s="56"/>
      <c r="I105" s="56"/>
    </row>
    <row r="106" spans="1:9" ht="18" x14ac:dyDescent="0.25">
      <c r="A106" s="60"/>
      <c r="B106" s="56"/>
      <c r="C106" s="56"/>
      <c r="G106" s="60"/>
      <c r="H106" s="56"/>
      <c r="I106" s="56"/>
    </row>
    <row r="107" spans="1:9" ht="18" x14ac:dyDescent="0.25">
      <c r="A107" s="60"/>
      <c r="B107" s="56"/>
      <c r="C107" s="56"/>
      <c r="G107" s="60"/>
      <c r="H107" s="56"/>
      <c r="I107" s="56"/>
    </row>
    <row r="108" spans="1:9" ht="18" x14ac:dyDescent="0.25">
      <c r="A108" s="60"/>
      <c r="B108" s="56"/>
      <c r="C108" s="56"/>
      <c r="G108" s="60"/>
      <c r="H108" s="56"/>
      <c r="I108" s="56"/>
    </row>
    <row r="109" spans="1:9" ht="18" x14ac:dyDescent="0.25">
      <c r="A109" s="60"/>
      <c r="B109" s="56"/>
      <c r="C109" s="56"/>
      <c r="G109" s="60"/>
      <c r="H109" s="56"/>
      <c r="I109" s="56"/>
    </row>
    <row r="110" spans="1:9" ht="18" x14ac:dyDescent="0.25">
      <c r="A110" s="60"/>
      <c r="B110" s="56"/>
      <c r="C110" s="56"/>
      <c r="G110" s="60"/>
      <c r="H110" s="56"/>
      <c r="I110" s="56"/>
    </row>
    <row r="111" spans="1:9" ht="18" x14ac:dyDescent="0.25">
      <c r="A111" s="60"/>
      <c r="B111" s="56"/>
      <c r="C111" s="56"/>
      <c r="G111" s="60"/>
      <c r="H111" s="56"/>
      <c r="I111" s="56"/>
    </row>
    <row r="112" spans="1:9" ht="18" x14ac:dyDescent="0.25">
      <c r="A112" s="60"/>
      <c r="B112" s="56"/>
      <c r="C112" s="56"/>
      <c r="G112" s="60"/>
      <c r="H112" s="56"/>
      <c r="I112" s="56"/>
    </row>
    <row r="113" spans="1:11" ht="18" x14ac:dyDescent="0.25">
      <c r="A113" s="60"/>
      <c r="B113" s="56"/>
      <c r="C113" s="56"/>
      <c r="G113" s="60"/>
      <c r="H113" s="56"/>
      <c r="I113" s="56"/>
    </row>
    <row r="114" spans="1:11" ht="18" x14ac:dyDescent="0.25">
      <c r="A114" s="60"/>
      <c r="B114" s="56"/>
      <c r="C114" s="56"/>
      <c r="G114" s="60"/>
      <c r="H114" s="56"/>
      <c r="I114" s="56"/>
    </row>
    <row r="115" spans="1:11" ht="18.75" thickBot="1" x14ac:dyDescent="0.3">
      <c r="A115" s="60"/>
      <c r="B115" s="56"/>
      <c r="C115" s="56"/>
      <c r="G115" s="60"/>
      <c r="H115" s="56"/>
      <c r="I115" s="56"/>
    </row>
    <row r="116" spans="1:11" ht="24" thickBot="1" x14ac:dyDescent="0.3">
      <c r="A116" s="66"/>
      <c r="B116" s="56"/>
      <c r="C116" s="64"/>
      <c r="E116" s="424"/>
      <c r="G116" s="66"/>
      <c r="H116" s="56"/>
      <c r="I116" s="64"/>
      <c r="J116" s="314" t="str">
        <f>IF(K116&gt;0,"زيادة","عجز")</f>
        <v>عجز</v>
      </c>
      <c r="K116" s="99">
        <f>K121-K117</f>
        <v>0</v>
      </c>
    </row>
    <row r="117" spans="1:11" ht="24" thickBot="1" x14ac:dyDescent="0.3">
      <c r="A117" s="68">
        <f>SUM(A94:A116)</f>
        <v>0</v>
      </c>
      <c r="B117" s="69">
        <f>SUM(B94:B116)</f>
        <v>0</v>
      </c>
      <c r="D117" s="314" t="str">
        <f>IF(E117&gt;0,"زيادة","عجز")</f>
        <v>عجز</v>
      </c>
      <c r="E117" s="99">
        <f>E122-E118</f>
        <v>0</v>
      </c>
      <c r="G117" s="68">
        <f>SUM(G94:G116)</f>
        <v>0</v>
      </c>
      <c r="H117" s="69">
        <f>SUM(H94:H116)</f>
        <v>0</v>
      </c>
      <c r="J117" s="135" t="s">
        <v>94</v>
      </c>
      <c r="K117" s="85"/>
    </row>
    <row r="118" spans="1:11" ht="24" thickBot="1" x14ac:dyDescent="0.3">
      <c r="A118" s="365" t="s">
        <v>139</v>
      </c>
      <c r="B118" s="366"/>
      <c r="C118" s="71" t="s">
        <v>75</v>
      </c>
      <c r="D118" s="135" t="s">
        <v>94</v>
      </c>
      <c r="E118" s="99"/>
      <c r="G118" s="462" t="s">
        <v>139</v>
      </c>
      <c r="H118" s="463"/>
      <c r="I118" s="71" t="s">
        <v>75</v>
      </c>
      <c r="J118" s="136" t="s">
        <v>65</v>
      </c>
      <c r="K118" s="85"/>
    </row>
    <row r="119" spans="1:11" ht="24" thickBot="1" x14ac:dyDescent="0.3">
      <c r="A119" s="367">
        <f>B117+A117</f>
        <v>0</v>
      </c>
      <c r="B119" s="368"/>
      <c r="C119" s="313"/>
      <c r="D119" s="136" t="s">
        <v>65</v>
      </c>
      <c r="E119" s="85"/>
      <c r="G119" s="464">
        <f>H117+G117</f>
        <v>0</v>
      </c>
      <c r="H119" s="465"/>
      <c r="I119" s="313"/>
      <c r="J119" s="82"/>
      <c r="K119" s="83"/>
    </row>
    <row r="120" spans="1:11" ht="24" thickBot="1" x14ac:dyDescent="0.3">
      <c r="A120" s="466" t="s">
        <v>99</v>
      </c>
      <c r="B120" s="467"/>
      <c r="C120" s="78">
        <f>A121-C121</f>
        <v>0</v>
      </c>
      <c r="D120" s="82"/>
      <c r="E120" s="83"/>
      <c r="G120" s="466" t="s">
        <v>99</v>
      </c>
      <c r="H120" s="467"/>
      <c r="I120" s="78">
        <f>G121-I121</f>
        <v>0</v>
      </c>
      <c r="J120" s="82"/>
      <c r="K120" s="83"/>
    </row>
    <row r="121" spans="1:11" ht="24" thickBot="1" x14ac:dyDescent="0.3">
      <c r="A121" s="468">
        <f>C119+A119</f>
        <v>0</v>
      </c>
      <c r="B121" s="469"/>
      <c r="C121" s="121"/>
      <c r="D121" s="82"/>
      <c r="E121" s="83"/>
      <c r="G121" s="468">
        <f>I119+G119</f>
        <v>0</v>
      </c>
      <c r="H121" s="469"/>
      <c r="I121" s="121"/>
      <c r="J121" s="82" t="s">
        <v>164</v>
      </c>
      <c r="K121" s="83">
        <f>SUM(K118:K120)</f>
        <v>0</v>
      </c>
    </row>
    <row r="122" spans="1:11" ht="24" thickBot="1" x14ac:dyDescent="0.3">
      <c r="C122" s="314" t="str">
        <f>IF(C120&gt;0,"زيادة","عجز")</f>
        <v>عجز</v>
      </c>
      <c r="D122" s="82" t="s">
        <v>164</v>
      </c>
      <c r="E122" s="83">
        <f>SUM(E119:E121)</f>
        <v>0</v>
      </c>
      <c r="I122" s="314" t="str">
        <f>IF(I120&gt;0,"زيادة","عجز")</f>
        <v>عجز</v>
      </c>
      <c r="J122" s="318"/>
    </row>
    <row r="123" spans="1:11" ht="18.75" x14ac:dyDescent="0.25">
      <c r="D123" s="318"/>
    </row>
    <row r="124" spans="1:11" ht="15.75" thickBot="1" x14ac:dyDescent="0.3"/>
    <row r="125" spans="1:11" ht="24" thickBot="1" x14ac:dyDescent="0.3">
      <c r="A125" s="425" t="s">
        <v>15</v>
      </c>
      <c r="B125" s="460">
        <v>45127</v>
      </c>
      <c r="C125" s="461"/>
      <c r="G125" s="425" t="s">
        <v>85</v>
      </c>
      <c r="H125" s="460">
        <v>45127</v>
      </c>
      <c r="I125" s="461"/>
    </row>
    <row r="126" spans="1:11" ht="21" thickBot="1" x14ac:dyDescent="0.3">
      <c r="A126" s="53" t="s">
        <v>137</v>
      </c>
      <c r="B126" s="53" t="s">
        <v>3</v>
      </c>
      <c r="C126" s="53" t="s">
        <v>138</v>
      </c>
      <c r="G126" s="53" t="s">
        <v>137</v>
      </c>
      <c r="H126" s="53" t="s">
        <v>3</v>
      </c>
      <c r="I126" s="53" t="s">
        <v>138</v>
      </c>
    </row>
    <row r="127" spans="1:11" ht="18" x14ac:dyDescent="0.25">
      <c r="A127" s="55"/>
      <c r="B127" s="77"/>
      <c r="C127" s="57"/>
      <c r="G127" s="55"/>
      <c r="H127" s="77"/>
      <c r="I127" s="57"/>
    </row>
    <row r="128" spans="1:11" ht="18" x14ac:dyDescent="0.25">
      <c r="A128" s="60"/>
      <c r="B128" s="56"/>
      <c r="C128" s="57"/>
      <c r="G128" s="60"/>
      <c r="H128" s="56"/>
      <c r="I128" s="57"/>
    </row>
    <row r="129" spans="1:9" ht="18" x14ac:dyDescent="0.25">
      <c r="A129" s="60"/>
      <c r="B129" s="77"/>
      <c r="C129" s="77"/>
      <c r="G129" s="60"/>
      <c r="H129" s="77"/>
      <c r="I129" s="77"/>
    </row>
    <row r="130" spans="1:9" ht="18" x14ac:dyDescent="0.25">
      <c r="A130" s="60"/>
      <c r="B130" s="56"/>
      <c r="C130" s="77"/>
      <c r="G130" s="60"/>
      <c r="H130" s="56"/>
      <c r="I130" s="77"/>
    </row>
    <row r="131" spans="1:9" ht="18" x14ac:dyDescent="0.25">
      <c r="A131" s="60"/>
      <c r="B131" s="77"/>
      <c r="C131" s="56"/>
      <c r="G131" s="60"/>
      <c r="H131" s="77"/>
      <c r="I131" s="56"/>
    </row>
    <row r="132" spans="1:9" ht="18" x14ac:dyDescent="0.25">
      <c r="A132" s="60"/>
      <c r="B132" s="77"/>
      <c r="C132" s="56"/>
      <c r="G132" s="60"/>
      <c r="H132" s="77"/>
      <c r="I132" s="56"/>
    </row>
    <row r="133" spans="1:9" ht="18" x14ac:dyDescent="0.25">
      <c r="A133" s="60"/>
      <c r="B133" s="56"/>
      <c r="C133" s="56"/>
      <c r="G133" s="60"/>
      <c r="H133" s="56"/>
      <c r="I133" s="56"/>
    </row>
    <row r="134" spans="1:9" ht="18" x14ac:dyDescent="0.25">
      <c r="A134" s="60"/>
      <c r="B134" s="56"/>
      <c r="C134" s="56"/>
      <c r="G134" s="60"/>
      <c r="H134" s="56"/>
      <c r="I134" s="56"/>
    </row>
    <row r="135" spans="1:9" ht="18" x14ac:dyDescent="0.25">
      <c r="A135" s="60"/>
      <c r="B135" s="56"/>
      <c r="C135" s="56"/>
      <c r="G135" s="60"/>
      <c r="H135" s="56"/>
      <c r="I135" s="56"/>
    </row>
    <row r="136" spans="1:9" ht="18" x14ac:dyDescent="0.25">
      <c r="A136" s="60"/>
      <c r="B136" s="56"/>
      <c r="C136" s="56"/>
      <c r="G136" s="60"/>
      <c r="H136" s="56"/>
      <c r="I136" s="56"/>
    </row>
    <row r="137" spans="1:9" ht="18" x14ac:dyDescent="0.25">
      <c r="A137" s="60"/>
      <c r="B137" s="56"/>
      <c r="C137" s="56"/>
      <c r="G137" s="60"/>
      <c r="H137" s="56"/>
      <c r="I137" s="56"/>
    </row>
    <row r="138" spans="1:9" ht="18" x14ac:dyDescent="0.25">
      <c r="A138" s="60"/>
      <c r="B138" s="56"/>
      <c r="C138" s="56"/>
      <c r="G138" s="60"/>
      <c r="H138" s="56"/>
      <c r="I138" s="56"/>
    </row>
    <row r="139" spans="1:9" ht="18" x14ac:dyDescent="0.25">
      <c r="A139" s="60"/>
      <c r="B139" s="56"/>
      <c r="C139" s="56"/>
      <c r="G139" s="60"/>
      <c r="H139" s="56"/>
      <c r="I139" s="56"/>
    </row>
    <row r="140" spans="1:9" ht="18" x14ac:dyDescent="0.25">
      <c r="A140" s="60"/>
      <c r="B140" s="56"/>
      <c r="C140" s="56"/>
      <c r="G140" s="60"/>
      <c r="H140" s="56"/>
      <c r="I140" s="56"/>
    </row>
    <row r="141" spans="1:9" ht="18" x14ac:dyDescent="0.25">
      <c r="A141" s="60"/>
      <c r="B141" s="56"/>
      <c r="C141" s="56"/>
      <c r="G141" s="60"/>
      <c r="H141" s="56"/>
      <c r="I141" s="56"/>
    </row>
    <row r="142" spans="1:9" ht="18" x14ac:dyDescent="0.25">
      <c r="A142" s="60"/>
      <c r="B142" s="56"/>
      <c r="C142" s="56"/>
      <c r="G142" s="60"/>
      <c r="H142" s="56"/>
      <c r="I142" s="56"/>
    </row>
    <row r="143" spans="1:9" ht="18" x14ac:dyDescent="0.25">
      <c r="A143" s="60"/>
      <c r="B143" s="56"/>
      <c r="C143" s="56"/>
      <c r="G143" s="60"/>
      <c r="H143" s="56"/>
      <c r="I143" s="56"/>
    </row>
    <row r="144" spans="1:9" ht="18" x14ac:dyDescent="0.25">
      <c r="A144" s="60"/>
      <c r="B144" s="56"/>
      <c r="C144" s="56"/>
      <c r="G144" s="60"/>
      <c r="H144" s="56"/>
      <c r="I144" s="56"/>
    </row>
    <row r="145" spans="1:11" ht="18" x14ac:dyDescent="0.25">
      <c r="A145" s="60"/>
      <c r="B145" s="56"/>
      <c r="C145" s="56"/>
      <c r="G145" s="60"/>
      <c r="H145" s="56"/>
      <c r="I145" s="56"/>
    </row>
    <row r="146" spans="1:11" ht="18" x14ac:dyDescent="0.25">
      <c r="A146" s="60"/>
      <c r="B146" s="56"/>
      <c r="C146" s="56"/>
      <c r="G146" s="60"/>
      <c r="H146" s="56"/>
      <c r="I146" s="56"/>
    </row>
    <row r="147" spans="1:11" ht="18" x14ac:dyDescent="0.25">
      <c r="A147" s="60"/>
      <c r="B147" s="56"/>
      <c r="C147" s="56"/>
      <c r="G147" s="60"/>
      <c r="H147" s="56"/>
      <c r="I147" s="56"/>
    </row>
    <row r="148" spans="1:11" ht="18.75" thickBot="1" x14ac:dyDescent="0.3">
      <c r="A148" s="60"/>
      <c r="B148" s="56"/>
      <c r="C148" s="56"/>
      <c r="G148" s="60"/>
      <c r="H148" s="56"/>
      <c r="I148" s="56"/>
    </row>
    <row r="149" spans="1:11" ht="24" thickBot="1" x14ac:dyDescent="0.3">
      <c r="A149" s="66"/>
      <c r="B149" s="56"/>
      <c r="C149" s="64"/>
      <c r="G149" s="66"/>
      <c r="H149" s="56"/>
      <c r="I149" s="64"/>
      <c r="J149" s="314" t="str">
        <f>IF(K149&gt;0,"زيادة","عجز")</f>
        <v>عجز</v>
      </c>
      <c r="K149" s="99">
        <f>K154-K150</f>
        <v>0</v>
      </c>
    </row>
    <row r="150" spans="1:11" ht="24" thickBot="1" x14ac:dyDescent="0.3">
      <c r="A150" s="68">
        <f>SUM(A127:A149)</f>
        <v>0</v>
      </c>
      <c r="B150" s="69">
        <f>SUM(B127:B149)</f>
        <v>0</v>
      </c>
      <c r="D150" s="314" t="str">
        <f>IF(E150&gt;0,"زيادة","عجز")</f>
        <v>عجز</v>
      </c>
      <c r="E150" s="99">
        <f>E155-E151</f>
        <v>0</v>
      </c>
      <c r="G150" s="68">
        <f>SUM(G127:G149)</f>
        <v>0</v>
      </c>
      <c r="H150" s="69">
        <f>SUM(H127:H149)</f>
        <v>0</v>
      </c>
      <c r="J150" s="135" t="s">
        <v>94</v>
      </c>
      <c r="K150" s="99"/>
    </row>
    <row r="151" spans="1:11" ht="24" thickBot="1" x14ac:dyDescent="0.3">
      <c r="A151" s="462" t="s">
        <v>139</v>
      </c>
      <c r="B151" s="463"/>
      <c r="C151" s="71" t="s">
        <v>75</v>
      </c>
      <c r="D151" s="135" t="s">
        <v>94</v>
      </c>
      <c r="E151" s="99"/>
      <c r="G151" s="462" t="s">
        <v>139</v>
      </c>
      <c r="H151" s="463"/>
      <c r="I151" s="71" t="s">
        <v>75</v>
      </c>
      <c r="J151" s="136" t="s">
        <v>65</v>
      </c>
      <c r="K151" s="85"/>
    </row>
    <row r="152" spans="1:11" ht="24" thickBot="1" x14ac:dyDescent="0.3">
      <c r="A152" s="464">
        <f>B150+A150</f>
        <v>0</v>
      </c>
      <c r="B152" s="465"/>
      <c r="C152" s="313"/>
      <c r="D152" s="136" t="s">
        <v>65</v>
      </c>
      <c r="E152" s="85"/>
      <c r="G152" s="464">
        <f>H150+G150</f>
        <v>0</v>
      </c>
      <c r="H152" s="465"/>
      <c r="I152" s="313"/>
      <c r="J152" s="82"/>
      <c r="K152" s="83"/>
    </row>
    <row r="153" spans="1:11" ht="24" thickBot="1" x14ac:dyDescent="0.3">
      <c r="A153" s="466" t="s">
        <v>99</v>
      </c>
      <c r="B153" s="467"/>
      <c r="C153" s="78">
        <f>A154-C154</f>
        <v>0</v>
      </c>
      <c r="D153" s="82"/>
      <c r="E153" s="83"/>
      <c r="G153" s="466" t="s">
        <v>99</v>
      </c>
      <c r="H153" s="467"/>
      <c r="I153" s="78">
        <f>G154-I154</f>
        <v>0</v>
      </c>
      <c r="J153" s="82"/>
      <c r="K153" s="83"/>
    </row>
    <row r="154" spans="1:11" ht="24" thickBot="1" x14ac:dyDescent="0.3">
      <c r="A154" s="468">
        <f>C152+A152</f>
        <v>0</v>
      </c>
      <c r="B154" s="469"/>
      <c r="C154" s="121"/>
      <c r="D154" s="82"/>
      <c r="E154" s="83"/>
      <c r="G154" s="468">
        <f>I152+G152</f>
        <v>0</v>
      </c>
      <c r="H154" s="469"/>
      <c r="I154" s="121"/>
      <c r="J154" s="82" t="s">
        <v>164</v>
      </c>
      <c r="K154" s="83">
        <f>SUM(K151:K153)</f>
        <v>0</v>
      </c>
    </row>
    <row r="155" spans="1:11" ht="24" thickBot="1" x14ac:dyDescent="0.3">
      <c r="C155" s="314" t="str">
        <f>IF(C153&gt;0,"زيادة","عجز")</f>
        <v>عجز</v>
      </c>
      <c r="D155" s="82" t="s">
        <v>164</v>
      </c>
      <c r="E155" s="83">
        <f>SUM(E152:E154)</f>
        <v>0</v>
      </c>
      <c r="I155" s="314" t="str">
        <f>IF(I153&gt;0,"زيادة","عجز")</f>
        <v>عجز</v>
      </c>
      <c r="J155" s="318"/>
    </row>
    <row r="156" spans="1:11" ht="18.75" x14ac:dyDescent="0.25">
      <c r="D156" s="318"/>
    </row>
    <row r="157" spans="1:11" x14ac:dyDescent="0.25">
      <c r="A157">
        <f>10+10+10+10+10</f>
        <v>50</v>
      </c>
    </row>
    <row r="166" spans="1:3" ht="15.75" thickBot="1" x14ac:dyDescent="0.3"/>
    <row r="167" spans="1:3" ht="24" thickBot="1" x14ac:dyDescent="0.3">
      <c r="A167" s="425" t="s">
        <v>59</v>
      </c>
      <c r="B167" s="460">
        <v>45127</v>
      </c>
      <c r="C167" s="461"/>
    </row>
    <row r="168" spans="1:3" ht="21" thickBot="1" x14ac:dyDescent="0.3">
      <c r="A168" s="53" t="s">
        <v>137</v>
      </c>
      <c r="B168" s="53" t="s">
        <v>3</v>
      </c>
      <c r="C168" s="53" t="s">
        <v>138</v>
      </c>
    </row>
    <row r="169" spans="1:3" ht="18" x14ac:dyDescent="0.25">
      <c r="A169" s="55"/>
      <c r="B169" s="77"/>
      <c r="C169" s="57"/>
    </row>
    <row r="170" spans="1:3" ht="18" x14ac:dyDescent="0.25">
      <c r="A170" s="60"/>
      <c r="B170" s="56"/>
      <c r="C170" s="57"/>
    </row>
    <row r="171" spans="1:3" ht="18" x14ac:dyDescent="0.25">
      <c r="A171" s="60"/>
      <c r="B171" s="77"/>
      <c r="C171" s="57"/>
    </row>
    <row r="172" spans="1:3" ht="18" x14ac:dyDescent="0.25">
      <c r="A172" s="60"/>
      <c r="B172" s="56"/>
      <c r="C172" s="57"/>
    </row>
    <row r="173" spans="1:3" ht="18" x14ac:dyDescent="0.25">
      <c r="A173" s="60"/>
      <c r="B173" s="77"/>
      <c r="C173" s="57"/>
    </row>
    <row r="174" spans="1:3" ht="18" x14ac:dyDescent="0.25">
      <c r="A174" s="60"/>
      <c r="B174" s="77"/>
      <c r="C174" s="56"/>
    </row>
    <row r="175" spans="1:3" ht="18" x14ac:dyDescent="0.25">
      <c r="A175" s="60"/>
      <c r="B175" s="56"/>
      <c r="C175" s="56"/>
    </row>
    <row r="176" spans="1:3" ht="18" x14ac:dyDescent="0.25">
      <c r="A176" s="60"/>
      <c r="B176" s="56"/>
      <c r="C176" s="56"/>
    </row>
    <row r="177" spans="1:5" ht="18" x14ac:dyDescent="0.25">
      <c r="A177" s="60"/>
      <c r="B177" s="56"/>
      <c r="C177" s="56"/>
    </row>
    <row r="178" spans="1:5" ht="18" x14ac:dyDescent="0.25">
      <c r="A178" s="60"/>
      <c r="B178" s="56"/>
      <c r="C178" s="56"/>
    </row>
    <row r="179" spans="1:5" ht="18" x14ac:dyDescent="0.25">
      <c r="A179" s="60"/>
      <c r="B179" s="56"/>
      <c r="C179" s="56"/>
    </row>
    <row r="180" spans="1:5" ht="18" x14ac:dyDescent="0.25">
      <c r="A180" s="60"/>
      <c r="B180" s="56"/>
      <c r="C180" s="56"/>
    </row>
    <row r="181" spans="1:5" ht="18" x14ac:dyDescent="0.25">
      <c r="A181" s="60"/>
      <c r="B181" s="56"/>
      <c r="C181" s="56"/>
    </row>
    <row r="182" spans="1:5" ht="18" x14ac:dyDescent="0.25">
      <c r="A182" s="60"/>
      <c r="B182" s="56"/>
      <c r="C182" s="56"/>
    </row>
    <row r="183" spans="1:5" ht="18" x14ac:dyDescent="0.25">
      <c r="A183" s="60"/>
      <c r="B183" s="56"/>
      <c r="C183" s="56"/>
    </row>
    <row r="184" spans="1:5" ht="18" x14ac:dyDescent="0.25">
      <c r="A184" s="60"/>
      <c r="B184" s="56"/>
      <c r="C184" s="56"/>
    </row>
    <row r="185" spans="1:5" ht="18" x14ac:dyDescent="0.25">
      <c r="A185" s="60"/>
      <c r="B185" s="56"/>
      <c r="C185" s="56"/>
    </row>
    <row r="186" spans="1:5" ht="18" x14ac:dyDescent="0.25">
      <c r="A186" s="60"/>
      <c r="B186" s="56"/>
      <c r="C186" s="56"/>
    </row>
    <row r="187" spans="1:5" ht="18" x14ac:dyDescent="0.25">
      <c r="A187" s="60"/>
      <c r="B187" s="56"/>
      <c r="C187" s="56"/>
    </row>
    <row r="188" spans="1:5" ht="18" x14ac:dyDescent="0.25">
      <c r="A188" s="60"/>
      <c r="B188" s="56"/>
      <c r="C188" s="56"/>
    </row>
    <row r="189" spans="1:5" ht="18" x14ac:dyDescent="0.25">
      <c r="A189" s="60"/>
      <c r="B189" s="56"/>
      <c r="C189" s="56"/>
    </row>
    <row r="190" spans="1:5" ht="18" x14ac:dyDescent="0.25">
      <c r="A190" s="60"/>
      <c r="B190" s="56"/>
      <c r="C190" s="56"/>
    </row>
    <row r="191" spans="1:5" ht="18.75" thickBot="1" x14ac:dyDescent="0.3">
      <c r="A191" s="66"/>
      <c r="B191" s="56"/>
      <c r="C191" s="64"/>
    </row>
    <row r="192" spans="1:5" ht="24" thickBot="1" x14ac:dyDescent="0.3">
      <c r="A192" s="68">
        <f>SUM(A169:A191)</f>
        <v>0</v>
      </c>
      <c r="B192" s="69">
        <f>SUM(B169:B191)</f>
        <v>0</v>
      </c>
      <c r="D192" s="314" t="str">
        <f>IF(E192&gt;0,"زيادة","عجز")</f>
        <v>عجز</v>
      </c>
      <c r="E192" s="99">
        <f>E197-E193</f>
        <v>0</v>
      </c>
    </row>
    <row r="193" spans="1:5" ht="24" thickBot="1" x14ac:dyDescent="0.3">
      <c r="A193" s="462" t="s">
        <v>139</v>
      </c>
      <c r="B193" s="463"/>
      <c r="C193" s="71" t="s">
        <v>75</v>
      </c>
      <c r="D193" s="135" t="s">
        <v>94</v>
      </c>
      <c r="E193" s="99"/>
    </row>
    <row r="194" spans="1:5" ht="24" thickBot="1" x14ac:dyDescent="0.3">
      <c r="A194" s="464">
        <f>B192+A192</f>
        <v>0</v>
      </c>
      <c r="B194" s="465"/>
      <c r="C194" s="313"/>
      <c r="D194" s="136" t="s">
        <v>65</v>
      </c>
      <c r="E194" s="85"/>
    </row>
    <row r="195" spans="1:5" ht="24" thickBot="1" x14ac:dyDescent="0.3">
      <c r="A195" s="466" t="s">
        <v>99</v>
      </c>
      <c r="B195" s="467"/>
      <c r="C195" s="78">
        <f>A196-C196</f>
        <v>0</v>
      </c>
      <c r="D195" s="82"/>
      <c r="E195" s="83"/>
    </row>
    <row r="196" spans="1:5" ht="24" thickBot="1" x14ac:dyDescent="0.3">
      <c r="A196" s="468">
        <f>C194+A194</f>
        <v>0</v>
      </c>
      <c r="B196" s="469"/>
      <c r="C196" s="121"/>
      <c r="D196" s="82"/>
      <c r="E196" s="83"/>
    </row>
    <row r="197" spans="1:5" ht="24" thickBot="1" x14ac:dyDescent="0.3">
      <c r="C197" s="314" t="str">
        <f>IF(C195&gt;0,"زيادة","عجز")</f>
        <v>عجز</v>
      </c>
      <c r="D197" s="82" t="s">
        <v>164</v>
      </c>
      <c r="E197" s="83">
        <f>SUM(E194:E196)</f>
        <v>0</v>
      </c>
    </row>
    <row r="198" spans="1:5" ht="18.75" x14ac:dyDescent="0.25">
      <c r="D198" s="318"/>
    </row>
  </sheetData>
  <mergeCells count="50">
    <mergeCell ref="A196:B196"/>
    <mergeCell ref="A154:B154"/>
    <mergeCell ref="G154:H154"/>
    <mergeCell ref="B167:C167"/>
    <mergeCell ref="A193:B193"/>
    <mergeCell ref="A194:B194"/>
    <mergeCell ref="A195:B195"/>
    <mergeCell ref="A151:B151"/>
    <mergeCell ref="G151:H151"/>
    <mergeCell ref="A152:B152"/>
    <mergeCell ref="G152:H152"/>
    <mergeCell ref="A153:B153"/>
    <mergeCell ref="G153:H153"/>
    <mergeCell ref="B125:C125"/>
    <mergeCell ref="H125:I125"/>
    <mergeCell ref="G87:H87"/>
    <mergeCell ref="G88:H88"/>
    <mergeCell ref="G89:H89"/>
    <mergeCell ref="B92:C92"/>
    <mergeCell ref="H92:I92"/>
    <mergeCell ref="G118:H118"/>
    <mergeCell ref="G119:H119"/>
    <mergeCell ref="A120:B120"/>
    <mergeCell ref="G120:H120"/>
    <mergeCell ref="A121:B121"/>
    <mergeCell ref="G121:H121"/>
    <mergeCell ref="G86:H86"/>
    <mergeCell ref="A54:B54"/>
    <mergeCell ref="G54:H54"/>
    <mergeCell ref="A55:B55"/>
    <mergeCell ref="G55:H55"/>
    <mergeCell ref="A56:B56"/>
    <mergeCell ref="G56:H56"/>
    <mergeCell ref="A57:B57"/>
    <mergeCell ref="G57:H57"/>
    <mergeCell ref="B63:C63"/>
    <mergeCell ref="H63:I63"/>
    <mergeCell ref="D80:E80"/>
    <mergeCell ref="A24:B24"/>
    <mergeCell ref="G24:H24"/>
    <mergeCell ref="A25:B25"/>
    <mergeCell ref="G25:H25"/>
    <mergeCell ref="B30:C30"/>
    <mergeCell ref="H30:I30"/>
    <mergeCell ref="B1:C1"/>
    <mergeCell ref="H1:I1"/>
    <mergeCell ref="A22:B22"/>
    <mergeCell ref="G22:H22"/>
    <mergeCell ref="A23:B23"/>
    <mergeCell ref="G23:H23"/>
  </mergeCells>
  <conditionalFormatting sqref="C155">
    <cfRule type="expression" dxfId="375" priority="11">
      <formula>#REF!="عجز"</formula>
    </cfRule>
    <cfRule type="expression" dxfId="374" priority="12">
      <formula>#REF!="زيادة"</formula>
    </cfRule>
  </conditionalFormatting>
  <conditionalFormatting sqref="C197">
    <cfRule type="expression" dxfId="373" priority="3">
      <formula>#REF!="عجز"</formula>
    </cfRule>
    <cfRule type="expression" dxfId="372" priority="4">
      <formula>#REF!="زيادة"</formula>
    </cfRule>
  </conditionalFormatting>
  <conditionalFormatting sqref="D20 J20 C26 I26 D52 J52 C58 I58 J84 C87 I90:I91 D117 C122">
    <cfRule type="expression" dxfId="371" priority="19">
      <formula>#REF!="عجز"</formula>
    </cfRule>
    <cfRule type="expression" dxfId="370" priority="20">
      <formula>#REF!="زيادة"</formula>
    </cfRule>
  </conditionalFormatting>
  <conditionalFormatting sqref="D81">
    <cfRule type="expression" dxfId="369" priority="15">
      <formula>#REF!="عجز"</formula>
    </cfRule>
    <cfRule type="expression" dxfId="368" priority="16">
      <formula>#REF!="زيادة"</formula>
    </cfRule>
  </conditionalFormatting>
  <conditionalFormatting sqref="D150">
    <cfRule type="expression" dxfId="367" priority="9">
      <formula>#REF!="عجز"</formula>
    </cfRule>
    <cfRule type="expression" dxfId="366" priority="10">
      <formula>#REF!="زيادة"</formula>
    </cfRule>
  </conditionalFormatting>
  <conditionalFormatting sqref="D192">
    <cfRule type="expression" dxfId="365" priority="1">
      <formula>#REF!="عجز"</formula>
    </cfRule>
    <cfRule type="expression" dxfId="364" priority="2">
      <formula>#REF!="زيادة"</formula>
    </cfRule>
  </conditionalFormatting>
  <conditionalFormatting sqref="I122">
    <cfRule type="expression" dxfId="363" priority="17">
      <formula>#REF!="عجز"</formula>
    </cfRule>
    <cfRule type="expression" dxfId="362" priority="18">
      <formula>#REF!="زيادة"</formula>
    </cfRule>
  </conditionalFormatting>
  <conditionalFormatting sqref="I155">
    <cfRule type="expression" dxfId="361" priority="7">
      <formula>#REF!="عجز"</formula>
    </cfRule>
    <cfRule type="expression" dxfId="360" priority="8">
      <formula>#REF!="زيادة"</formula>
    </cfRule>
  </conditionalFormatting>
  <conditionalFormatting sqref="J116">
    <cfRule type="expression" dxfId="359" priority="13">
      <formula>#REF!="عجز"</formula>
    </cfRule>
    <cfRule type="expression" dxfId="358" priority="14">
      <formula>#REF!="زيادة"</formula>
    </cfRule>
  </conditionalFormatting>
  <conditionalFormatting sqref="J149">
    <cfRule type="expression" dxfId="357" priority="5">
      <formula>#REF!="عجز"</formula>
    </cfRule>
    <cfRule type="expression" dxfId="356" priority="6">
      <formula>#REF!="زيادة"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3414-BD90-4B52-8C73-F8AFEB9D0DD3}">
  <sheetPr codeName="Sheet5"/>
  <dimension ref="A1:K197"/>
  <sheetViews>
    <sheetView rightToLeft="1" topLeftCell="A118" zoomScale="85" zoomScaleNormal="85" workbookViewId="0">
      <selection activeCell="A167" sqref="A167:E197"/>
    </sheetView>
  </sheetViews>
  <sheetFormatPr defaultRowHeight="15" x14ac:dyDescent="0.25"/>
  <cols>
    <col min="1" max="1" width="39.140625" customWidth="1"/>
    <col min="2" max="2" width="18.7109375" bestFit="1" customWidth="1"/>
    <col min="3" max="3" width="26.7109375" customWidth="1"/>
    <col min="4" max="4" width="8" bestFit="1" customWidth="1"/>
    <col min="5" max="5" width="10" customWidth="1"/>
    <col min="7" max="7" width="39.140625" customWidth="1"/>
    <col min="8" max="8" width="11.7109375" bestFit="1" customWidth="1"/>
    <col min="9" max="9" width="26.7109375" customWidth="1"/>
    <col min="10" max="10" width="8" bestFit="1" customWidth="1"/>
    <col min="11" max="11" width="10" customWidth="1"/>
  </cols>
  <sheetData>
    <row r="1" spans="1:10" ht="24" thickBot="1" x14ac:dyDescent="0.3">
      <c r="A1" s="76" t="s">
        <v>300</v>
      </c>
      <c r="B1" s="460">
        <v>45129</v>
      </c>
      <c r="C1" s="461"/>
      <c r="G1" s="76" t="s">
        <v>1291</v>
      </c>
      <c r="H1" s="460">
        <v>45129</v>
      </c>
      <c r="I1" s="461"/>
    </row>
    <row r="2" spans="1:10" ht="21" thickBot="1" x14ac:dyDescent="0.3">
      <c r="A2" s="53" t="s">
        <v>137</v>
      </c>
      <c r="B2" s="53" t="s">
        <v>3</v>
      </c>
      <c r="C2" s="53" t="s">
        <v>138</v>
      </c>
      <c r="G2" s="53" t="s">
        <v>137</v>
      </c>
      <c r="H2" s="53" t="s">
        <v>3</v>
      </c>
      <c r="I2" s="53" t="s">
        <v>138</v>
      </c>
    </row>
    <row r="3" spans="1:10" ht="18" x14ac:dyDescent="0.25">
      <c r="A3" s="337">
        <f>5000+3900+500+470</f>
        <v>9870</v>
      </c>
      <c r="B3" s="418">
        <v>2850</v>
      </c>
      <c r="C3" s="419" t="s">
        <v>470</v>
      </c>
      <c r="G3" s="336">
        <f>5000+3000+800+165</f>
        <v>8965</v>
      </c>
      <c r="H3" s="420">
        <v>195</v>
      </c>
      <c r="I3" s="421" t="s">
        <v>1226</v>
      </c>
    </row>
    <row r="4" spans="1:10" ht="18" x14ac:dyDescent="0.25">
      <c r="A4" s="338"/>
      <c r="B4" s="339">
        <v>1430</v>
      </c>
      <c r="C4" s="339" t="s">
        <v>12</v>
      </c>
      <c r="G4" s="60"/>
      <c r="H4" s="422">
        <v>112</v>
      </c>
      <c r="I4" s="421" t="s">
        <v>86</v>
      </c>
    </row>
    <row r="5" spans="1:10" ht="18" x14ac:dyDescent="0.25">
      <c r="A5" s="338"/>
      <c r="B5" s="418">
        <v>860</v>
      </c>
      <c r="C5" s="418" t="s">
        <v>1292</v>
      </c>
      <c r="G5" s="60"/>
      <c r="H5" s="423">
        <v>110</v>
      </c>
      <c r="I5" s="423" t="s">
        <v>32</v>
      </c>
    </row>
    <row r="6" spans="1:10" ht="18" x14ac:dyDescent="0.25">
      <c r="A6" s="338"/>
      <c r="B6" s="339">
        <v>1008</v>
      </c>
      <c r="C6" s="418" t="s">
        <v>417</v>
      </c>
      <c r="G6" s="60"/>
      <c r="H6" s="422">
        <v>90</v>
      </c>
      <c r="I6" s="423" t="s">
        <v>510</v>
      </c>
    </row>
    <row r="7" spans="1:10" ht="18" x14ac:dyDescent="0.25">
      <c r="A7" s="338"/>
      <c r="B7" s="418">
        <v>360</v>
      </c>
      <c r="C7" s="339" t="s">
        <v>27</v>
      </c>
      <c r="G7" s="60"/>
      <c r="H7" s="422">
        <v>567</v>
      </c>
      <c r="I7" s="422" t="s">
        <v>439</v>
      </c>
    </row>
    <row r="8" spans="1:10" ht="18" x14ac:dyDescent="0.25">
      <c r="A8" s="338"/>
      <c r="B8" s="418">
        <v>128</v>
      </c>
      <c r="C8" s="339" t="s">
        <v>73</v>
      </c>
      <c r="G8" s="60"/>
      <c r="H8" s="422"/>
      <c r="I8" s="422"/>
    </row>
    <row r="9" spans="1:10" ht="18" x14ac:dyDescent="0.25">
      <c r="A9" s="338"/>
      <c r="B9" s="339">
        <v>192</v>
      </c>
      <c r="C9" s="339" t="s">
        <v>569</v>
      </c>
      <c r="G9" s="60"/>
      <c r="H9" s="422"/>
      <c r="I9" s="422"/>
    </row>
    <row r="10" spans="1:10" ht="18" x14ac:dyDescent="0.25">
      <c r="A10" s="338"/>
      <c r="B10" s="339">
        <v>50</v>
      </c>
      <c r="C10" s="339" t="s">
        <v>373</v>
      </c>
      <c r="G10" s="60"/>
      <c r="H10" s="422"/>
      <c r="I10" s="422"/>
    </row>
    <row r="11" spans="1:10" ht="18" x14ac:dyDescent="0.25">
      <c r="A11" s="339"/>
      <c r="B11" s="339">
        <v>75</v>
      </c>
      <c r="C11" s="339" t="s">
        <v>26</v>
      </c>
      <c r="G11" s="60"/>
      <c r="H11" s="422"/>
      <c r="I11" s="422"/>
    </row>
    <row r="12" spans="1:10" ht="18" x14ac:dyDescent="0.25">
      <c r="A12" s="339"/>
      <c r="B12" s="339">
        <v>120</v>
      </c>
      <c r="C12" s="339" t="s">
        <v>1295</v>
      </c>
      <c r="G12" s="60"/>
      <c r="H12" s="422"/>
      <c r="I12" s="422"/>
    </row>
    <row r="13" spans="1:10" ht="18" x14ac:dyDescent="0.25">
      <c r="A13" s="339"/>
      <c r="B13" s="339">
        <v>250</v>
      </c>
      <c r="C13" s="339" t="s">
        <v>27</v>
      </c>
      <c r="G13" s="60"/>
      <c r="H13" s="422"/>
      <c r="I13" s="422"/>
      <c r="J13" s="341"/>
    </row>
    <row r="14" spans="1:10" ht="18" x14ac:dyDescent="0.25">
      <c r="A14" s="339"/>
      <c r="B14" s="339">
        <v>280</v>
      </c>
      <c r="C14" s="339" t="s">
        <v>8</v>
      </c>
      <c r="G14" s="60"/>
      <c r="H14" s="422"/>
      <c r="I14" s="422"/>
    </row>
    <row r="15" spans="1:10" ht="18" x14ac:dyDescent="0.25">
      <c r="A15" s="339"/>
      <c r="B15" s="339">
        <v>93</v>
      </c>
      <c r="C15" s="339" t="s">
        <v>373</v>
      </c>
      <c r="G15" s="60"/>
      <c r="H15" s="422"/>
      <c r="I15" s="422"/>
    </row>
    <row r="16" spans="1:10" ht="18" x14ac:dyDescent="0.25">
      <c r="A16" s="339"/>
      <c r="B16" s="339">
        <v>120</v>
      </c>
      <c r="C16" s="339" t="s">
        <v>393</v>
      </c>
      <c r="G16" s="60"/>
      <c r="H16" s="422"/>
      <c r="I16" s="422"/>
    </row>
    <row r="17" spans="1:11" ht="18" x14ac:dyDescent="0.25">
      <c r="A17" s="338"/>
      <c r="B17" s="339">
        <v>180</v>
      </c>
      <c r="C17" s="339" t="s">
        <v>399</v>
      </c>
      <c r="G17" s="60"/>
      <c r="H17" s="422"/>
      <c r="I17" s="422"/>
    </row>
    <row r="18" spans="1:11" ht="18" x14ac:dyDescent="0.25">
      <c r="A18" s="338"/>
      <c r="B18" s="339"/>
      <c r="C18" s="339"/>
      <c r="G18" s="60"/>
      <c r="H18" s="422"/>
      <c r="I18" s="422"/>
    </row>
    <row r="19" spans="1:11" ht="18.75" thickBot="1" x14ac:dyDescent="0.3">
      <c r="A19" s="338"/>
      <c r="B19" s="339"/>
      <c r="C19" s="339"/>
      <c r="G19" s="60"/>
      <c r="H19" s="422"/>
      <c r="I19" s="422"/>
    </row>
    <row r="20" spans="1:11" ht="24" thickBot="1" x14ac:dyDescent="0.3">
      <c r="A20" s="66"/>
      <c r="B20" s="56"/>
      <c r="C20" s="64"/>
      <c r="D20" s="314" t="str">
        <f>IF(E20&gt;0,"زيادة","عجز")</f>
        <v>زيادة</v>
      </c>
      <c r="E20" s="99">
        <f>E25-E21</f>
        <v>40</v>
      </c>
      <c r="G20" s="66"/>
      <c r="H20" s="56"/>
      <c r="I20" s="64"/>
      <c r="J20" s="314" t="str">
        <f>IF(K20&gt;0,"زيادة","عجز")</f>
        <v>عجز</v>
      </c>
      <c r="K20" s="99">
        <f>K25-K21</f>
        <v>0</v>
      </c>
    </row>
    <row r="21" spans="1:11" ht="24" thickBot="1" x14ac:dyDescent="0.3">
      <c r="A21" s="68">
        <f>SUM(A3:A20)</f>
        <v>9870</v>
      </c>
      <c r="B21" s="69">
        <f>SUM(B3:B20)</f>
        <v>7996</v>
      </c>
      <c r="D21" s="135" t="s">
        <v>94</v>
      </c>
      <c r="E21" s="99">
        <f>3540-2364</f>
        <v>1176</v>
      </c>
      <c r="G21" s="68">
        <f>SUM(G3:G20)</f>
        <v>8965</v>
      </c>
      <c r="H21" s="69">
        <f>SUM(H3:H20)</f>
        <v>1074</v>
      </c>
      <c r="J21" s="135" t="s">
        <v>94</v>
      </c>
      <c r="K21" s="99"/>
    </row>
    <row r="22" spans="1:11" ht="21.75" thickBot="1" x14ac:dyDescent="0.3">
      <c r="A22" s="462" t="s">
        <v>139</v>
      </c>
      <c r="B22" s="463"/>
      <c r="C22" s="71" t="s">
        <v>75</v>
      </c>
      <c r="D22" s="136" t="s">
        <v>65</v>
      </c>
      <c r="E22" s="85">
        <f>4+1100+90+2</f>
        <v>1196</v>
      </c>
      <c r="G22" s="462" t="s">
        <v>139</v>
      </c>
      <c r="H22" s="463"/>
      <c r="I22" s="71" t="s">
        <v>75</v>
      </c>
      <c r="J22" s="136" t="s">
        <v>65</v>
      </c>
      <c r="K22" s="85"/>
    </row>
    <row r="23" spans="1:11" ht="24" thickBot="1" x14ac:dyDescent="0.3">
      <c r="A23" s="464">
        <f>B21+A21</f>
        <v>17866</v>
      </c>
      <c r="B23" s="465"/>
      <c r="C23" s="313">
        <f>402+764+222+465</f>
        <v>1853</v>
      </c>
      <c r="D23" s="82" t="s">
        <v>373</v>
      </c>
      <c r="E23" s="83">
        <v>20</v>
      </c>
      <c r="G23" s="464">
        <f>H21+G21</f>
        <v>10039</v>
      </c>
      <c r="H23" s="465"/>
      <c r="I23" s="313"/>
      <c r="J23" s="82"/>
      <c r="K23" s="83"/>
    </row>
    <row r="24" spans="1:11" ht="24" thickBot="1" x14ac:dyDescent="0.3">
      <c r="A24" s="466" t="s">
        <v>99</v>
      </c>
      <c r="B24" s="467"/>
      <c r="C24" s="78">
        <f>A25-C25</f>
        <v>-70</v>
      </c>
      <c r="D24" s="82"/>
      <c r="E24" s="83"/>
      <c r="G24" s="466" t="s">
        <v>99</v>
      </c>
      <c r="H24" s="467"/>
      <c r="I24" s="78">
        <f>G25-I25</f>
        <v>-2</v>
      </c>
      <c r="J24" s="82"/>
      <c r="K24" s="83"/>
    </row>
    <row r="25" spans="1:11" ht="24" thickBot="1" x14ac:dyDescent="0.3">
      <c r="A25" s="468">
        <f>C23+A23</f>
        <v>19719</v>
      </c>
      <c r="B25" s="469"/>
      <c r="C25" s="121">
        <v>19789</v>
      </c>
      <c r="D25" s="82" t="s">
        <v>164</v>
      </c>
      <c r="E25" s="83">
        <f>SUM(E22:E24)</f>
        <v>1216</v>
      </c>
      <c r="G25" s="468">
        <f>I23+G23</f>
        <v>10039</v>
      </c>
      <c r="H25" s="469"/>
      <c r="I25" s="121">
        <v>10041</v>
      </c>
      <c r="J25" s="82" t="s">
        <v>164</v>
      </c>
      <c r="K25" s="83">
        <f>SUM(K22:K24)</f>
        <v>0</v>
      </c>
    </row>
    <row r="26" spans="1:11" ht="24" thickBot="1" x14ac:dyDescent="0.3">
      <c r="C26" s="314" t="str">
        <f>IF(C24&gt;0,"زيادة","عجز")</f>
        <v>عجز</v>
      </c>
      <c r="D26" s="318"/>
      <c r="I26" s="314" t="str">
        <f>IF(I24&gt;0,"زيادة","عجز")</f>
        <v>عجز</v>
      </c>
      <c r="J26" s="318"/>
    </row>
    <row r="27" spans="1:11" x14ac:dyDescent="0.25">
      <c r="G27">
        <f>4+5+10+8+2+35+54+81+240+17+25+30+6+13+10+16+5+10+145+35+95+4+33+20+185+50+9+12+20+18+25+5+39+33+58+20+10+32+8+135+20+5+14+10+6+20+187+151+20+10+32+5+10+48+4+49+5+20+5+66+30+43+5+5+28-160-165</f>
        <v>2035</v>
      </c>
    </row>
    <row r="29" spans="1:11" ht="15.75" thickBot="1" x14ac:dyDescent="0.3"/>
    <row r="30" spans="1:11" ht="24" thickBot="1" x14ac:dyDescent="0.3">
      <c r="A30" s="76" t="s">
        <v>1387</v>
      </c>
      <c r="B30" s="460">
        <v>45129</v>
      </c>
      <c r="C30" s="461"/>
      <c r="G30" s="76" t="s">
        <v>80</v>
      </c>
      <c r="H30" s="460">
        <v>45129</v>
      </c>
      <c r="I30" s="461"/>
    </row>
    <row r="31" spans="1:11" ht="21" thickBot="1" x14ac:dyDescent="0.3">
      <c r="A31" s="53" t="s">
        <v>137</v>
      </c>
      <c r="B31" s="53" t="s">
        <v>3</v>
      </c>
      <c r="C31" s="53" t="s">
        <v>138</v>
      </c>
      <c r="G31" s="53" t="s">
        <v>137</v>
      </c>
      <c r="H31" s="53" t="s">
        <v>3</v>
      </c>
      <c r="I31" s="53" t="s">
        <v>138</v>
      </c>
    </row>
    <row r="32" spans="1:11" ht="18" x14ac:dyDescent="0.25">
      <c r="A32" s="55">
        <f>1000+10000+10000+350+260</f>
        <v>21610</v>
      </c>
      <c r="B32" s="57">
        <v>1395</v>
      </c>
      <c r="C32" s="56" t="s">
        <v>12</v>
      </c>
      <c r="G32" s="55">
        <f>10000+1850+500+40-765</f>
        <v>11625</v>
      </c>
      <c r="H32" s="77">
        <v>105</v>
      </c>
      <c r="I32" s="57" t="s">
        <v>19</v>
      </c>
    </row>
    <row r="33" spans="1:9" ht="18" x14ac:dyDescent="0.25">
      <c r="A33" s="60"/>
      <c r="B33" s="56">
        <v>690</v>
      </c>
      <c r="C33" s="56" t="s">
        <v>1304</v>
      </c>
      <c r="G33" s="60"/>
      <c r="H33" s="56">
        <v>655</v>
      </c>
      <c r="I33" s="57" t="s">
        <v>11</v>
      </c>
    </row>
    <row r="34" spans="1:9" ht="18" x14ac:dyDescent="0.25">
      <c r="A34" s="60"/>
      <c r="B34" s="77">
        <v>390</v>
      </c>
      <c r="C34" s="56" t="s">
        <v>709</v>
      </c>
      <c r="G34" s="60"/>
      <c r="H34" s="77">
        <v>15</v>
      </c>
      <c r="I34" s="77" t="s">
        <v>1305</v>
      </c>
    </row>
    <row r="35" spans="1:9" ht="18" x14ac:dyDescent="0.25">
      <c r="A35" s="60"/>
      <c r="B35" s="77">
        <v>135</v>
      </c>
      <c r="C35" s="56" t="s">
        <v>39</v>
      </c>
      <c r="G35" s="60"/>
      <c r="H35" s="56">
        <v>140</v>
      </c>
      <c r="I35" s="77" t="s">
        <v>265</v>
      </c>
    </row>
    <row r="36" spans="1:9" ht="18" x14ac:dyDescent="0.25">
      <c r="A36" s="60"/>
      <c r="B36" s="56">
        <v>68</v>
      </c>
      <c r="C36" s="56" t="s">
        <v>339</v>
      </c>
      <c r="G36" s="60"/>
      <c r="H36" s="77">
        <v>340</v>
      </c>
      <c r="I36" s="56" t="s">
        <v>61</v>
      </c>
    </row>
    <row r="37" spans="1:9" ht="18" x14ac:dyDescent="0.25">
      <c r="A37" s="60"/>
      <c r="B37" s="77">
        <v>165</v>
      </c>
      <c r="C37" s="56" t="s">
        <v>341</v>
      </c>
      <c r="G37" s="60"/>
      <c r="H37" s="77">
        <v>1048</v>
      </c>
      <c r="I37" s="56" t="s">
        <v>503</v>
      </c>
    </row>
    <row r="38" spans="1:9" ht="18" x14ac:dyDescent="0.25">
      <c r="A38" s="60"/>
      <c r="B38" s="56">
        <v>100</v>
      </c>
      <c r="C38" s="56" t="s">
        <v>719</v>
      </c>
      <c r="G38" s="60"/>
      <c r="H38" s="56">
        <v>200</v>
      </c>
      <c r="I38" s="56" t="s">
        <v>1306</v>
      </c>
    </row>
    <row r="39" spans="1:9" ht="18" x14ac:dyDescent="0.25">
      <c r="A39" s="60"/>
      <c r="B39" s="56">
        <v>360</v>
      </c>
      <c r="C39" s="56" t="s">
        <v>83</v>
      </c>
      <c r="G39" s="60"/>
      <c r="H39" s="56">
        <v>46</v>
      </c>
      <c r="I39" s="56" t="s">
        <v>1307</v>
      </c>
    </row>
    <row r="40" spans="1:9" ht="18" x14ac:dyDescent="0.25">
      <c r="A40" s="60"/>
      <c r="B40" s="56">
        <v>225</v>
      </c>
      <c r="C40" s="56" t="s">
        <v>498</v>
      </c>
      <c r="G40" s="60"/>
      <c r="H40" s="56">
        <v>500</v>
      </c>
      <c r="I40" s="56" t="s">
        <v>84</v>
      </c>
    </row>
    <row r="41" spans="1:9" ht="18" x14ac:dyDescent="0.25">
      <c r="A41" s="60"/>
      <c r="B41" s="56">
        <v>145</v>
      </c>
      <c r="C41" s="56" t="s">
        <v>15</v>
      </c>
      <c r="G41" s="60"/>
      <c r="H41" s="56">
        <v>765</v>
      </c>
      <c r="I41" s="56" t="s">
        <v>37</v>
      </c>
    </row>
    <row r="42" spans="1:9" ht="18" x14ac:dyDescent="0.25">
      <c r="A42" s="60"/>
      <c r="B42" s="56"/>
      <c r="C42" s="56"/>
      <c r="G42" s="60"/>
      <c r="H42" s="56"/>
      <c r="I42" s="56"/>
    </row>
    <row r="43" spans="1:9" ht="18" x14ac:dyDescent="0.25">
      <c r="A43" s="60"/>
      <c r="B43" s="56"/>
      <c r="C43" s="56"/>
      <c r="G43" s="60"/>
      <c r="H43" s="56"/>
      <c r="I43" s="56"/>
    </row>
    <row r="44" spans="1:9" ht="18" x14ac:dyDescent="0.25">
      <c r="A44" s="60"/>
      <c r="B44" s="56"/>
      <c r="C44" s="56"/>
      <c r="G44" s="60"/>
      <c r="H44" s="56"/>
      <c r="I44" s="56"/>
    </row>
    <row r="45" spans="1:9" ht="18" x14ac:dyDescent="0.25">
      <c r="A45" s="60"/>
      <c r="B45" s="56"/>
      <c r="C45" s="56"/>
      <c r="G45" s="60"/>
      <c r="H45" s="56"/>
      <c r="I45" s="56"/>
    </row>
    <row r="46" spans="1:9" ht="18" x14ac:dyDescent="0.25">
      <c r="A46" s="60"/>
      <c r="B46" s="56"/>
      <c r="C46" s="56"/>
      <c r="G46" s="60"/>
      <c r="H46" s="56"/>
      <c r="I46" s="56"/>
    </row>
    <row r="47" spans="1:9" ht="18" x14ac:dyDescent="0.25">
      <c r="A47" s="60"/>
      <c r="B47" s="56"/>
      <c r="C47" s="56"/>
      <c r="G47" s="60"/>
      <c r="H47" s="56"/>
      <c r="I47" s="56"/>
    </row>
    <row r="48" spans="1:9" ht="18" x14ac:dyDescent="0.25">
      <c r="A48" s="60"/>
      <c r="B48" s="56"/>
      <c r="C48" s="56"/>
      <c r="G48" s="60"/>
      <c r="H48" s="56"/>
      <c r="I48" s="56"/>
    </row>
    <row r="49" spans="1:11" ht="18" x14ac:dyDescent="0.25">
      <c r="A49" s="60"/>
      <c r="B49" s="56"/>
      <c r="C49" s="56"/>
      <c r="G49" s="60"/>
      <c r="H49" s="56"/>
      <c r="I49" s="56"/>
    </row>
    <row r="50" spans="1:11" ht="18" x14ac:dyDescent="0.25">
      <c r="A50" s="60"/>
      <c r="B50" s="56"/>
      <c r="C50" s="56"/>
      <c r="G50" s="60"/>
      <c r="H50" s="56"/>
      <c r="I50" s="56"/>
    </row>
    <row r="51" spans="1:11" ht="18.75" thickBot="1" x14ac:dyDescent="0.3">
      <c r="A51" s="60"/>
      <c r="B51" s="56"/>
      <c r="C51" s="56"/>
      <c r="G51" s="60"/>
      <c r="I51" s="56"/>
    </row>
    <row r="52" spans="1:11" ht="24" thickBot="1" x14ac:dyDescent="0.3">
      <c r="A52" s="66"/>
      <c r="B52" s="56"/>
      <c r="C52" s="64"/>
      <c r="D52" s="314" t="str">
        <f>IF(E52&gt;0,"زيادة","عجز")</f>
        <v>زيادة</v>
      </c>
      <c r="E52" s="99">
        <f>E57-E53</f>
        <v>300</v>
      </c>
      <c r="G52" s="66"/>
      <c r="H52" s="56"/>
      <c r="I52" s="64"/>
      <c r="J52" s="314" t="str">
        <f>IF(K52&gt;0,"زيادة","عجز")</f>
        <v>زيادة</v>
      </c>
      <c r="K52" s="99">
        <f>K57-K53</f>
        <v>29</v>
      </c>
    </row>
    <row r="53" spans="1:11" ht="24" thickBot="1" x14ac:dyDescent="0.3">
      <c r="A53" s="68">
        <f>SUM(A32:A52)</f>
        <v>21610</v>
      </c>
      <c r="B53" s="69">
        <f>SUM(B32:B52)</f>
        <v>3673</v>
      </c>
      <c r="D53" s="135" t="s">
        <v>94</v>
      </c>
      <c r="E53" s="99"/>
      <c r="G53" s="68">
        <f>SUM(G32:G52)</f>
        <v>11625</v>
      </c>
      <c r="H53" s="69">
        <f>SUM(H32:H52)</f>
        <v>3814</v>
      </c>
      <c r="J53" s="135" t="s">
        <v>94</v>
      </c>
      <c r="K53" s="99">
        <f>2364-9925+10000</f>
        <v>2439</v>
      </c>
    </row>
    <row r="54" spans="1:11" ht="21.75" thickBot="1" x14ac:dyDescent="0.3">
      <c r="A54" s="462" t="s">
        <v>139</v>
      </c>
      <c r="B54" s="463"/>
      <c r="C54" s="71" t="s">
        <v>75</v>
      </c>
      <c r="D54" s="136" t="s">
        <v>65</v>
      </c>
      <c r="E54" s="85">
        <v>300</v>
      </c>
      <c r="G54" s="462" t="s">
        <v>139</v>
      </c>
      <c r="H54" s="463"/>
      <c r="I54" s="71" t="s">
        <v>75</v>
      </c>
      <c r="J54" s="136" t="s">
        <v>65</v>
      </c>
      <c r="K54" s="85">
        <f>2250+115+3</f>
        <v>2368</v>
      </c>
    </row>
    <row r="55" spans="1:11" ht="24" thickBot="1" x14ac:dyDescent="0.3">
      <c r="A55" s="464">
        <f>B53+A53</f>
        <v>25283</v>
      </c>
      <c r="B55" s="465"/>
      <c r="C55" s="313">
        <f>328+391+45</f>
        <v>764</v>
      </c>
      <c r="D55" s="82"/>
      <c r="E55" s="83"/>
      <c r="G55" s="464">
        <f>H53+G53</f>
        <v>15439</v>
      </c>
      <c r="H55" s="465"/>
      <c r="I55" s="313">
        <f>73+411+182+194+1005+37</f>
        <v>1902</v>
      </c>
      <c r="J55" s="82" t="s">
        <v>636</v>
      </c>
      <c r="K55" s="83">
        <v>72</v>
      </c>
    </row>
    <row r="56" spans="1:11" ht="24" thickBot="1" x14ac:dyDescent="0.3">
      <c r="A56" s="466" t="s">
        <v>99</v>
      </c>
      <c r="B56" s="467"/>
      <c r="C56" s="78">
        <f>A57-C57</f>
        <v>0</v>
      </c>
      <c r="D56" s="82"/>
      <c r="E56" s="83"/>
      <c r="G56" s="466" t="s">
        <v>99</v>
      </c>
      <c r="H56" s="467"/>
      <c r="I56" s="78">
        <f>G57-I57</f>
        <v>40</v>
      </c>
      <c r="J56" s="82" t="s">
        <v>451</v>
      </c>
      <c r="K56" s="83">
        <v>28</v>
      </c>
    </row>
    <row r="57" spans="1:11" ht="24" thickBot="1" x14ac:dyDescent="0.3">
      <c r="A57" s="468">
        <f>C55+A55</f>
        <v>26047</v>
      </c>
      <c r="B57" s="469"/>
      <c r="C57" s="121">
        <v>26047</v>
      </c>
      <c r="D57" s="82" t="s">
        <v>164</v>
      </c>
      <c r="E57" s="83">
        <f>SUM(E54:E56)</f>
        <v>300</v>
      </c>
      <c r="G57" s="468">
        <f>I55+G55</f>
        <v>17341</v>
      </c>
      <c r="H57" s="469"/>
      <c r="I57" s="121">
        <v>17301</v>
      </c>
      <c r="J57" s="82" t="s">
        <v>164</v>
      </c>
      <c r="K57" s="83">
        <f>SUM(K54:K56)</f>
        <v>2468</v>
      </c>
    </row>
    <row r="58" spans="1:11" ht="24" thickBot="1" x14ac:dyDescent="0.3">
      <c r="C58" s="314" t="str">
        <f>IF(C56&gt;0,"زيادة","عجز")</f>
        <v>عجز</v>
      </c>
      <c r="D58" s="318"/>
      <c r="I58" s="314" t="str">
        <f>IF(I56&gt;0,"زيادة","عجز")</f>
        <v>زيادة</v>
      </c>
      <c r="J58" s="318"/>
    </row>
    <row r="62" spans="1:11" ht="15.75" thickBot="1" x14ac:dyDescent="0.3"/>
    <row r="63" spans="1:11" ht="24" thickBot="1" x14ac:dyDescent="0.3">
      <c r="A63" s="76" t="s">
        <v>88</v>
      </c>
      <c r="B63" s="460">
        <v>45129</v>
      </c>
      <c r="C63" s="474"/>
      <c r="G63" s="76" t="s">
        <v>6</v>
      </c>
      <c r="H63" s="460">
        <v>45129</v>
      </c>
      <c r="I63" s="461"/>
    </row>
    <row r="64" spans="1:11" ht="21" thickBot="1" x14ac:dyDescent="0.3">
      <c r="A64" s="53" t="s">
        <v>137</v>
      </c>
      <c r="B64" s="53" t="s">
        <v>3</v>
      </c>
      <c r="C64" s="53" t="s">
        <v>138</v>
      </c>
      <c r="G64" s="53" t="s">
        <v>137</v>
      </c>
      <c r="H64" s="53" t="s">
        <v>3</v>
      </c>
      <c r="I64" s="53" t="s">
        <v>138</v>
      </c>
    </row>
    <row r="65" spans="1:9" ht="18" x14ac:dyDescent="0.25">
      <c r="A65" s="55">
        <f>2735+5000+5000</f>
        <v>12735</v>
      </c>
      <c r="B65" s="77">
        <v>115</v>
      </c>
      <c r="C65" s="57" t="s">
        <v>288</v>
      </c>
      <c r="G65" s="55">
        <f>5000+2210</f>
        <v>7210</v>
      </c>
      <c r="H65" s="77">
        <v>44</v>
      </c>
      <c r="I65" s="57" t="s">
        <v>954</v>
      </c>
    </row>
    <row r="66" spans="1:9" ht="18" x14ac:dyDescent="0.25">
      <c r="A66" s="60"/>
      <c r="B66" s="56">
        <v>225</v>
      </c>
      <c r="C66" s="57" t="s">
        <v>255</v>
      </c>
      <c r="G66" s="60"/>
      <c r="H66" s="56"/>
      <c r="I66" s="57"/>
    </row>
    <row r="67" spans="1:9" ht="18" x14ac:dyDescent="0.25">
      <c r="A67" s="60"/>
      <c r="B67" s="77">
        <v>105</v>
      </c>
      <c r="C67" s="77" t="s">
        <v>9</v>
      </c>
      <c r="G67" s="60"/>
      <c r="H67" s="77"/>
      <c r="I67" s="77"/>
    </row>
    <row r="68" spans="1:9" ht="18" x14ac:dyDescent="0.25">
      <c r="A68" s="60"/>
      <c r="B68" s="56">
        <v>27</v>
      </c>
      <c r="C68" s="77" t="s">
        <v>954</v>
      </c>
      <c r="G68" s="60"/>
      <c r="H68" s="56"/>
      <c r="I68" s="77"/>
    </row>
    <row r="69" spans="1:9" ht="18" x14ac:dyDescent="0.25">
      <c r="A69" s="60"/>
      <c r="B69" s="77">
        <v>290</v>
      </c>
      <c r="C69" s="56" t="s">
        <v>301</v>
      </c>
      <c r="G69" s="60"/>
      <c r="H69" s="77"/>
      <c r="I69" s="56"/>
    </row>
    <row r="70" spans="1:9" ht="18" x14ac:dyDescent="0.25">
      <c r="A70" s="60"/>
      <c r="B70" s="77">
        <v>370</v>
      </c>
      <c r="C70" s="56" t="s">
        <v>312</v>
      </c>
      <c r="G70" s="60"/>
      <c r="H70" s="77"/>
      <c r="I70" s="56"/>
    </row>
    <row r="71" spans="1:9" ht="18" x14ac:dyDescent="0.25">
      <c r="A71" s="60"/>
      <c r="B71" s="56">
        <v>90</v>
      </c>
      <c r="C71" s="56" t="s">
        <v>339</v>
      </c>
      <c r="G71" s="60"/>
      <c r="H71" s="56"/>
      <c r="I71" s="56"/>
    </row>
    <row r="72" spans="1:9" ht="18" x14ac:dyDescent="0.25">
      <c r="A72" s="60"/>
      <c r="B72" s="56">
        <v>75</v>
      </c>
      <c r="C72" s="56" t="s">
        <v>252</v>
      </c>
      <c r="G72" s="60"/>
      <c r="H72" s="56"/>
      <c r="I72" s="56"/>
    </row>
    <row r="73" spans="1:9" ht="18" x14ac:dyDescent="0.25">
      <c r="A73" s="60"/>
      <c r="B73" s="56">
        <v>150</v>
      </c>
      <c r="C73" s="56" t="s">
        <v>39</v>
      </c>
      <c r="G73" s="60"/>
      <c r="H73" s="56"/>
      <c r="I73" s="56"/>
    </row>
    <row r="74" spans="1:9" ht="18" x14ac:dyDescent="0.25">
      <c r="A74" s="60"/>
      <c r="B74" s="56">
        <v>2440</v>
      </c>
      <c r="C74" s="56" t="s">
        <v>12</v>
      </c>
      <c r="G74" s="60"/>
      <c r="H74" s="56"/>
      <c r="I74" s="56"/>
    </row>
    <row r="75" spans="1:9" ht="18" x14ac:dyDescent="0.25">
      <c r="A75" s="60"/>
      <c r="B75" s="56"/>
      <c r="C75" s="56"/>
      <c r="G75" s="60"/>
      <c r="H75" s="56"/>
      <c r="I75" s="56"/>
    </row>
    <row r="76" spans="1:9" ht="18" x14ac:dyDescent="0.25">
      <c r="A76" s="60"/>
      <c r="B76" s="56"/>
      <c r="C76" s="56"/>
      <c r="G76" s="60"/>
      <c r="H76" s="56"/>
      <c r="I76" s="56"/>
    </row>
    <row r="77" spans="1:9" ht="18" x14ac:dyDescent="0.25">
      <c r="A77" s="60"/>
      <c r="B77" s="56"/>
      <c r="C77" s="56"/>
      <c r="G77" s="60"/>
      <c r="H77" s="56"/>
      <c r="I77" s="56"/>
    </row>
    <row r="78" spans="1:9" ht="18" x14ac:dyDescent="0.25">
      <c r="A78" s="60"/>
      <c r="B78" s="56"/>
      <c r="C78" s="56"/>
      <c r="G78" s="60"/>
      <c r="H78" s="56"/>
      <c r="I78" s="56"/>
    </row>
    <row r="79" spans="1:9" ht="18" x14ac:dyDescent="0.25">
      <c r="A79" s="60"/>
      <c r="B79" s="56"/>
      <c r="C79" s="56"/>
      <c r="G79" s="60"/>
      <c r="H79" s="56"/>
      <c r="I79" s="56"/>
    </row>
    <row r="80" spans="1:9" ht="18.75" thickBot="1" x14ac:dyDescent="0.3">
      <c r="A80" s="60"/>
      <c r="B80" s="56"/>
      <c r="C80" s="56"/>
      <c r="G80" s="60"/>
      <c r="H80" s="56"/>
      <c r="I80" s="56"/>
    </row>
    <row r="81" spans="1:11" ht="24" thickBot="1" x14ac:dyDescent="0.3">
      <c r="A81" s="66"/>
      <c r="B81" s="56"/>
      <c r="C81" s="64"/>
      <c r="D81" s="314" t="str">
        <f>IF(E81&gt;0,"زيادة","عجز")</f>
        <v>زيادة</v>
      </c>
      <c r="E81" s="99">
        <f>E86-E82</f>
        <v>385</v>
      </c>
      <c r="G81" s="60"/>
      <c r="H81" s="56"/>
      <c r="I81" s="56"/>
    </row>
    <row r="82" spans="1:11" ht="24" thickBot="1" x14ac:dyDescent="0.3">
      <c r="A82" s="68">
        <f>SUM(A65:A81)</f>
        <v>12735</v>
      </c>
      <c r="B82" s="69">
        <f>SUM(B65:B81)</f>
        <v>3887</v>
      </c>
      <c r="D82" s="135" t="s">
        <v>94</v>
      </c>
      <c r="E82" s="99"/>
      <c r="G82" s="60"/>
      <c r="H82" s="56"/>
      <c r="I82" s="56"/>
    </row>
    <row r="83" spans="1:11" ht="21.75" thickBot="1" x14ac:dyDescent="0.3">
      <c r="A83" s="365" t="s">
        <v>139</v>
      </c>
      <c r="B83" s="366"/>
      <c r="C83" s="71" t="s">
        <v>75</v>
      </c>
      <c r="D83" s="136" t="s">
        <v>65</v>
      </c>
      <c r="E83" s="85">
        <f>350+35</f>
        <v>385</v>
      </c>
      <c r="G83" s="60"/>
      <c r="H83" s="56"/>
      <c r="I83" s="56"/>
    </row>
    <row r="84" spans="1:11" ht="24" thickBot="1" x14ac:dyDescent="0.3">
      <c r="A84" s="367">
        <f>B82+A82</f>
        <v>16622</v>
      </c>
      <c r="B84" s="368"/>
      <c r="C84" s="313">
        <v>149</v>
      </c>
      <c r="D84" s="82"/>
      <c r="E84" s="83"/>
      <c r="G84" s="66"/>
      <c r="H84" s="56"/>
      <c r="I84" s="64"/>
      <c r="J84" s="314" t="str">
        <f>IF(K84&gt;0,"زيادة","عجز")</f>
        <v>زيادة</v>
      </c>
      <c r="K84" s="99">
        <f>K89-K85</f>
        <v>8</v>
      </c>
    </row>
    <row r="85" spans="1:11" ht="24" thickBot="1" x14ac:dyDescent="0.3">
      <c r="A85" s="369" t="s">
        <v>99</v>
      </c>
      <c r="B85" s="370"/>
      <c r="C85" s="78">
        <f>A86-C86</f>
        <v>16771</v>
      </c>
      <c r="D85" s="82"/>
      <c r="E85" s="83"/>
      <c r="G85" s="68">
        <f>SUM(G65:G84)</f>
        <v>7210</v>
      </c>
      <c r="H85" s="69">
        <f>SUM(H65:H84)</f>
        <v>44</v>
      </c>
      <c r="J85" s="135" t="s">
        <v>94</v>
      </c>
      <c r="K85" s="99">
        <f>727</f>
        <v>727</v>
      </c>
    </row>
    <row r="86" spans="1:11" ht="24" thickBot="1" x14ac:dyDescent="0.3">
      <c r="A86" s="371">
        <f>C84+A84</f>
        <v>16771</v>
      </c>
      <c r="B86" s="372"/>
      <c r="C86" s="121"/>
      <c r="D86" s="82" t="s">
        <v>164</v>
      </c>
      <c r="E86" s="83">
        <f>SUM(E83:E85)</f>
        <v>385</v>
      </c>
      <c r="G86" s="462" t="s">
        <v>139</v>
      </c>
      <c r="H86" s="463"/>
      <c r="I86" s="71" t="s">
        <v>75</v>
      </c>
      <c r="J86" s="136" t="s">
        <v>65</v>
      </c>
      <c r="K86" s="85">
        <v>735</v>
      </c>
    </row>
    <row r="87" spans="1:11" ht="24" thickBot="1" x14ac:dyDescent="0.3">
      <c r="C87" s="314" t="str">
        <f>IF(C85&gt;0,"زيادة","عجز")</f>
        <v>زيادة</v>
      </c>
      <c r="D87" s="318"/>
      <c r="G87" s="464">
        <f>H85+G85</f>
        <v>7254</v>
      </c>
      <c r="H87" s="465"/>
      <c r="I87" s="313">
        <v>344</v>
      </c>
      <c r="J87" s="82"/>
      <c r="K87" s="83"/>
    </row>
    <row r="88" spans="1:11" ht="24" thickBot="1" x14ac:dyDescent="0.3">
      <c r="G88" s="466" t="s">
        <v>99</v>
      </c>
      <c r="H88" s="467"/>
      <c r="I88" s="78">
        <f>G89-I89</f>
        <v>23</v>
      </c>
      <c r="J88" s="82"/>
      <c r="K88" s="83"/>
    </row>
    <row r="89" spans="1:11" ht="24" thickBot="1" x14ac:dyDescent="0.3">
      <c r="G89" s="468">
        <f>I87+G87</f>
        <v>7598</v>
      </c>
      <c r="H89" s="469"/>
      <c r="I89" s="121">
        <v>7575</v>
      </c>
      <c r="J89" s="82" t="s">
        <v>164</v>
      </c>
      <c r="K89" s="83">
        <f>SUM(K86:K88)</f>
        <v>735</v>
      </c>
    </row>
    <row r="90" spans="1:11" ht="24" thickBot="1" x14ac:dyDescent="0.3">
      <c r="I90" s="314" t="str">
        <f>IF(I88&gt;0,"زيادة","عجز")</f>
        <v>زيادة</v>
      </c>
      <c r="J90" s="318"/>
    </row>
    <row r="91" spans="1:11" ht="24" thickBot="1" x14ac:dyDescent="0.3">
      <c r="I91" s="372"/>
      <c r="J91" s="104"/>
    </row>
    <row r="92" spans="1:11" ht="24" thickBot="1" x14ac:dyDescent="0.3">
      <c r="A92" s="76" t="s">
        <v>1162</v>
      </c>
      <c r="B92" s="460">
        <v>45126</v>
      </c>
      <c r="C92" s="474"/>
      <c r="G92" s="76" t="s">
        <v>15</v>
      </c>
      <c r="H92" s="460">
        <v>45130</v>
      </c>
      <c r="I92" s="461"/>
    </row>
    <row r="93" spans="1:11" ht="21" thickBot="1" x14ac:dyDescent="0.3">
      <c r="A93" s="53" t="s">
        <v>137</v>
      </c>
      <c r="B93" s="53" t="s">
        <v>3</v>
      </c>
      <c r="C93" s="53" t="s">
        <v>138</v>
      </c>
      <c r="G93" s="53" t="s">
        <v>137</v>
      </c>
      <c r="H93" s="53" t="s">
        <v>3</v>
      </c>
      <c r="I93" s="53" t="s">
        <v>138</v>
      </c>
    </row>
    <row r="94" spans="1:11" ht="18" x14ac:dyDescent="0.25">
      <c r="A94" s="55">
        <f>18000+560</f>
        <v>18560</v>
      </c>
      <c r="B94" s="77">
        <v>5</v>
      </c>
      <c r="C94" s="57" t="s">
        <v>357</v>
      </c>
      <c r="G94" s="55">
        <f>10000+9000+520</f>
        <v>19520</v>
      </c>
      <c r="H94" s="77">
        <v>35</v>
      </c>
      <c r="I94" s="57" t="s">
        <v>315</v>
      </c>
    </row>
    <row r="95" spans="1:11" ht="18" x14ac:dyDescent="0.25">
      <c r="A95" s="60"/>
      <c r="B95" s="56">
        <v>7</v>
      </c>
      <c r="C95" s="57" t="s">
        <v>569</v>
      </c>
      <c r="G95" s="60"/>
      <c r="H95" s="56">
        <v>1124</v>
      </c>
      <c r="I95" s="57" t="s">
        <v>331</v>
      </c>
    </row>
    <row r="96" spans="1:11" ht="18" x14ac:dyDescent="0.25">
      <c r="A96" s="60"/>
      <c r="B96" s="77">
        <v>20</v>
      </c>
      <c r="C96" s="77" t="s">
        <v>52</v>
      </c>
      <c r="G96" s="60"/>
      <c r="H96" s="77">
        <v>100</v>
      </c>
      <c r="I96" s="77" t="s">
        <v>1264</v>
      </c>
    </row>
    <row r="97" spans="1:9" ht="18" x14ac:dyDescent="0.25">
      <c r="A97" s="60"/>
      <c r="B97" s="56"/>
      <c r="C97" s="77"/>
      <c r="G97" s="60"/>
      <c r="H97" s="56">
        <v>20</v>
      </c>
      <c r="I97" s="77" t="s">
        <v>24</v>
      </c>
    </row>
    <row r="98" spans="1:9" ht="18" x14ac:dyDescent="0.25">
      <c r="A98" s="60"/>
      <c r="B98" s="77"/>
      <c r="C98" s="56"/>
      <c r="G98" s="60"/>
      <c r="H98" s="77">
        <v>210</v>
      </c>
      <c r="I98" s="56" t="s">
        <v>1319</v>
      </c>
    </row>
    <row r="99" spans="1:9" ht="18" x14ac:dyDescent="0.25">
      <c r="A99" s="60"/>
      <c r="B99" s="77"/>
      <c r="C99" s="56"/>
      <c r="G99" s="60"/>
      <c r="H99" s="77">
        <v>20</v>
      </c>
      <c r="I99" s="56" t="s">
        <v>1388</v>
      </c>
    </row>
    <row r="100" spans="1:9" ht="18" x14ac:dyDescent="0.25">
      <c r="A100" s="60"/>
      <c r="B100" s="56"/>
      <c r="C100" s="56"/>
      <c r="G100" s="60"/>
      <c r="H100" s="56"/>
      <c r="I100" s="56"/>
    </row>
    <row r="101" spans="1:9" ht="18" x14ac:dyDescent="0.25">
      <c r="A101" s="60"/>
      <c r="B101" s="56"/>
      <c r="C101" s="56"/>
      <c r="G101" s="60"/>
      <c r="H101" s="56"/>
      <c r="I101" s="56"/>
    </row>
    <row r="102" spans="1:9" ht="18" x14ac:dyDescent="0.25">
      <c r="A102" s="60"/>
      <c r="B102" s="56"/>
      <c r="C102" s="56"/>
      <c r="G102" s="60"/>
      <c r="H102" s="56"/>
      <c r="I102" s="56"/>
    </row>
    <row r="103" spans="1:9" ht="18" x14ac:dyDescent="0.25">
      <c r="A103" s="60"/>
      <c r="B103" s="56"/>
      <c r="C103" s="56"/>
      <c r="G103" s="60"/>
      <c r="H103" s="56"/>
      <c r="I103" s="56"/>
    </row>
    <row r="104" spans="1:9" ht="18" x14ac:dyDescent="0.25">
      <c r="A104" s="60"/>
      <c r="B104" s="56"/>
      <c r="C104" s="56"/>
      <c r="G104" s="60"/>
      <c r="H104" s="56"/>
      <c r="I104" s="56"/>
    </row>
    <row r="105" spans="1:9" ht="18" x14ac:dyDescent="0.25">
      <c r="A105" s="60"/>
      <c r="B105" s="56"/>
      <c r="C105" s="56"/>
      <c r="G105" s="60"/>
      <c r="H105" s="56"/>
      <c r="I105" s="56"/>
    </row>
    <row r="106" spans="1:9" ht="18" x14ac:dyDescent="0.25">
      <c r="A106" s="60"/>
      <c r="B106" s="56"/>
      <c r="C106" s="56"/>
      <c r="G106" s="60"/>
      <c r="H106" s="56"/>
      <c r="I106" s="56"/>
    </row>
    <row r="107" spans="1:9" ht="18" x14ac:dyDescent="0.25">
      <c r="A107" s="60"/>
      <c r="B107" s="56"/>
      <c r="C107" s="56"/>
      <c r="G107" s="60"/>
      <c r="H107" s="56"/>
      <c r="I107" s="56"/>
    </row>
    <row r="108" spans="1:9" ht="18" x14ac:dyDescent="0.25">
      <c r="A108" s="60"/>
      <c r="B108" s="56"/>
      <c r="C108" s="56"/>
      <c r="G108" s="60"/>
      <c r="H108" s="56"/>
      <c r="I108" s="56"/>
    </row>
    <row r="109" spans="1:9" ht="18" x14ac:dyDescent="0.25">
      <c r="A109" s="60"/>
      <c r="B109" s="56"/>
      <c r="C109" s="56"/>
      <c r="G109" s="60"/>
      <c r="H109" s="56"/>
      <c r="I109" s="56"/>
    </row>
    <row r="110" spans="1:9" ht="18" x14ac:dyDescent="0.25">
      <c r="A110" s="60"/>
      <c r="B110" s="56"/>
      <c r="C110" s="56"/>
      <c r="G110" s="60"/>
      <c r="H110" s="56"/>
      <c r="I110" s="56"/>
    </row>
    <row r="111" spans="1:9" ht="18" x14ac:dyDescent="0.25">
      <c r="A111" s="60"/>
      <c r="B111" s="56"/>
      <c r="C111" s="56"/>
      <c r="G111" s="60"/>
      <c r="H111" s="56"/>
      <c r="I111" s="56"/>
    </row>
    <row r="112" spans="1:9" ht="18" x14ac:dyDescent="0.25">
      <c r="A112" s="60"/>
      <c r="B112" s="56"/>
      <c r="C112" s="56"/>
      <c r="G112" s="60"/>
      <c r="H112" s="56"/>
      <c r="I112" s="56"/>
    </row>
    <row r="113" spans="1:11" ht="18" x14ac:dyDescent="0.25">
      <c r="A113" s="60"/>
      <c r="B113" s="56"/>
      <c r="C113" s="56"/>
      <c r="G113" s="60"/>
      <c r="H113" s="56"/>
      <c r="I113" s="56"/>
    </row>
    <row r="114" spans="1:11" ht="18" x14ac:dyDescent="0.25">
      <c r="A114" s="60"/>
      <c r="B114" s="56"/>
      <c r="C114" s="56"/>
      <c r="G114" s="60"/>
      <c r="H114" s="56"/>
      <c r="I114" s="56"/>
    </row>
    <row r="115" spans="1:11" ht="24" thickBot="1" x14ac:dyDescent="0.3">
      <c r="A115" s="60"/>
      <c r="B115" s="56"/>
      <c r="C115" s="56"/>
      <c r="D115" s="479" t="s">
        <v>1386</v>
      </c>
      <c r="E115" s="480"/>
      <c r="G115" s="60"/>
      <c r="H115" s="56"/>
      <c r="I115" s="56"/>
    </row>
    <row r="116" spans="1:11" ht="24" thickBot="1" x14ac:dyDescent="0.3">
      <c r="A116" s="66"/>
      <c r="B116" s="56"/>
      <c r="C116" s="64"/>
      <c r="D116" s="314" t="str">
        <f>IF(E116&gt;0,"زيادة","عجز")</f>
        <v>عجز</v>
      </c>
      <c r="E116" s="99">
        <f>E121-E117</f>
        <v>-372</v>
      </c>
      <c r="G116" s="66"/>
      <c r="H116" s="56"/>
      <c r="I116" s="64"/>
      <c r="J116" s="314" t="str">
        <f>IF(K116&gt;0,"زيادة","عجز")</f>
        <v>زيادة</v>
      </c>
      <c r="K116" s="99">
        <f>K121-K117</f>
        <v>4</v>
      </c>
    </row>
    <row r="117" spans="1:11" ht="24" thickBot="1" x14ac:dyDescent="0.3">
      <c r="A117" s="68">
        <f>SUM(A94:A116)</f>
        <v>18560</v>
      </c>
      <c r="B117" s="69">
        <f>SUM(B94:B116)</f>
        <v>32</v>
      </c>
      <c r="D117" s="135" t="s">
        <v>94</v>
      </c>
      <c r="E117" s="99">
        <f>9925-7909</f>
        <v>2016</v>
      </c>
      <c r="G117" s="68">
        <f>SUM(G94:G116)</f>
        <v>19520</v>
      </c>
      <c r="H117" s="69">
        <f>SUM(H94:H116)</f>
        <v>1509</v>
      </c>
      <c r="J117" s="135" t="s">
        <v>94</v>
      </c>
      <c r="K117" s="85">
        <f>2500-2413</f>
        <v>87</v>
      </c>
    </row>
    <row r="118" spans="1:11" ht="21.75" thickBot="1" x14ac:dyDescent="0.3">
      <c r="A118" s="365" t="s">
        <v>139</v>
      </c>
      <c r="B118" s="366"/>
      <c r="C118" s="71" t="s">
        <v>75</v>
      </c>
      <c r="D118" s="136" t="s">
        <v>65</v>
      </c>
      <c r="E118" s="85">
        <f>500+380+18</f>
        <v>898</v>
      </c>
      <c r="G118" s="462" t="s">
        <v>139</v>
      </c>
      <c r="H118" s="463"/>
      <c r="I118" s="71" t="s">
        <v>75</v>
      </c>
      <c r="J118" s="136" t="s">
        <v>65</v>
      </c>
      <c r="K118" s="85">
        <f>91</f>
        <v>91</v>
      </c>
    </row>
    <row r="119" spans="1:11" ht="24" thickBot="1" x14ac:dyDescent="0.3">
      <c r="A119" s="367">
        <f>B117+A117</f>
        <v>18592</v>
      </c>
      <c r="B119" s="368"/>
      <c r="C119" s="313">
        <f>175+177+117</f>
        <v>469</v>
      </c>
      <c r="D119" s="82" t="s">
        <v>75</v>
      </c>
      <c r="E119" s="83">
        <v>746</v>
      </c>
      <c r="G119" s="464">
        <f>H117+G117</f>
        <v>21029</v>
      </c>
      <c r="H119" s="465"/>
      <c r="I119" s="313">
        <v>31</v>
      </c>
      <c r="J119" s="82"/>
      <c r="K119" s="83"/>
    </row>
    <row r="120" spans="1:11" ht="24" thickBot="1" x14ac:dyDescent="0.3">
      <c r="A120" s="466" t="s">
        <v>99</v>
      </c>
      <c r="B120" s="467"/>
      <c r="C120" s="78">
        <f>A121-C121</f>
        <v>490</v>
      </c>
      <c r="D120" s="82"/>
      <c r="E120" s="83"/>
      <c r="G120" s="466" t="s">
        <v>99</v>
      </c>
      <c r="H120" s="467"/>
      <c r="I120" s="78">
        <f>G121-I121</f>
        <v>21060</v>
      </c>
      <c r="J120" s="82"/>
      <c r="K120" s="83"/>
    </row>
    <row r="121" spans="1:11" ht="24" thickBot="1" x14ac:dyDescent="0.3">
      <c r="A121" s="468">
        <f>C119+A119</f>
        <v>19061</v>
      </c>
      <c r="B121" s="469"/>
      <c r="C121" s="121">
        <v>18571</v>
      </c>
      <c r="D121" s="82" t="s">
        <v>164</v>
      </c>
      <c r="E121" s="83">
        <f>SUM(E118:E120)</f>
        <v>1644</v>
      </c>
      <c r="G121" s="468">
        <f>I119+G119</f>
        <v>21060</v>
      </c>
      <c r="H121" s="469"/>
      <c r="I121" s="121"/>
      <c r="J121" s="82" t="s">
        <v>164</v>
      </c>
      <c r="K121" s="83">
        <f>SUM(K118:K120)</f>
        <v>91</v>
      </c>
    </row>
    <row r="122" spans="1:11" ht="24" thickBot="1" x14ac:dyDescent="0.3">
      <c r="C122" s="314" t="str">
        <f>IF(C120&gt;0,"زيادة","عجز")</f>
        <v>زيادة</v>
      </c>
      <c r="D122" s="318"/>
      <c r="I122" s="314" t="str">
        <f>IF(I120&gt;0,"زيادة","عجز")</f>
        <v>زيادة</v>
      </c>
      <c r="J122" s="318"/>
    </row>
    <row r="124" spans="1:11" ht="15.75" thickBot="1" x14ac:dyDescent="0.3"/>
    <row r="125" spans="1:11" ht="24" thickBot="1" x14ac:dyDescent="0.3">
      <c r="A125" s="425" t="s">
        <v>15</v>
      </c>
      <c r="B125" s="460">
        <v>45127</v>
      </c>
      <c r="C125" s="461"/>
      <c r="G125" s="425" t="s">
        <v>85</v>
      </c>
      <c r="H125" s="460">
        <v>45127</v>
      </c>
      <c r="I125" s="461"/>
    </row>
    <row r="126" spans="1:11" ht="21" thickBot="1" x14ac:dyDescent="0.3">
      <c r="A126" s="53" t="s">
        <v>137</v>
      </c>
      <c r="B126" s="53" t="s">
        <v>3</v>
      </c>
      <c r="C126" s="53" t="s">
        <v>138</v>
      </c>
      <c r="G126" s="53" t="s">
        <v>137</v>
      </c>
      <c r="H126" s="53" t="s">
        <v>3</v>
      </c>
      <c r="I126" s="53" t="s">
        <v>138</v>
      </c>
    </row>
    <row r="127" spans="1:11" ht="18" x14ac:dyDescent="0.25">
      <c r="A127" s="55"/>
      <c r="B127" s="77"/>
      <c r="C127" s="57"/>
      <c r="G127" s="55"/>
      <c r="H127" s="77"/>
      <c r="I127" s="57"/>
    </row>
    <row r="128" spans="1:11" ht="18" x14ac:dyDescent="0.25">
      <c r="A128" s="60"/>
      <c r="B128" s="56"/>
      <c r="C128" s="57"/>
      <c r="G128" s="60"/>
      <c r="H128" s="56"/>
      <c r="I128" s="57"/>
    </row>
    <row r="129" spans="1:9" ht="18" x14ac:dyDescent="0.25">
      <c r="A129" s="60"/>
      <c r="B129" s="77"/>
      <c r="C129" s="77"/>
      <c r="G129" s="60"/>
      <c r="H129" s="77"/>
      <c r="I129" s="77"/>
    </row>
    <row r="130" spans="1:9" ht="18" x14ac:dyDescent="0.25">
      <c r="A130" s="60"/>
      <c r="B130" s="56"/>
      <c r="C130" s="77"/>
      <c r="G130" s="60"/>
      <c r="H130" s="56"/>
      <c r="I130" s="77"/>
    </row>
    <row r="131" spans="1:9" ht="18" x14ac:dyDescent="0.25">
      <c r="A131" s="60"/>
      <c r="B131" s="77"/>
      <c r="C131" s="56"/>
      <c r="G131" s="60"/>
      <c r="H131" s="77"/>
      <c r="I131" s="56"/>
    </row>
    <row r="132" spans="1:9" ht="18" x14ac:dyDescent="0.25">
      <c r="A132" s="60"/>
      <c r="B132" s="77"/>
      <c r="C132" s="56"/>
      <c r="G132" s="60"/>
      <c r="H132" s="77"/>
      <c r="I132" s="56"/>
    </row>
    <row r="133" spans="1:9" ht="18" x14ac:dyDescent="0.25">
      <c r="A133" s="60"/>
      <c r="B133" s="56"/>
      <c r="C133" s="56"/>
      <c r="G133" s="60"/>
      <c r="H133" s="56"/>
      <c r="I133" s="56"/>
    </row>
    <row r="134" spans="1:9" ht="18" x14ac:dyDescent="0.25">
      <c r="A134" s="60"/>
      <c r="B134" s="56"/>
      <c r="C134" s="56"/>
      <c r="G134" s="60"/>
      <c r="H134" s="56"/>
      <c r="I134" s="56"/>
    </row>
    <row r="135" spans="1:9" ht="18" x14ac:dyDescent="0.25">
      <c r="A135" s="60"/>
      <c r="B135" s="56"/>
      <c r="C135" s="56"/>
      <c r="G135" s="60"/>
      <c r="H135" s="56"/>
      <c r="I135" s="56"/>
    </row>
    <row r="136" spans="1:9" ht="18" x14ac:dyDescent="0.25">
      <c r="A136" s="60"/>
      <c r="B136" s="56"/>
      <c r="C136" s="56"/>
      <c r="G136" s="60"/>
      <c r="H136" s="56"/>
      <c r="I136" s="56"/>
    </row>
    <row r="137" spans="1:9" ht="18" x14ac:dyDescent="0.25">
      <c r="A137" s="60"/>
      <c r="B137" s="56"/>
      <c r="C137" s="56"/>
      <c r="G137" s="60"/>
      <c r="H137" s="56"/>
      <c r="I137" s="56"/>
    </row>
    <row r="138" spans="1:9" ht="18" x14ac:dyDescent="0.25">
      <c r="A138" s="60"/>
      <c r="B138" s="56"/>
      <c r="C138" s="56"/>
      <c r="G138" s="60"/>
      <c r="H138" s="56"/>
      <c r="I138" s="56"/>
    </row>
    <row r="139" spans="1:9" ht="18" x14ac:dyDescent="0.25">
      <c r="A139" s="60"/>
      <c r="B139" s="56"/>
      <c r="C139" s="56"/>
      <c r="G139" s="60"/>
      <c r="H139" s="56"/>
      <c r="I139" s="56"/>
    </row>
    <row r="140" spans="1:9" ht="18" x14ac:dyDescent="0.25">
      <c r="A140" s="60"/>
      <c r="B140" s="56"/>
      <c r="C140" s="56"/>
      <c r="G140" s="60"/>
      <c r="H140" s="56"/>
      <c r="I140" s="56"/>
    </row>
    <row r="141" spans="1:9" ht="18" x14ac:dyDescent="0.25">
      <c r="A141" s="60"/>
      <c r="B141" s="56"/>
      <c r="C141" s="56"/>
      <c r="G141" s="60"/>
      <c r="H141" s="56"/>
      <c r="I141" s="56"/>
    </row>
    <row r="142" spans="1:9" ht="18" x14ac:dyDescent="0.25">
      <c r="A142" s="60"/>
      <c r="B142" s="56"/>
      <c r="C142" s="56"/>
      <c r="G142" s="60"/>
      <c r="H142" s="56"/>
      <c r="I142" s="56"/>
    </row>
    <row r="143" spans="1:9" ht="18" x14ac:dyDescent="0.25">
      <c r="A143" s="60"/>
      <c r="B143" s="56"/>
      <c r="C143" s="56"/>
      <c r="G143" s="60"/>
      <c r="H143" s="56"/>
      <c r="I143" s="56"/>
    </row>
    <row r="144" spans="1:9" ht="18" x14ac:dyDescent="0.25">
      <c r="A144" s="60"/>
      <c r="B144" s="56"/>
      <c r="C144" s="56"/>
      <c r="G144" s="60"/>
      <c r="H144" s="56"/>
      <c r="I144" s="56"/>
    </row>
    <row r="145" spans="1:11" ht="18" x14ac:dyDescent="0.25">
      <c r="A145" s="60"/>
      <c r="B145" s="56"/>
      <c r="C145" s="56"/>
      <c r="G145" s="60"/>
      <c r="H145" s="56"/>
      <c r="I145" s="56"/>
    </row>
    <row r="146" spans="1:11" ht="18" x14ac:dyDescent="0.25">
      <c r="A146" s="60"/>
      <c r="B146" s="56"/>
      <c r="C146" s="56"/>
      <c r="G146" s="60"/>
      <c r="H146" s="56"/>
      <c r="I146" s="56"/>
    </row>
    <row r="147" spans="1:11" ht="18" x14ac:dyDescent="0.25">
      <c r="A147" s="60"/>
      <c r="B147" s="56"/>
      <c r="C147" s="56"/>
      <c r="G147" s="60"/>
      <c r="H147" s="56"/>
      <c r="I147" s="56"/>
    </row>
    <row r="148" spans="1:11" ht="18.75" thickBot="1" x14ac:dyDescent="0.3">
      <c r="A148" s="60"/>
      <c r="B148" s="56"/>
      <c r="C148" s="56"/>
      <c r="G148" s="60"/>
      <c r="H148" s="56"/>
      <c r="I148" s="56"/>
    </row>
    <row r="149" spans="1:11" ht="24" thickBot="1" x14ac:dyDescent="0.3">
      <c r="A149" s="66"/>
      <c r="B149" s="56"/>
      <c r="C149" s="64"/>
      <c r="D149" s="314" t="str">
        <f>IF(E149&gt;0,"زيادة","عجز")</f>
        <v>عجز</v>
      </c>
      <c r="E149" s="99">
        <f>E154-E150</f>
        <v>0</v>
      </c>
      <c r="G149" s="66"/>
      <c r="H149" s="56"/>
      <c r="I149" s="64"/>
      <c r="J149" s="314" t="str">
        <f>IF(K149&gt;0,"زيادة","عجز")</f>
        <v>عجز</v>
      </c>
      <c r="K149" s="99">
        <f>K154-K150</f>
        <v>0</v>
      </c>
    </row>
    <row r="150" spans="1:11" ht="24" thickBot="1" x14ac:dyDescent="0.3">
      <c r="A150" s="68">
        <f>SUM(A127:A149)</f>
        <v>0</v>
      </c>
      <c r="B150" s="69">
        <f>SUM(B127:B149)</f>
        <v>0</v>
      </c>
      <c r="D150" s="135" t="s">
        <v>94</v>
      </c>
      <c r="E150" s="99"/>
      <c r="G150" s="68">
        <f>SUM(G127:G149)</f>
        <v>0</v>
      </c>
      <c r="H150" s="69">
        <f>SUM(H127:H149)</f>
        <v>0</v>
      </c>
      <c r="J150" s="135" t="s">
        <v>94</v>
      </c>
      <c r="K150" s="99"/>
    </row>
    <row r="151" spans="1:11" ht="21.75" thickBot="1" x14ac:dyDescent="0.3">
      <c r="A151" s="462" t="s">
        <v>139</v>
      </c>
      <c r="B151" s="463"/>
      <c r="C151" s="71" t="s">
        <v>75</v>
      </c>
      <c r="D151" s="136" t="s">
        <v>65</v>
      </c>
      <c r="E151" s="85"/>
      <c r="G151" s="462" t="s">
        <v>139</v>
      </c>
      <c r="H151" s="463"/>
      <c r="I151" s="71" t="s">
        <v>75</v>
      </c>
      <c r="J151" s="136" t="s">
        <v>65</v>
      </c>
      <c r="K151" s="85"/>
    </row>
    <row r="152" spans="1:11" ht="24" thickBot="1" x14ac:dyDescent="0.3">
      <c r="A152" s="464">
        <f>B150+A150</f>
        <v>0</v>
      </c>
      <c r="B152" s="465"/>
      <c r="C152" s="313"/>
      <c r="D152" s="82"/>
      <c r="E152" s="83"/>
      <c r="G152" s="464">
        <f>H150+G150</f>
        <v>0</v>
      </c>
      <c r="H152" s="465"/>
      <c r="I152" s="313"/>
      <c r="J152" s="82"/>
      <c r="K152" s="83"/>
    </row>
    <row r="153" spans="1:11" ht="24" thickBot="1" x14ac:dyDescent="0.3">
      <c r="A153" s="466" t="s">
        <v>99</v>
      </c>
      <c r="B153" s="467"/>
      <c r="C153" s="78">
        <f>A154-C154</f>
        <v>0</v>
      </c>
      <c r="D153" s="82"/>
      <c r="E153" s="83"/>
      <c r="G153" s="466" t="s">
        <v>99</v>
      </c>
      <c r="H153" s="467"/>
      <c r="I153" s="78">
        <f>G154-I154</f>
        <v>0</v>
      </c>
      <c r="J153" s="82"/>
      <c r="K153" s="83"/>
    </row>
    <row r="154" spans="1:11" ht="24" thickBot="1" x14ac:dyDescent="0.3">
      <c r="A154" s="468">
        <f>C152+A152</f>
        <v>0</v>
      </c>
      <c r="B154" s="469"/>
      <c r="C154" s="121"/>
      <c r="D154" s="82" t="s">
        <v>164</v>
      </c>
      <c r="E154" s="83">
        <f>SUM(E151:E153)</f>
        <v>0</v>
      </c>
      <c r="G154" s="468">
        <f>I152+G152</f>
        <v>0</v>
      </c>
      <c r="H154" s="469"/>
      <c r="I154" s="121"/>
      <c r="J154" s="82" t="s">
        <v>164</v>
      </c>
      <c r="K154" s="83">
        <f>SUM(K151:K153)</f>
        <v>0</v>
      </c>
    </row>
    <row r="155" spans="1:11" ht="24" thickBot="1" x14ac:dyDescent="0.3">
      <c r="C155" s="314" t="str">
        <f>IF(C153&gt;0,"زيادة","عجز")</f>
        <v>عجز</v>
      </c>
      <c r="D155" s="318"/>
      <c r="I155" s="314" t="str">
        <f>IF(I153&gt;0,"زيادة","عجز")</f>
        <v>عجز</v>
      </c>
      <c r="J155" s="318"/>
    </row>
    <row r="157" spans="1:11" x14ac:dyDescent="0.25">
      <c r="A157">
        <f>10+10+10+10+10</f>
        <v>50</v>
      </c>
    </row>
    <row r="160" spans="1:11" x14ac:dyDescent="0.25">
      <c r="C160">
        <f>9+10+10+15+5+10+12+10+10+12+7+10+10+10+10.5+10+10+10+8</f>
        <v>188.5</v>
      </c>
    </row>
    <row r="164" spans="1:9" x14ac:dyDescent="0.25">
      <c r="C164">
        <f>C160*10</f>
        <v>1885</v>
      </c>
    </row>
    <row r="166" spans="1:9" ht="15.75" thickBot="1" x14ac:dyDescent="0.3"/>
    <row r="167" spans="1:9" ht="24" thickBot="1" x14ac:dyDescent="0.3">
      <c r="A167" s="425" t="s">
        <v>59</v>
      </c>
      <c r="B167" s="460">
        <v>45127</v>
      </c>
      <c r="C167" s="461"/>
      <c r="G167" s="425" t="s">
        <v>1389</v>
      </c>
      <c r="H167" s="460">
        <v>45127</v>
      </c>
      <c r="I167" s="461"/>
    </row>
    <row r="168" spans="1:9" ht="21" thickBot="1" x14ac:dyDescent="0.3">
      <c r="A168" s="53" t="s">
        <v>137</v>
      </c>
      <c r="B168" s="53" t="s">
        <v>3</v>
      </c>
      <c r="C168" s="53" t="s">
        <v>138</v>
      </c>
      <c r="G168" s="53" t="s">
        <v>137</v>
      </c>
      <c r="H168" s="53" t="s">
        <v>3</v>
      </c>
      <c r="I168" s="53" t="s">
        <v>138</v>
      </c>
    </row>
    <row r="169" spans="1:9" ht="18" x14ac:dyDescent="0.25">
      <c r="A169" s="55"/>
      <c r="B169" s="77"/>
      <c r="C169" s="57"/>
      <c r="G169" s="55">
        <v>2305</v>
      </c>
      <c r="H169" s="77"/>
      <c r="I169" s="57"/>
    </row>
    <row r="170" spans="1:9" ht="18" x14ac:dyDescent="0.25">
      <c r="A170" s="60"/>
      <c r="B170" s="56"/>
      <c r="C170" s="57"/>
      <c r="G170" s="60"/>
      <c r="H170" s="56"/>
      <c r="I170" s="57"/>
    </row>
    <row r="171" spans="1:9" ht="18" x14ac:dyDescent="0.25">
      <c r="A171" s="60"/>
      <c r="B171" s="77"/>
      <c r="C171" s="57"/>
      <c r="G171" s="60"/>
      <c r="H171" s="77"/>
      <c r="I171" s="57"/>
    </row>
    <row r="172" spans="1:9" ht="18" x14ac:dyDescent="0.25">
      <c r="A172" s="60"/>
      <c r="B172" s="56"/>
      <c r="C172" s="57"/>
      <c r="G172" s="60"/>
      <c r="H172" s="56"/>
      <c r="I172" s="57"/>
    </row>
    <row r="173" spans="1:9" ht="18" x14ac:dyDescent="0.25">
      <c r="A173" s="60"/>
      <c r="B173" s="77"/>
      <c r="C173" s="57"/>
      <c r="G173" s="60"/>
      <c r="H173" s="77"/>
      <c r="I173" s="57"/>
    </row>
    <row r="174" spans="1:9" ht="18" x14ac:dyDescent="0.25">
      <c r="A174" s="60"/>
      <c r="B174" s="77"/>
      <c r="C174" s="56"/>
      <c r="G174" s="60"/>
      <c r="H174" s="77"/>
      <c r="I174" s="56"/>
    </row>
    <row r="175" spans="1:9" ht="18" x14ac:dyDescent="0.25">
      <c r="A175" s="60"/>
      <c r="B175" s="56"/>
      <c r="C175" s="56"/>
      <c r="G175" s="60"/>
      <c r="H175" s="56"/>
      <c r="I175" s="56"/>
    </row>
    <row r="176" spans="1:9" ht="18" x14ac:dyDescent="0.25">
      <c r="A176" s="60"/>
      <c r="B176" s="56"/>
      <c r="C176" s="56"/>
      <c r="G176" s="60"/>
      <c r="H176" s="56"/>
      <c r="I176" s="56"/>
    </row>
    <row r="177" spans="1:11" ht="18" x14ac:dyDescent="0.25">
      <c r="A177" s="60"/>
      <c r="B177" s="56"/>
      <c r="C177" s="56"/>
      <c r="G177" s="60"/>
      <c r="H177" s="56"/>
      <c r="I177" s="56"/>
    </row>
    <row r="178" spans="1:11" ht="18" x14ac:dyDescent="0.25">
      <c r="A178" s="60"/>
      <c r="B178" s="56"/>
      <c r="C178" s="56"/>
      <c r="G178" s="60"/>
      <c r="H178" s="56"/>
      <c r="I178" s="56"/>
    </row>
    <row r="179" spans="1:11" ht="18" x14ac:dyDescent="0.25">
      <c r="A179" s="60"/>
      <c r="B179" s="56"/>
      <c r="C179" s="56"/>
      <c r="G179" s="60"/>
      <c r="H179" s="56"/>
      <c r="I179" s="56"/>
    </row>
    <row r="180" spans="1:11" ht="18" x14ac:dyDescent="0.25">
      <c r="A180" s="60"/>
      <c r="B180" s="56"/>
      <c r="C180" s="56"/>
      <c r="G180" s="60"/>
      <c r="H180" s="56"/>
      <c r="I180" s="56"/>
    </row>
    <row r="181" spans="1:11" ht="18" x14ac:dyDescent="0.25">
      <c r="A181" s="60"/>
      <c r="B181" s="56"/>
      <c r="C181" s="56"/>
      <c r="G181" s="60"/>
      <c r="H181" s="56"/>
      <c r="I181" s="56"/>
    </row>
    <row r="182" spans="1:11" ht="18" x14ac:dyDescent="0.25">
      <c r="A182" s="60"/>
      <c r="B182" s="56"/>
      <c r="C182" s="56"/>
      <c r="G182" s="60"/>
      <c r="H182" s="56"/>
      <c r="I182" s="56"/>
    </row>
    <row r="183" spans="1:11" ht="18" x14ac:dyDescent="0.25">
      <c r="A183" s="60"/>
      <c r="B183" s="56"/>
      <c r="C183" s="56"/>
      <c r="G183" s="60"/>
      <c r="H183" s="56"/>
      <c r="I183" s="56"/>
    </row>
    <row r="184" spans="1:11" ht="18" x14ac:dyDescent="0.25">
      <c r="A184" s="60"/>
      <c r="B184" s="56"/>
      <c r="C184" s="56"/>
      <c r="G184" s="60"/>
      <c r="H184" s="56"/>
      <c r="I184" s="56"/>
    </row>
    <row r="185" spans="1:11" ht="18" x14ac:dyDescent="0.25">
      <c r="A185" s="60"/>
      <c r="B185" s="56"/>
      <c r="C185" s="56"/>
      <c r="G185" s="60"/>
      <c r="H185" s="56"/>
      <c r="I185" s="56"/>
    </row>
    <row r="186" spans="1:11" ht="18" x14ac:dyDescent="0.25">
      <c r="A186" s="60"/>
      <c r="B186" s="56"/>
      <c r="C186" s="56"/>
      <c r="G186" s="60"/>
      <c r="H186" s="56"/>
      <c r="I186" s="56"/>
    </row>
    <row r="187" spans="1:11" ht="18" x14ac:dyDescent="0.25">
      <c r="A187" s="60"/>
      <c r="B187" s="56"/>
      <c r="C187" s="56"/>
      <c r="G187" s="60"/>
      <c r="H187" s="56"/>
      <c r="I187" s="56"/>
    </row>
    <row r="188" spans="1:11" ht="18" x14ac:dyDescent="0.25">
      <c r="A188" s="60"/>
      <c r="B188" s="56"/>
      <c r="C188" s="56"/>
      <c r="G188" s="60"/>
      <c r="H188" s="56"/>
      <c r="I188" s="56"/>
    </row>
    <row r="189" spans="1:11" ht="18" x14ac:dyDescent="0.25">
      <c r="A189" s="60"/>
      <c r="B189" s="56"/>
      <c r="C189" s="56"/>
      <c r="G189" s="60"/>
      <c r="H189" s="56"/>
      <c r="I189" s="56"/>
    </row>
    <row r="190" spans="1:11" ht="18.75" thickBot="1" x14ac:dyDescent="0.3">
      <c r="A190" s="60"/>
      <c r="B190" s="56"/>
      <c r="C190" s="56"/>
      <c r="G190" s="60"/>
      <c r="H190" s="56"/>
      <c r="I190" s="56"/>
    </row>
    <row r="191" spans="1:11" ht="24" thickBot="1" x14ac:dyDescent="0.3">
      <c r="A191" s="66"/>
      <c r="B191" s="56"/>
      <c r="C191" s="64"/>
      <c r="D191" s="314" t="str">
        <f>IF(E191&gt;0,"زيادة","عجز")</f>
        <v>عجز</v>
      </c>
      <c r="E191" s="99">
        <f>E196-E192</f>
        <v>0</v>
      </c>
      <c r="G191" s="66"/>
      <c r="H191" s="56"/>
      <c r="I191" s="64"/>
      <c r="J191" s="314" t="str">
        <f>IF(K191&gt;0,"زيادة","عجز")</f>
        <v>عجز</v>
      </c>
      <c r="K191" s="99">
        <f>K196-K192</f>
        <v>0</v>
      </c>
    </row>
    <row r="192" spans="1:11" ht="24" thickBot="1" x14ac:dyDescent="0.3">
      <c r="A192" s="68">
        <f>SUM(A169:A191)</f>
        <v>0</v>
      </c>
      <c r="B192" s="69">
        <f>SUM(B169:B191)</f>
        <v>0</v>
      </c>
      <c r="D192" s="135" t="s">
        <v>94</v>
      </c>
      <c r="E192" s="99"/>
      <c r="G192" s="68">
        <f>SUM(G169:G191)</f>
        <v>2305</v>
      </c>
      <c r="H192" s="69">
        <f>SUM(H169:H191)</f>
        <v>0</v>
      </c>
      <c r="J192" s="135" t="s">
        <v>94</v>
      </c>
      <c r="K192" s="99"/>
    </row>
    <row r="193" spans="1:11" ht="21.75" thickBot="1" x14ac:dyDescent="0.3">
      <c r="A193" s="462" t="s">
        <v>139</v>
      </c>
      <c r="B193" s="463"/>
      <c r="C193" s="71" t="s">
        <v>75</v>
      </c>
      <c r="D193" s="136" t="s">
        <v>65</v>
      </c>
      <c r="E193" s="85"/>
      <c r="G193" s="462" t="s">
        <v>139</v>
      </c>
      <c r="H193" s="463"/>
      <c r="I193" s="71" t="s">
        <v>75</v>
      </c>
      <c r="J193" s="136" t="s">
        <v>65</v>
      </c>
      <c r="K193" s="85"/>
    </row>
    <row r="194" spans="1:11" ht="24" thickBot="1" x14ac:dyDescent="0.3">
      <c r="A194" s="464">
        <f>B192+A192</f>
        <v>0</v>
      </c>
      <c r="B194" s="465"/>
      <c r="C194" s="313"/>
      <c r="D194" s="82"/>
      <c r="E194" s="83"/>
      <c r="G194" s="464">
        <f>G192-G196</f>
        <v>-65</v>
      </c>
      <c r="H194" s="465"/>
      <c r="I194" s="313"/>
      <c r="J194" s="82"/>
      <c r="K194" s="83"/>
    </row>
    <row r="195" spans="1:11" ht="24" thickBot="1" x14ac:dyDescent="0.3">
      <c r="A195" s="466" t="s">
        <v>99</v>
      </c>
      <c r="B195" s="467"/>
      <c r="C195" s="78">
        <f>A196-C196</f>
        <v>0</v>
      </c>
      <c r="D195" s="82"/>
      <c r="E195" s="83"/>
      <c r="G195" s="466" t="s">
        <v>99</v>
      </c>
      <c r="H195" s="467"/>
      <c r="I195" s="78">
        <f>G196-I196</f>
        <v>2370</v>
      </c>
      <c r="J195" s="82"/>
      <c r="K195" s="83"/>
    </row>
    <row r="196" spans="1:11" ht="24" thickBot="1" x14ac:dyDescent="0.3">
      <c r="A196" s="468">
        <f>C194+A194</f>
        <v>0</v>
      </c>
      <c r="B196" s="469"/>
      <c r="C196" s="121"/>
      <c r="D196" s="82" t="s">
        <v>164</v>
      </c>
      <c r="E196" s="83">
        <f>SUM(E193:E195)</f>
        <v>0</v>
      </c>
      <c r="G196" s="468">
        <v>2370</v>
      </c>
      <c r="H196" s="469"/>
      <c r="I196" s="121"/>
      <c r="J196" s="82" t="s">
        <v>164</v>
      </c>
      <c r="K196" s="83">
        <f>SUM(K193:K195)</f>
        <v>0</v>
      </c>
    </row>
    <row r="197" spans="1:11" ht="24" thickBot="1" x14ac:dyDescent="0.3">
      <c r="C197" s="314" t="str">
        <f>IF(C195&gt;0,"زيادة","عجز")</f>
        <v>عجز</v>
      </c>
      <c r="D197" s="318"/>
    </row>
  </sheetData>
  <mergeCells count="55">
    <mergeCell ref="A194:B194"/>
    <mergeCell ref="G194:H194"/>
    <mergeCell ref="A195:B195"/>
    <mergeCell ref="G195:H195"/>
    <mergeCell ref="A196:B196"/>
    <mergeCell ref="G196:H196"/>
    <mergeCell ref="A154:B154"/>
    <mergeCell ref="G154:H154"/>
    <mergeCell ref="B167:C167"/>
    <mergeCell ref="H167:I167"/>
    <mergeCell ref="A193:B193"/>
    <mergeCell ref="G193:H193"/>
    <mergeCell ref="A151:B151"/>
    <mergeCell ref="G151:H151"/>
    <mergeCell ref="A152:B152"/>
    <mergeCell ref="G152:H152"/>
    <mergeCell ref="A153:B153"/>
    <mergeCell ref="G153:H153"/>
    <mergeCell ref="B125:C125"/>
    <mergeCell ref="H125:I125"/>
    <mergeCell ref="G88:H88"/>
    <mergeCell ref="G89:H89"/>
    <mergeCell ref="B92:C92"/>
    <mergeCell ref="H92:I92"/>
    <mergeCell ref="D115:E115"/>
    <mergeCell ref="G118:H118"/>
    <mergeCell ref="G119:H119"/>
    <mergeCell ref="A120:B120"/>
    <mergeCell ref="G120:H120"/>
    <mergeCell ref="A121:B121"/>
    <mergeCell ref="G121:H121"/>
    <mergeCell ref="G87:H87"/>
    <mergeCell ref="A54:B54"/>
    <mergeCell ref="G54:H54"/>
    <mergeCell ref="A55:B55"/>
    <mergeCell ref="G55:H55"/>
    <mergeCell ref="A56:B56"/>
    <mergeCell ref="G56:H56"/>
    <mergeCell ref="A57:B57"/>
    <mergeCell ref="G57:H57"/>
    <mergeCell ref="B63:C63"/>
    <mergeCell ref="H63:I63"/>
    <mergeCell ref="G86:H86"/>
    <mergeCell ref="A24:B24"/>
    <mergeCell ref="G24:H24"/>
    <mergeCell ref="A25:B25"/>
    <mergeCell ref="G25:H25"/>
    <mergeCell ref="B30:C30"/>
    <mergeCell ref="H30:I30"/>
    <mergeCell ref="B1:C1"/>
    <mergeCell ref="H1:I1"/>
    <mergeCell ref="A22:B22"/>
    <mergeCell ref="G22:H22"/>
    <mergeCell ref="A23:B23"/>
    <mergeCell ref="G23:H23"/>
  </mergeCells>
  <conditionalFormatting sqref="C155">
    <cfRule type="expression" dxfId="355" priority="13">
      <formula>#REF!="عجز"</formula>
    </cfRule>
    <cfRule type="expression" dxfId="354" priority="14">
      <formula>#REF!="زيادة"</formula>
    </cfRule>
  </conditionalFormatting>
  <conditionalFormatting sqref="C197">
    <cfRule type="expression" dxfId="353" priority="5">
      <formula>#REF!="عجز"</formula>
    </cfRule>
    <cfRule type="expression" dxfId="352" priority="6">
      <formula>#REF!="زيادة"</formula>
    </cfRule>
  </conditionalFormatting>
  <conditionalFormatting sqref="D20 J20 C26 I26 D52 J52 C58 I58 J84 C87 I90:I91 D116 C122">
    <cfRule type="expression" dxfId="351" priority="21">
      <formula>#REF!="عجز"</formula>
    </cfRule>
    <cfRule type="expression" dxfId="350" priority="22">
      <formula>#REF!="زيادة"</formula>
    </cfRule>
  </conditionalFormatting>
  <conditionalFormatting sqref="D81">
    <cfRule type="expression" dxfId="349" priority="17">
      <formula>#REF!="عجز"</formula>
    </cfRule>
    <cfRule type="expression" dxfId="348" priority="18">
      <formula>#REF!="زيادة"</formula>
    </cfRule>
  </conditionalFormatting>
  <conditionalFormatting sqref="D149">
    <cfRule type="expression" dxfId="347" priority="11">
      <formula>#REF!="عجز"</formula>
    </cfRule>
    <cfRule type="expression" dxfId="346" priority="12">
      <formula>#REF!="زيادة"</formula>
    </cfRule>
  </conditionalFormatting>
  <conditionalFormatting sqref="D191">
    <cfRule type="expression" dxfId="345" priority="3">
      <formula>#REF!="عجز"</formula>
    </cfRule>
    <cfRule type="expression" dxfId="344" priority="4">
      <formula>#REF!="زيادة"</formula>
    </cfRule>
  </conditionalFormatting>
  <conditionalFormatting sqref="I122">
    <cfRule type="expression" dxfId="343" priority="19">
      <formula>#REF!="عجز"</formula>
    </cfRule>
    <cfRule type="expression" dxfId="342" priority="20">
      <formula>#REF!="زيادة"</formula>
    </cfRule>
  </conditionalFormatting>
  <conditionalFormatting sqref="I155">
    <cfRule type="expression" dxfId="341" priority="9">
      <formula>#REF!="عجز"</formula>
    </cfRule>
    <cfRule type="expression" dxfId="340" priority="10">
      <formula>#REF!="زيادة"</formula>
    </cfRule>
  </conditionalFormatting>
  <conditionalFormatting sqref="J116">
    <cfRule type="expression" dxfId="339" priority="15">
      <formula>#REF!="عجز"</formula>
    </cfRule>
    <cfRule type="expression" dxfId="338" priority="16">
      <formula>#REF!="زيادة"</formula>
    </cfRule>
  </conditionalFormatting>
  <conditionalFormatting sqref="J149">
    <cfRule type="expression" dxfId="337" priority="7">
      <formula>#REF!="عجز"</formula>
    </cfRule>
    <cfRule type="expression" dxfId="336" priority="8">
      <formula>#REF!="زيادة"</formula>
    </cfRule>
  </conditionalFormatting>
  <conditionalFormatting sqref="J191">
    <cfRule type="expression" dxfId="335" priority="1">
      <formula>#REF!="عجز"</formula>
    </cfRule>
    <cfRule type="expression" dxfId="334" priority="2">
      <formula>#REF!="زيادة"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383F-2C46-4AE8-A164-89FFA3A95E59}">
  <sheetPr codeName="Sheet6"/>
  <dimension ref="A1:O73"/>
  <sheetViews>
    <sheetView rightToLeft="1" workbookViewId="0">
      <selection activeCell="A167" sqref="A167:E197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6.85546875" bestFit="1" customWidth="1"/>
    <col min="4" max="4" width="8" bestFit="1" customWidth="1"/>
    <col min="5" max="5" width="8.140625" bestFit="1" customWidth="1"/>
    <col min="9" max="9" width="11.140625" bestFit="1" customWidth="1"/>
    <col min="10" max="10" width="11.42578125" bestFit="1" customWidth="1"/>
    <col min="11" max="11" width="16.85546875" bestFit="1" customWidth="1"/>
    <col min="12" max="12" width="8" bestFit="1" customWidth="1"/>
    <col min="13" max="13" width="8.140625" bestFit="1" customWidth="1"/>
  </cols>
  <sheetData>
    <row r="1" spans="1:13" ht="24" thickBot="1" x14ac:dyDescent="0.3">
      <c r="A1" s="425" t="s">
        <v>59</v>
      </c>
      <c r="B1" s="460">
        <v>45128</v>
      </c>
      <c r="C1" s="461"/>
      <c r="I1" s="425" t="s">
        <v>19</v>
      </c>
      <c r="J1" s="460">
        <v>45128</v>
      </c>
      <c r="K1" s="461"/>
    </row>
    <row r="2" spans="1:13" ht="21" thickBot="1" x14ac:dyDescent="0.3">
      <c r="A2" s="53" t="s">
        <v>137</v>
      </c>
      <c r="B2" s="53" t="s">
        <v>3</v>
      </c>
      <c r="C2" s="53" t="s">
        <v>138</v>
      </c>
      <c r="I2" s="53" t="s">
        <v>137</v>
      </c>
      <c r="J2" s="53" t="s">
        <v>3</v>
      </c>
      <c r="K2" s="53" t="s">
        <v>138</v>
      </c>
    </row>
    <row r="3" spans="1:13" ht="18" x14ac:dyDescent="0.25">
      <c r="A3" s="55">
        <v>8000</v>
      </c>
      <c r="B3" s="77">
        <v>21</v>
      </c>
      <c r="C3" s="57" t="s">
        <v>1257</v>
      </c>
      <c r="I3" s="55">
        <f>7620+10000</f>
        <v>17620</v>
      </c>
      <c r="J3" s="77">
        <v>25</v>
      </c>
      <c r="K3" s="57" t="s">
        <v>126</v>
      </c>
    </row>
    <row r="4" spans="1:13" ht="18" x14ac:dyDescent="0.25">
      <c r="A4" s="60">
        <v>1750</v>
      </c>
      <c r="B4" s="56">
        <v>360</v>
      </c>
      <c r="C4" s="57" t="s">
        <v>1258</v>
      </c>
      <c r="I4" s="60"/>
      <c r="J4" s="56">
        <v>225</v>
      </c>
      <c r="K4" s="57" t="s">
        <v>1109</v>
      </c>
    </row>
    <row r="5" spans="1:13" ht="18" x14ac:dyDescent="0.25">
      <c r="A5" s="60">
        <v>75</v>
      </c>
      <c r="B5" s="77">
        <v>115</v>
      </c>
      <c r="C5" s="57" t="s">
        <v>1259</v>
      </c>
      <c r="I5" s="60"/>
      <c r="J5" s="77">
        <v>15</v>
      </c>
      <c r="K5" s="57" t="s">
        <v>1266</v>
      </c>
    </row>
    <row r="6" spans="1:13" ht="18" x14ac:dyDescent="0.25">
      <c r="A6" s="60"/>
      <c r="B6" s="56">
        <v>200</v>
      </c>
      <c r="C6" s="57" t="s">
        <v>1260</v>
      </c>
      <c r="I6" s="60"/>
      <c r="J6" s="56">
        <v>60</v>
      </c>
      <c r="K6" s="57" t="s">
        <v>1267</v>
      </c>
    </row>
    <row r="7" spans="1:13" ht="18" x14ac:dyDescent="0.25">
      <c r="A7" s="60"/>
      <c r="B7" s="77">
        <v>1000</v>
      </c>
      <c r="C7" s="57" t="s">
        <v>127</v>
      </c>
      <c r="I7" s="60"/>
      <c r="J7" s="77">
        <v>10</v>
      </c>
      <c r="K7" s="57" t="s">
        <v>1269</v>
      </c>
    </row>
    <row r="8" spans="1:13" ht="18" x14ac:dyDescent="0.25">
      <c r="A8" s="60"/>
      <c r="B8" s="77"/>
      <c r="C8" s="56"/>
      <c r="I8" s="60"/>
      <c r="J8" s="77">
        <v>250</v>
      </c>
      <c r="K8" s="56" t="s">
        <v>1270</v>
      </c>
    </row>
    <row r="9" spans="1:13" ht="18" x14ac:dyDescent="0.25">
      <c r="A9" s="60"/>
      <c r="B9" s="56"/>
      <c r="C9" s="56"/>
      <c r="I9" s="60"/>
      <c r="J9" s="56">
        <v>120</v>
      </c>
      <c r="K9" s="56" t="s">
        <v>1079</v>
      </c>
    </row>
    <row r="10" spans="1:13" ht="18" x14ac:dyDescent="0.25">
      <c r="A10" s="60"/>
      <c r="B10" s="56"/>
      <c r="C10" s="56"/>
      <c r="I10" s="60"/>
      <c r="J10" s="56">
        <v>190</v>
      </c>
      <c r="K10" s="56" t="s">
        <v>1271</v>
      </c>
    </row>
    <row r="11" spans="1:13" ht="18" x14ac:dyDescent="0.25">
      <c r="A11" s="60"/>
      <c r="B11" s="56"/>
      <c r="C11" s="56"/>
      <c r="I11" s="60"/>
      <c r="J11" s="56"/>
      <c r="K11" s="56"/>
    </row>
    <row r="12" spans="1:13" ht="18" x14ac:dyDescent="0.25">
      <c r="A12" s="60"/>
      <c r="B12" s="56"/>
      <c r="C12" s="56"/>
      <c r="I12" s="60"/>
      <c r="J12" s="56">
        <v>93</v>
      </c>
      <c r="K12" s="56" t="s">
        <v>1272</v>
      </c>
    </row>
    <row r="13" spans="1:13" ht="18" x14ac:dyDescent="0.25">
      <c r="A13" s="60"/>
      <c r="B13" s="56"/>
      <c r="C13" s="56"/>
      <c r="I13" s="60"/>
      <c r="J13" s="56"/>
      <c r="K13" s="56"/>
    </row>
    <row r="14" spans="1:13" ht="18.75" thickBot="1" x14ac:dyDescent="0.3">
      <c r="A14" s="60"/>
      <c r="B14" s="56"/>
      <c r="C14" s="56"/>
      <c r="I14" s="60"/>
      <c r="J14" s="56"/>
      <c r="K14" s="56"/>
    </row>
    <row r="15" spans="1:13" ht="24" thickBot="1" x14ac:dyDescent="0.3">
      <c r="A15" s="66"/>
      <c r="B15" s="56"/>
      <c r="C15" s="64"/>
      <c r="D15" s="314" t="str">
        <f>IF(E15&gt;0,"زيادة","عجز")</f>
        <v>زيادة</v>
      </c>
      <c r="E15" s="99">
        <f>E20-E16</f>
        <v>13</v>
      </c>
      <c r="I15" s="66"/>
      <c r="J15" s="56"/>
      <c r="K15" s="64"/>
      <c r="L15" s="314" t="str">
        <f>IF(M15&gt;0,"زيادة","عجز")</f>
        <v>زيادة</v>
      </c>
      <c r="M15" s="99">
        <f>M17-M16</f>
        <v>132</v>
      </c>
    </row>
    <row r="16" spans="1:13" ht="24" thickBot="1" x14ac:dyDescent="0.3">
      <c r="A16" s="68">
        <f>SUM(A3:A15)</f>
        <v>9825</v>
      </c>
      <c r="B16" s="69">
        <f>SUM(B3:B15)</f>
        <v>1696</v>
      </c>
      <c r="D16" s="135" t="s">
        <v>94</v>
      </c>
      <c r="E16" s="99">
        <f>5772-5185</f>
        <v>587</v>
      </c>
      <c r="I16" s="68">
        <f>SUM(I3:I15)</f>
        <v>17620</v>
      </c>
      <c r="J16" s="69">
        <f>SUM(J3:J15)</f>
        <v>988</v>
      </c>
      <c r="L16" s="135" t="s">
        <v>94</v>
      </c>
      <c r="M16" s="99">
        <f>6895-5772</f>
        <v>1123</v>
      </c>
    </row>
    <row r="17" spans="1:15" ht="21.75" thickBot="1" x14ac:dyDescent="0.3">
      <c r="A17" s="462" t="s">
        <v>139</v>
      </c>
      <c r="B17" s="463"/>
      <c r="C17" s="71" t="s">
        <v>75</v>
      </c>
      <c r="D17" s="136" t="s">
        <v>65</v>
      </c>
      <c r="E17" s="85">
        <v>600</v>
      </c>
      <c r="I17" s="462" t="s">
        <v>139</v>
      </c>
      <c r="J17" s="463"/>
      <c r="K17" s="71" t="s">
        <v>75</v>
      </c>
      <c r="L17" s="136" t="s">
        <v>65</v>
      </c>
      <c r="M17" s="85">
        <f>1255</f>
        <v>1255</v>
      </c>
    </row>
    <row r="18" spans="1:15" ht="24" thickBot="1" x14ac:dyDescent="0.3">
      <c r="A18" s="464">
        <f>B16+A16</f>
        <v>11521</v>
      </c>
      <c r="B18" s="465"/>
      <c r="C18" s="313"/>
      <c r="D18" s="82"/>
      <c r="E18" s="83"/>
      <c r="I18" s="464">
        <f>J16+I16</f>
        <v>18608</v>
      </c>
      <c r="J18" s="465"/>
      <c r="K18" s="313">
        <f>169+30+218</f>
        <v>417</v>
      </c>
      <c r="L18" s="82"/>
      <c r="M18" s="83"/>
      <c r="O18">
        <v>19608</v>
      </c>
    </row>
    <row r="19" spans="1:15" ht="24" thickBot="1" x14ac:dyDescent="0.3">
      <c r="A19" s="466" t="s">
        <v>99</v>
      </c>
      <c r="B19" s="467"/>
      <c r="C19" s="78">
        <f>A20-C20</f>
        <v>282</v>
      </c>
      <c r="D19" s="82"/>
      <c r="E19" s="83"/>
      <c r="I19" s="466" t="s">
        <v>99</v>
      </c>
      <c r="J19" s="467"/>
      <c r="K19" s="78">
        <f>I20-K20</f>
        <v>16</v>
      </c>
      <c r="L19" s="82"/>
      <c r="M19" s="83"/>
    </row>
    <row r="20" spans="1:15" ht="24" thickBot="1" x14ac:dyDescent="0.3">
      <c r="A20" s="468">
        <f>C18+A18</f>
        <v>11521</v>
      </c>
      <c r="B20" s="469"/>
      <c r="C20" s="121">
        <v>11239</v>
      </c>
      <c r="D20" s="82" t="s">
        <v>164</v>
      </c>
      <c r="E20" s="83">
        <f>SUM(E17:E19)</f>
        <v>600</v>
      </c>
      <c r="I20" s="468">
        <f>K18+I18</f>
        <v>19025</v>
      </c>
      <c r="J20" s="469"/>
      <c r="K20" s="121">
        <v>19009</v>
      </c>
      <c r="L20" s="82" t="s">
        <v>164</v>
      </c>
      <c r="M20" s="83">
        <f>SUM(M17:M19)</f>
        <v>1255</v>
      </c>
    </row>
    <row r="21" spans="1:15" ht="24" thickBot="1" x14ac:dyDescent="0.3">
      <c r="C21" s="314" t="str">
        <f>IF(C19&gt;0,"زيادة","عجز")</f>
        <v>زيادة</v>
      </c>
      <c r="D21" s="318"/>
      <c r="K21" s="314" t="str">
        <f>IF(K19&gt;0,"زيادة","عجز")</f>
        <v>زيادة</v>
      </c>
      <c r="L21" s="318"/>
    </row>
    <row r="25" spans="1:15" ht="15.75" thickBot="1" x14ac:dyDescent="0.3"/>
    <row r="26" spans="1:15" ht="24" thickBot="1" x14ac:dyDescent="0.3">
      <c r="A26" s="425" t="s">
        <v>1390</v>
      </c>
      <c r="B26" s="460">
        <v>45128</v>
      </c>
      <c r="C26" s="461"/>
      <c r="I26" s="425" t="s">
        <v>88</v>
      </c>
      <c r="J26" s="460">
        <v>45128</v>
      </c>
      <c r="K26" s="461"/>
    </row>
    <row r="27" spans="1:15" ht="21" thickBot="1" x14ac:dyDescent="0.3">
      <c r="A27" s="53" t="s">
        <v>137</v>
      </c>
      <c r="B27" s="53" t="s">
        <v>3</v>
      </c>
      <c r="C27" s="53" t="s">
        <v>138</v>
      </c>
      <c r="I27" s="53" t="s">
        <v>137</v>
      </c>
      <c r="J27" s="53" t="s">
        <v>3</v>
      </c>
      <c r="K27" s="53" t="s">
        <v>138</v>
      </c>
    </row>
    <row r="28" spans="1:15" ht="18" x14ac:dyDescent="0.25">
      <c r="A28" s="55">
        <v>1630</v>
      </c>
      <c r="B28" s="77">
        <v>50</v>
      </c>
      <c r="C28" s="57" t="s">
        <v>1273</v>
      </c>
      <c r="I28" s="55">
        <v>10000</v>
      </c>
      <c r="J28" s="77">
        <v>75</v>
      </c>
      <c r="K28" s="57" t="s">
        <v>799</v>
      </c>
    </row>
    <row r="29" spans="1:15" ht="18" x14ac:dyDescent="0.25">
      <c r="A29" s="60"/>
      <c r="B29" s="56"/>
      <c r="C29" s="57"/>
      <c r="I29" s="60">
        <v>5000</v>
      </c>
      <c r="J29" s="56">
        <v>420</v>
      </c>
      <c r="K29" s="57" t="s">
        <v>127</v>
      </c>
    </row>
    <row r="30" spans="1:15" ht="18" x14ac:dyDescent="0.25">
      <c r="A30" s="60"/>
      <c r="B30" s="77"/>
      <c r="C30" s="57"/>
      <c r="I30" s="60">
        <v>740</v>
      </c>
      <c r="J30" s="77">
        <v>160</v>
      </c>
      <c r="K30" s="57" t="s">
        <v>1277</v>
      </c>
    </row>
    <row r="31" spans="1:15" ht="18" x14ac:dyDescent="0.25">
      <c r="A31" s="60"/>
      <c r="B31" s="56"/>
      <c r="C31" s="57"/>
      <c r="I31" s="60"/>
      <c r="J31" s="56">
        <v>95</v>
      </c>
      <c r="K31" s="57" t="s">
        <v>1278</v>
      </c>
    </row>
    <row r="32" spans="1:15" ht="18" x14ac:dyDescent="0.25">
      <c r="A32" s="60"/>
      <c r="B32" s="77"/>
      <c r="C32" s="57"/>
      <c r="I32" s="60"/>
      <c r="J32" s="77">
        <v>11</v>
      </c>
      <c r="K32" s="57" t="s">
        <v>1279</v>
      </c>
    </row>
    <row r="33" spans="1:13" ht="18" x14ac:dyDescent="0.25">
      <c r="A33" s="60"/>
      <c r="B33" s="77"/>
      <c r="C33" s="56"/>
      <c r="I33" s="60"/>
      <c r="J33" s="77">
        <v>1000</v>
      </c>
      <c r="K33" s="56" t="s">
        <v>1280</v>
      </c>
    </row>
    <row r="34" spans="1:13" ht="18" x14ac:dyDescent="0.25">
      <c r="A34" s="60"/>
      <c r="B34" s="56"/>
      <c r="C34" s="56"/>
      <c r="I34" s="60"/>
      <c r="J34" s="56">
        <v>105</v>
      </c>
      <c r="K34" s="56" t="s">
        <v>1281</v>
      </c>
    </row>
    <row r="35" spans="1:13" ht="18" x14ac:dyDescent="0.25">
      <c r="A35" s="60"/>
      <c r="B35" s="56"/>
      <c r="C35" s="56"/>
      <c r="I35" s="60"/>
      <c r="J35" s="56"/>
      <c r="K35" s="56"/>
    </row>
    <row r="36" spans="1:13" ht="18" x14ac:dyDescent="0.25">
      <c r="A36" s="60"/>
      <c r="B36" s="56"/>
      <c r="C36" s="56"/>
      <c r="I36" s="60"/>
      <c r="J36" s="56"/>
      <c r="K36" s="56"/>
    </row>
    <row r="37" spans="1:13" ht="18" x14ac:dyDescent="0.25">
      <c r="A37" s="60"/>
      <c r="B37" s="56"/>
      <c r="C37" s="56"/>
      <c r="I37" s="60"/>
      <c r="J37" s="56"/>
      <c r="K37" s="56"/>
    </row>
    <row r="38" spans="1:13" ht="18" x14ac:dyDescent="0.25">
      <c r="A38" s="60"/>
      <c r="B38" s="56"/>
      <c r="C38" s="56"/>
      <c r="I38" s="60"/>
      <c r="J38" s="56"/>
      <c r="K38" s="56"/>
    </row>
    <row r="39" spans="1:13" ht="18.75" thickBot="1" x14ac:dyDescent="0.3">
      <c r="A39" s="60"/>
      <c r="B39" s="56"/>
      <c r="C39" s="56"/>
      <c r="I39" s="60"/>
      <c r="J39" s="56"/>
      <c r="K39" s="56"/>
    </row>
    <row r="40" spans="1:13" ht="24" thickBot="1" x14ac:dyDescent="0.3">
      <c r="A40" s="66"/>
      <c r="B40" s="56"/>
      <c r="C40" s="64"/>
      <c r="D40" s="314" t="str">
        <f>IF(E40&gt;0,"زيادة","عجز")</f>
        <v>عجز</v>
      </c>
      <c r="E40" s="99"/>
      <c r="I40" s="66"/>
      <c r="J40" s="56"/>
      <c r="K40" s="64"/>
      <c r="L40" s="314" t="str">
        <f>IF(M40&gt;0,"زيادة","عجز")</f>
        <v>عجز</v>
      </c>
      <c r="M40" s="99"/>
    </row>
    <row r="41" spans="1:13" ht="24" thickBot="1" x14ac:dyDescent="0.3">
      <c r="A41" s="68">
        <f>SUM(A28:A40)</f>
        <v>1630</v>
      </c>
      <c r="B41" s="69">
        <f>SUM(B28:B40)</f>
        <v>50</v>
      </c>
      <c r="D41" s="135" t="s">
        <v>94</v>
      </c>
      <c r="E41" s="99"/>
      <c r="I41" s="68">
        <f>SUM(I28:I40)</f>
        <v>15740</v>
      </c>
      <c r="J41" s="69">
        <f>SUM(J28:J40)</f>
        <v>1866</v>
      </c>
      <c r="L41" s="135" t="s">
        <v>94</v>
      </c>
      <c r="M41" s="99"/>
    </row>
    <row r="42" spans="1:13" ht="21.75" thickBot="1" x14ac:dyDescent="0.3">
      <c r="A42" s="462" t="s">
        <v>139</v>
      </c>
      <c r="B42" s="463"/>
      <c r="C42" s="71" t="s">
        <v>75</v>
      </c>
      <c r="D42" s="136" t="s">
        <v>65</v>
      </c>
      <c r="E42" s="85"/>
      <c r="I42" s="462" t="s">
        <v>139</v>
      </c>
      <c r="J42" s="463"/>
      <c r="K42" s="71" t="s">
        <v>75</v>
      </c>
      <c r="L42" s="136" t="s">
        <v>65</v>
      </c>
      <c r="M42" s="85">
        <v>1120</v>
      </c>
    </row>
    <row r="43" spans="1:13" ht="24" thickBot="1" x14ac:dyDescent="0.3">
      <c r="A43" s="464">
        <f>B41+A41</f>
        <v>1680</v>
      </c>
      <c r="B43" s="465"/>
      <c r="C43" s="313"/>
      <c r="D43" s="82"/>
      <c r="E43" s="83"/>
      <c r="I43" s="464">
        <f>J41+I41</f>
        <v>17606</v>
      </c>
      <c r="J43" s="465"/>
      <c r="K43" s="313">
        <v>203</v>
      </c>
      <c r="L43" s="82"/>
      <c r="M43" s="83"/>
    </row>
    <row r="44" spans="1:13" ht="24" thickBot="1" x14ac:dyDescent="0.3">
      <c r="A44" s="466" t="s">
        <v>99</v>
      </c>
      <c r="B44" s="467"/>
      <c r="C44" s="78">
        <f>A45-C45</f>
        <v>0</v>
      </c>
      <c r="D44" s="82"/>
      <c r="E44" s="83"/>
      <c r="I44" s="466" t="s">
        <v>99</v>
      </c>
      <c r="J44" s="467"/>
      <c r="K44" s="78">
        <f>I45-K45</f>
        <v>-111</v>
      </c>
      <c r="L44" s="82"/>
      <c r="M44" s="83"/>
    </row>
    <row r="45" spans="1:13" ht="24" thickBot="1" x14ac:dyDescent="0.3">
      <c r="A45" s="468">
        <f>C43+A43</f>
        <v>1680</v>
      </c>
      <c r="B45" s="469"/>
      <c r="C45" s="121">
        <f>439+1241</f>
        <v>1680</v>
      </c>
      <c r="D45" s="82" t="s">
        <v>164</v>
      </c>
      <c r="E45" s="83">
        <f>SUM(E42:E44)</f>
        <v>0</v>
      </c>
      <c r="I45" s="468">
        <f>K43+I43</f>
        <v>17809</v>
      </c>
      <c r="J45" s="469"/>
      <c r="K45" s="121">
        <v>17920</v>
      </c>
      <c r="L45" s="82" t="s">
        <v>164</v>
      </c>
      <c r="M45" s="83">
        <f>SUM(M42:M44)</f>
        <v>1120</v>
      </c>
    </row>
    <row r="46" spans="1:13" ht="24" thickBot="1" x14ac:dyDescent="0.3">
      <c r="C46" s="314" t="str">
        <f>IF(C44&gt;0,"زيادة","عجز")</f>
        <v>عجز</v>
      </c>
      <c r="D46" s="318"/>
      <c r="K46" s="314" t="str">
        <f>IF(K44&gt;0,"زيادة","عجز")</f>
        <v>عجز</v>
      </c>
      <c r="L46" s="318"/>
    </row>
    <row r="52" spans="1:3" ht="15.75" thickBot="1" x14ac:dyDescent="0.3"/>
    <row r="53" spans="1:3" ht="24" thickBot="1" x14ac:dyDescent="0.3">
      <c r="A53" s="425" t="s">
        <v>1076</v>
      </c>
      <c r="B53" s="460">
        <v>45128</v>
      </c>
      <c r="C53" s="461"/>
    </row>
    <row r="54" spans="1:3" ht="21" thickBot="1" x14ac:dyDescent="0.3">
      <c r="A54" s="53" t="s">
        <v>137</v>
      </c>
      <c r="B54" s="53" t="s">
        <v>3</v>
      </c>
      <c r="C54" s="53" t="s">
        <v>138</v>
      </c>
    </row>
    <row r="55" spans="1:3" ht="18" x14ac:dyDescent="0.25">
      <c r="A55" s="55">
        <v>10000</v>
      </c>
      <c r="B55" s="77">
        <v>3000</v>
      </c>
      <c r="C55" s="57" t="s">
        <v>973</v>
      </c>
    </row>
    <row r="56" spans="1:3" ht="18" x14ac:dyDescent="0.25">
      <c r="A56" s="60">
        <v>4600</v>
      </c>
      <c r="B56" s="56">
        <v>500</v>
      </c>
      <c r="C56" s="57" t="s">
        <v>40</v>
      </c>
    </row>
    <row r="57" spans="1:3" ht="18" x14ac:dyDescent="0.25">
      <c r="A57" s="60">
        <v>540</v>
      </c>
      <c r="B57" s="77">
        <v>14</v>
      </c>
      <c r="C57" s="57" t="s">
        <v>1391</v>
      </c>
    </row>
    <row r="58" spans="1:3" ht="18" x14ac:dyDescent="0.25">
      <c r="A58" s="60"/>
      <c r="B58" s="56">
        <v>180</v>
      </c>
      <c r="C58" s="57" t="s">
        <v>1287</v>
      </c>
    </row>
    <row r="59" spans="1:3" ht="18" x14ac:dyDescent="0.25">
      <c r="A59" s="60"/>
      <c r="B59" s="77">
        <v>90</v>
      </c>
      <c r="C59" s="57" t="s">
        <v>486</v>
      </c>
    </row>
    <row r="60" spans="1:3" ht="18" x14ac:dyDescent="0.25">
      <c r="A60" s="60"/>
      <c r="B60" s="77"/>
      <c r="C60" s="56"/>
    </row>
    <row r="61" spans="1:3" ht="18" x14ac:dyDescent="0.25">
      <c r="A61" s="60"/>
      <c r="B61" s="56"/>
      <c r="C61" s="56"/>
    </row>
    <row r="62" spans="1:3" ht="18" x14ac:dyDescent="0.25">
      <c r="A62" s="60"/>
      <c r="B62" s="56"/>
      <c r="C62" s="56"/>
    </row>
    <row r="63" spans="1:3" ht="18" x14ac:dyDescent="0.25">
      <c r="A63" s="60"/>
      <c r="B63" s="56"/>
      <c r="C63" s="56"/>
    </row>
    <row r="64" spans="1:3" ht="18" x14ac:dyDescent="0.25">
      <c r="A64" s="60"/>
      <c r="B64" s="56"/>
      <c r="C64" s="56"/>
    </row>
    <row r="65" spans="1:5" ht="18" x14ac:dyDescent="0.25">
      <c r="A65" s="60"/>
      <c r="B65" s="56"/>
      <c r="C65" s="56"/>
    </row>
    <row r="66" spans="1:5" ht="18.75" thickBot="1" x14ac:dyDescent="0.3">
      <c r="A66" s="60"/>
      <c r="B66" s="56"/>
      <c r="C66" s="56"/>
    </row>
    <row r="67" spans="1:5" ht="24" thickBot="1" x14ac:dyDescent="0.3">
      <c r="A67" s="66"/>
      <c r="B67" s="56"/>
      <c r="C67" s="64"/>
      <c r="D67" s="314" t="str">
        <f>IF(E67&gt;0,"زيادة","عجز")</f>
        <v>زيادة</v>
      </c>
      <c r="E67" s="99">
        <f>E69-E68</f>
        <v>30</v>
      </c>
    </row>
    <row r="68" spans="1:5" ht="24" thickBot="1" x14ac:dyDescent="0.3">
      <c r="A68" s="68">
        <f>SUM(A55:A67)</f>
        <v>15140</v>
      </c>
      <c r="B68" s="69">
        <f>SUM(B55:B67)</f>
        <v>3784</v>
      </c>
      <c r="D68" s="135" t="s">
        <v>94</v>
      </c>
      <c r="E68" s="99">
        <f>5185-3540</f>
        <v>1645</v>
      </c>
    </row>
    <row r="69" spans="1:5" ht="21.75" thickBot="1" x14ac:dyDescent="0.3">
      <c r="A69" s="462" t="s">
        <v>139</v>
      </c>
      <c r="B69" s="463"/>
      <c r="C69" s="71" t="s">
        <v>75</v>
      </c>
      <c r="D69" s="136" t="s">
        <v>65</v>
      </c>
      <c r="E69" s="85">
        <f>1650+25</f>
        <v>1675</v>
      </c>
    </row>
    <row r="70" spans="1:5" ht="24" thickBot="1" x14ac:dyDescent="0.3">
      <c r="A70" s="464">
        <f>B68+A68</f>
        <v>18924</v>
      </c>
      <c r="B70" s="465"/>
      <c r="C70" s="313">
        <f>441+221+156+80+100</f>
        <v>998</v>
      </c>
      <c r="D70" s="82"/>
      <c r="E70" s="83"/>
    </row>
    <row r="71" spans="1:5" ht="24" thickBot="1" x14ac:dyDescent="0.3">
      <c r="A71" s="466" t="s">
        <v>99</v>
      </c>
      <c r="B71" s="467"/>
      <c r="C71" s="78">
        <f>A72-C72</f>
        <v>101</v>
      </c>
      <c r="D71" s="82"/>
      <c r="E71" s="83"/>
    </row>
    <row r="72" spans="1:5" ht="24" thickBot="1" x14ac:dyDescent="0.3">
      <c r="A72" s="468">
        <f>C70+A70</f>
        <v>19922</v>
      </c>
      <c r="B72" s="469"/>
      <c r="C72" s="121">
        <v>19821</v>
      </c>
      <c r="D72" s="82" t="s">
        <v>164</v>
      </c>
      <c r="E72" s="83">
        <f>SUM(E69:E71)</f>
        <v>1675</v>
      </c>
    </row>
    <row r="73" spans="1:5" ht="24" thickBot="1" x14ac:dyDescent="0.3">
      <c r="C73" s="314" t="str">
        <f>IF(C71&gt;0,"زيادة","عجز")</f>
        <v>زيادة</v>
      </c>
      <c r="D73" s="318"/>
    </row>
  </sheetData>
  <mergeCells count="25">
    <mergeCell ref="A72:B72"/>
    <mergeCell ref="A45:B45"/>
    <mergeCell ref="I45:J45"/>
    <mergeCell ref="B53:C53"/>
    <mergeCell ref="A69:B69"/>
    <mergeCell ref="A70:B70"/>
    <mergeCell ref="A71:B71"/>
    <mergeCell ref="A42:B42"/>
    <mergeCell ref="I42:J42"/>
    <mergeCell ref="A43:B43"/>
    <mergeCell ref="I43:J43"/>
    <mergeCell ref="A44:B44"/>
    <mergeCell ref="I44:J44"/>
    <mergeCell ref="A19:B19"/>
    <mergeCell ref="I19:J19"/>
    <mergeCell ref="A20:B20"/>
    <mergeCell ref="I20:J20"/>
    <mergeCell ref="B26:C26"/>
    <mergeCell ref="J26:K26"/>
    <mergeCell ref="B1:C1"/>
    <mergeCell ref="J1:K1"/>
    <mergeCell ref="A17:B17"/>
    <mergeCell ref="I17:J17"/>
    <mergeCell ref="A18:B18"/>
    <mergeCell ref="I18:J18"/>
  </mergeCells>
  <conditionalFormatting sqref="C21">
    <cfRule type="expression" dxfId="333" priority="19">
      <formula>#REF!="عجز"</formula>
    </cfRule>
    <cfRule type="expression" dxfId="332" priority="20">
      <formula>#REF!="زيادة"</formula>
    </cfRule>
  </conditionalFormatting>
  <conditionalFormatting sqref="C46">
    <cfRule type="expression" dxfId="331" priority="11">
      <formula>#REF!="عجز"</formula>
    </cfRule>
    <cfRule type="expression" dxfId="330" priority="12">
      <formula>#REF!="زيادة"</formula>
    </cfRule>
  </conditionalFormatting>
  <conditionalFormatting sqref="C73">
    <cfRule type="expression" dxfId="329" priority="3">
      <formula>#REF!="عجز"</formula>
    </cfRule>
    <cfRule type="expression" dxfId="328" priority="4">
      <formula>#REF!="زيادة"</formula>
    </cfRule>
  </conditionalFormatting>
  <conditionalFormatting sqref="D15">
    <cfRule type="expression" dxfId="327" priority="17">
      <formula>#REF!="عجز"</formula>
    </cfRule>
    <cfRule type="expression" dxfId="326" priority="18">
      <formula>#REF!="زيادة"</formula>
    </cfRule>
  </conditionalFormatting>
  <conditionalFormatting sqref="D40">
    <cfRule type="expression" dxfId="325" priority="9">
      <formula>#REF!="عجز"</formula>
    </cfRule>
    <cfRule type="expression" dxfId="324" priority="10">
      <formula>#REF!="زيادة"</formula>
    </cfRule>
  </conditionalFormatting>
  <conditionalFormatting sqref="D67">
    <cfRule type="expression" dxfId="323" priority="1">
      <formula>#REF!="عجز"</formula>
    </cfRule>
    <cfRule type="expression" dxfId="322" priority="2">
      <formula>#REF!="زيادة"</formula>
    </cfRule>
  </conditionalFormatting>
  <conditionalFormatting sqref="K21">
    <cfRule type="expression" dxfId="321" priority="15">
      <formula>#REF!="عجز"</formula>
    </cfRule>
    <cfRule type="expression" dxfId="320" priority="16">
      <formula>#REF!="زيادة"</formula>
    </cfRule>
  </conditionalFormatting>
  <conditionalFormatting sqref="K46">
    <cfRule type="expression" dxfId="319" priority="7">
      <formula>#REF!="عجز"</formula>
    </cfRule>
    <cfRule type="expression" dxfId="318" priority="8">
      <formula>#REF!="زيادة"</formula>
    </cfRule>
  </conditionalFormatting>
  <conditionalFormatting sqref="L15">
    <cfRule type="expression" dxfId="317" priority="13">
      <formula>#REF!="عجز"</formula>
    </cfRule>
    <cfRule type="expression" dxfId="316" priority="14">
      <formula>#REF!="زيادة"</formula>
    </cfRule>
  </conditionalFormatting>
  <conditionalFormatting sqref="L40">
    <cfRule type="expression" dxfId="315" priority="5">
      <formula>#REF!="عجز"</formula>
    </cfRule>
    <cfRule type="expression" dxfId="314" priority="6">
      <formula>#REF!="زيادة"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5E73-214C-4E28-BBCE-AD9B7CBFB099}">
  <sheetPr codeName="Sheet7"/>
  <dimension ref="A1:K197"/>
  <sheetViews>
    <sheetView rightToLeft="1" topLeftCell="A132" zoomScale="85" zoomScaleNormal="85" workbookViewId="0">
      <selection activeCell="A167" sqref="A167:E197"/>
    </sheetView>
  </sheetViews>
  <sheetFormatPr defaultRowHeight="15" x14ac:dyDescent="0.25"/>
  <cols>
    <col min="1" max="1" width="39.140625" customWidth="1"/>
    <col min="2" max="2" width="18.7109375" bestFit="1" customWidth="1"/>
    <col min="3" max="3" width="26.7109375" customWidth="1"/>
    <col min="4" max="4" width="8" bestFit="1" customWidth="1"/>
    <col min="5" max="5" width="10" customWidth="1"/>
    <col min="7" max="7" width="39.140625" customWidth="1"/>
    <col min="8" max="8" width="11.7109375" bestFit="1" customWidth="1"/>
    <col min="9" max="9" width="26.7109375" customWidth="1"/>
    <col min="10" max="10" width="8" bestFit="1" customWidth="1"/>
    <col min="11" max="11" width="10" customWidth="1"/>
  </cols>
  <sheetData>
    <row r="1" spans="1:10" ht="24" thickBot="1" x14ac:dyDescent="0.3">
      <c r="A1" s="76" t="s">
        <v>300</v>
      </c>
      <c r="B1" s="460">
        <v>45127</v>
      </c>
      <c r="C1" s="461"/>
      <c r="G1" s="76" t="s">
        <v>80</v>
      </c>
      <c r="H1" s="460">
        <v>45127</v>
      </c>
      <c r="I1" s="461"/>
    </row>
    <row r="2" spans="1:10" ht="21" thickBot="1" x14ac:dyDescent="0.3">
      <c r="A2" s="53" t="s">
        <v>137</v>
      </c>
      <c r="B2" s="53" t="s">
        <v>3</v>
      </c>
      <c r="C2" s="53" t="s">
        <v>138</v>
      </c>
      <c r="G2" s="53" t="s">
        <v>137</v>
      </c>
      <c r="H2" s="53" t="s">
        <v>3</v>
      </c>
      <c r="I2" s="53" t="s">
        <v>138</v>
      </c>
    </row>
    <row r="3" spans="1:10" ht="18" x14ac:dyDescent="0.25">
      <c r="A3" s="337">
        <f>3000+1150</f>
        <v>4150</v>
      </c>
      <c r="B3" s="418">
        <v>12</v>
      </c>
      <c r="C3" s="419" t="s">
        <v>73</v>
      </c>
      <c r="G3" s="336">
        <f>5000+1505</f>
        <v>6505</v>
      </c>
      <c r="H3" s="420">
        <v>120</v>
      </c>
      <c r="I3" s="421" t="s">
        <v>393</v>
      </c>
    </row>
    <row r="4" spans="1:10" ht="18" x14ac:dyDescent="0.25">
      <c r="A4" s="338">
        <v>320</v>
      </c>
      <c r="B4" s="339">
        <v>125</v>
      </c>
      <c r="C4" s="339" t="s">
        <v>373</v>
      </c>
      <c r="G4" s="60"/>
      <c r="H4" s="422">
        <v>165</v>
      </c>
      <c r="I4" s="421" t="s">
        <v>399</v>
      </c>
    </row>
    <row r="5" spans="1:10" ht="18" x14ac:dyDescent="0.25">
      <c r="A5" s="338">
        <v>3</v>
      </c>
      <c r="B5" s="418">
        <v>280</v>
      </c>
      <c r="C5" s="418" t="s">
        <v>8</v>
      </c>
      <c r="G5" s="60"/>
      <c r="H5" s="423">
        <v>120</v>
      </c>
      <c r="I5" s="423" t="s">
        <v>19</v>
      </c>
    </row>
    <row r="6" spans="1:10" ht="18" x14ac:dyDescent="0.25">
      <c r="A6" s="338"/>
      <c r="B6" s="339">
        <v>10</v>
      </c>
      <c r="C6" s="418" t="s">
        <v>33</v>
      </c>
      <c r="G6" s="60"/>
      <c r="H6" s="422">
        <v>665</v>
      </c>
      <c r="I6" s="423" t="s">
        <v>11</v>
      </c>
    </row>
    <row r="7" spans="1:10" ht="18" x14ac:dyDescent="0.25">
      <c r="A7" s="338"/>
      <c r="B7" s="418">
        <v>200</v>
      </c>
      <c r="C7" s="339" t="s">
        <v>27</v>
      </c>
      <c r="G7" s="60"/>
      <c r="H7" s="422">
        <v>440</v>
      </c>
      <c r="I7" s="422" t="s">
        <v>61</v>
      </c>
    </row>
    <row r="8" spans="1:10" ht="18" x14ac:dyDescent="0.25">
      <c r="A8" s="338"/>
      <c r="B8" s="418">
        <v>11655</v>
      </c>
      <c r="C8" s="339" t="s">
        <v>281</v>
      </c>
      <c r="G8" s="60"/>
      <c r="H8" s="422">
        <v>15</v>
      </c>
      <c r="I8" s="422" t="s">
        <v>1148</v>
      </c>
    </row>
    <row r="9" spans="1:10" ht="18" x14ac:dyDescent="0.25">
      <c r="A9" s="338"/>
      <c r="B9" s="339">
        <v>211</v>
      </c>
      <c r="C9" s="339" t="s">
        <v>358</v>
      </c>
      <c r="G9" s="60"/>
      <c r="H9" s="422">
        <v>580</v>
      </c>
      <c r="I9" s="422" t="s">
        <v>400</v>
      </c>
    </row>
    <row r="10" spans="1:10" ht="18" x14ac:dyDescent="0.25">
      <c r="A10" s="338"/>
      <c r="B10" s="339"/>
      <c r="C10" s="339"/>
      <c r="G10" s="60"/>
      <c r="H10" s="422">
        <v>2125</v>
      </c>
      <c r="I10" s="422" t="s">
        <v>12</v>
      </c>
    </row>
    <row r="11" spans="1:10" ht="18" x14ac:dyDescent="0.25">
      <c r="A11" s="339"/>
      <c r="B11" s="339"/>
      <c r="C11" s="339"/>
      <c r="G11" s="60"/>
      <c r="H11" s="422">
        <v>18</v>
      </c>
      <c r="I11" s="422" t="s">
        <v>1231</v>
      </c>
    </row>
    <row r="12" spans="1:10" ht="18" x14ac:dyDescent="0.25">
      <c r="A12" s="339"/>
      <c r="B12" s="339"/>
      <c r="C12" s="339"/>
      <c r="G12" s="60"/>
      <c r="H12" s="422"/>
      <c r="I12" s="422"/>
    </row>
    <row r="13" spans="1:10" ht="18" x14ac:dyDescent="0.25">
      <c r="A13" s="339"/>
      <c r="B13" s="339"/>
      <c r="C13" s="339"/>
      <c r="G13" s="60"/>
      <c r="H13" s="422"/>
      <c r="I13" s="422"/>
      <c r="J13" s="341"/>
    </row>
    <row r="14" spans="1:10" ht="18" x14ac:dyDescent="0.25">
      <c r="A14" s="339"/>
      <c r="B14" s="340"/>
      <c r="C14" s="340"/>
      <c r="G14" s="60"/>
      <c r="H14" s="422"/>
      <c r="I14" s="422"/>
    </row>
    <row r="15" spans="1:10" ht="18" x14ac:dyDescent="0.25">
      <c r="A15" s="339"/>
      <c r="B15" s="340"/>
      <c r="C15" s="340"/>
      <c r="G15" s="60"/>
      <c r="H15" s="422"/>
      <c r="I15" s="422"/>
    </row>
    <row r="16" spans="1:10" ht="18" x14ac:dyDescent="0.25">
      <c r="A16" s="339"/>
      <c r="B16" s="339"/>
      <c r="C16" s="339"/>
      <c r="G16" s="60"/>
      <c r="H16" s="422"/>
      <c r="I16" s="422"/>
    </row>
    <row r="17" spans="1:11" ht="18" x14ac:dyDescent="0.25">
      <c r="A17" s="338"/>
      <c r="B17" s="339"/>
      <c r="C17" s="339"/>
      <c r="G17" s="60"/>
      <c r="H17" s="422"/>
      <c r="I17" s="422"/>
    </row>
    <row r="18" spans="1:11" ht="18" x14ac:dyDescent="0.25">
      <c r="A18" s="338"/>
      <c r="B18" s="339"/>
      <c r="C18" s="339"/>
      <c r="G18" s="60"/>
      <c r="H18" s="422"/>
      <c r="I18" s="422"/>
    </row>
    <row r="19" spans="1:11" ht="18.75" thickBot="1" x14ac:dyDescent="0.3">
      <c r="A19" s="338"/>
      <c r="B19" s="339"/>
      <c r="C19" s="339"/>
      <c r="G19" s="60"/>
      <c r="H19" s="422"/>
      <c r="I19" s="422"/>
    </row>
    <row r="20" spans="1:11" ht="24" thickBot="1" x14ac:dyDescent="0.3">
      <c r="A20" s="66"/>
      <c r="B20" s="56"/>
      <c r="C20" s="64"/>
      <c r="D20" s="314" t="str">
        <f>IF(E20&gt;0,"زيادة","عجز")</f>
        <v>زيادة</v>
      </c>
      <c r="E20" s="99">
        <f>E25-E21</f>
        <v>108</v>
      </c>
      <c r="G20" s="66"/>
      <c r="H20" s="56"/>
      <c r="I20" s="64"/>
      <c r="J20" s="314" t="str">
        <f>IF(K20&gt;0,"زيادة","عجز")</f>
        <v>زيادة</v>
      </c>
      <c r="K20" s="99">
        <f>K25-K21</f>
        <v>45</v>
      </c>
    </row>
    <row r="21" spans="1:11" ht="24" thickBot="1" x14ac:dyDescent="0.3">
      <c r="A21" s="68">
        <f>SUM(A3:A20)</f>
        <v>4473</v>
      </c>
      <c r="B21" s="69">
        <f>SUM(B3:B20)</f>
        <v>12493</v>
      </c>
      <c r="D21" s="135" t="s">
        <v>94</v>
      </c>
      <c r="E21" s="99">
        <f>9920-9388</f>
        <v>532</v>
      </c>
      <c r="G21" s="68">
        <f>SUM(G3:G20)</f>
        <v>6505</v>
      </c>
      <c r="H21" s="69">
        <f>SUM(H3:H20)</f>
        <v>4248</v>
      </c>
      <c r="J21" s="135" t="s">
        <v>94</v>
      </c>
      <c r="K21" s="99">
        <f>9388-7923</f>
        <v>1465</v>
      </c>
    </row>
    <row r="22" spans="1:11" ht="21.75" thickBot="1" x14ac:dyDescent="0.3">
      <c r="A22" s="462" t="s">
        <v>139</v>
      </c>
      <c r="B22" s="463"/>
      <c r="C22" s="71" t="s">
        <v>75</v>
      </c>
      <c r="D22" s="136" t="s">
        <v>65</v>
      </c>
      <c r="E22" s="85">
        <f>350+240</f>
        <v>590</v>
      </c>
      <c r="G22" s="462" t="s">
        <v>139</v>
      </c>
      <c r="H22" s="463"/>
      <c r="I22" s="71" t="s">
        <v>75</v>
      </c>
      <c r="J22" s="136" t="s">
        <v>65</v>
      </c>
      <c r="K22" s="85">
        <f>1510</f>
        <v>1510</v>
      </c>
    </row>
    <row r="23" spans="1:11" ht="24" thickBot="1" x14ac:dyDescent="0.3">
      <c r="A23" s="464">
        <f>B21+A21</f>
        <v>16966</v>
      </c>
      <c r="B23" s="465"/>
      <c r="C23" s="313">
        <f>37+100+145+365+71</f>
        <v>718</v>
      </c>
      <c r="D23" s="82" t="s">
        <v>41</v>
      </c>
      <c r="E23" s="83">
        <v>50</v>
      </c>
      <c r="G23" s="464">
        <f>H21+G21</f>
        <v>10753</v>
      </c>
      <c r="H23" s="465"/>
      <c r="I23" s="313"/>
      <c r="J23" s="82"/>
      <c r="K23" s="83"/>
    </row>
    <row r="24" spans="1:11" ht="24" thickBot="1" x14ac:dyDescent="0.3">
      <c r="A24" s="466" t="s">
        <v>99</v>
      </c>
      <c r="B24" s="467"/>
      <c r="C24" s="78">
        <f>A25-C25</f>
        <v>50</v>
      </c>
      <c r="D24" s="82"/>
      <c r="E24" s="83"/>
      <c r="G24" s="466" t="s">
        <v>99</v>
      </c>
      <c r="H24" s="467"/>
      <c r="I24" s="78">
        <f>G25-I25</f>
        <v>68</v>
      </c>
      <c r="J24" s="82"/>
      <c r="K24" s="83"/>
    </row>
    <row r="25" spans="1:11" ht="24" thickBot="1" x14ac:dyDescent="0.3">
      <c r="A25" s="468">
        <f>C23+A23</f>
        <v>17684</v>
      </c>
      <c r="B25" s="469"/>
      <c r="C25" s="121">
        <v>17634</v>
      </c>
      <c r="D25" s="82" t="s">
        <v>164</v>
      </c>
      <c r="E25" s="83">
        <f>SUM(E22:E24)</f>
        <v>640</v>
      </c>
      <c r="G25" s="468">
        <f>I23+G23</f>
        <v>10753</v>
      </c>
      <c r="H25" s="469"/>
      <c r="I25" s="121">
        <v>10685</v>
      </c>
      <c r="J25" s="82" t="s">
        <v>164</v>
      </c>
      <c r="K25" s="83">
        <f>SUM(K22:K24)</f>
        <v>1510</v>
      </c>
    </row>
    <row r="26" spans="1:11" ht="24" thickBot="1" x14ac:dyDescent="0.3">
      <c r="C26" s="314" t="str">
        <f>IF(C24&gt;0,"زيادة","عجز")</f>
        <v>زيادة</v>
      </c>
      <c r="D26" s="318"/>
      <c r="I26" s="314" t="str">
        <f>IF(I24&gt;0,"زيادة","عجز")</f>
        <v>زيادة</v>
      </c>
      <c r="J26" s="318"/>
    </row>
    <row r="27" spans="1:11" x14ac:dyDescent="0.25">
      <c r="G27">
        <f>4+5+10+8+2+35+54+81+240+17+25+30+6+13+10+16+5+10+145+35+95+4+33+20+185+50+9+12+20+18+25+5+39+33+58+20+10+32+8+135+20+5+14+10+6+20+187+151+20+10+32+5+10+48+4+49+5+20+5+66+30+43+5+5+28-160-165</f>
        <v>2035</v>
      </c>
    </row>
    <row r="29" spans="1:11" ht="15.75" thickBot="1" x14ac:dyDescent="0.3"/>
    <row r="30" spans="1:11" ht="24" thickBot="1" x14ac:dyDescent="0.3">
      <c r="A30" s="76" t="s">
        <v>15</v>
      </c>
      <c r="B30" s="460">
        <v>45126</v>
      </c>
      <c r="C30" s="461"/>
      <c r="G30" s="76" t="s">
        <v>6</v>
      </c>
      <c r="H30" s="460">
        <v>45127</v>
      </c>
      <c r="I30" s="461"/>
    </row>
    <row r="31" spans="1:11" ht="21" thickBot="1" x14ac:dyDescent="0.3">
      <c r="A31" s="53" t="s">
        <v>137</v>
      </c>
      <c r="B31" s="53" t="s">
        <v>3</v>
      </c>
      <c r="C31" s="53" t="s">
        <v>138</v>
      </c>
      <c r="G31" s="53" t="s">
        <v>137</v>
      </c>
      <c r="H31" s="53" t="s">
        <v>3</v>
      </c>
      <c r="I31" s="53" t="s">
        <v>138</v>
      </c>
    </row>
    <row r="32" spans="1:11" ht="18" x14ac:dyDescent="0.25">
      <c r="A32" s="55">
        <f>10000+5000+905</f>
        <v>15905</v>
      </c>
      <c r="B32" s="57">
        <f>27+25+38</f>
        <v>90</v>
      </c>
      <c r="C32" s="56" t="s">
        <v>464</v>
      </c>
      <c r="G32" s="55">
        <f>5000+5000+125</f>
        <v>10125</v>
      </c>
      <c r="H32" s="77">
        <v>5</v>
      </c>
      <c r="I32" s="57" t="s">
        <v>954</v>
      </c>
    </row>
    <row r="33" spans="1:9" ht="18" x14ac:dyDescent="0.25">
      <c r="A33" s="60"/>
      <c r="B33" s="56">
        <v>35</v>
      </c>
      <c r="C33" s="56" t="s">
        <v>72</v>
      </c>
      <c r="G33" s="60"/>
      <c r="H33" s="56"/>
      <c r="I33" s="57"/>
    </row>
    <row r="34" spans="1:9" ht="18" x14ac:dyDescent="0.25">
      <c r="A34" s="60"/>
      <c r="B34" s="77">
        <v>132</v>
      </c>
      <c r="C34" s="56" t="s">
        <v>32</v>
      </c>
      <c r="G34" s="60"/>
      <c r="H34" s="77"/>
      <c r="I34" s="77"/>
    </row>
    <row r="35" spans="1:9" ht="18" x14ac:dyDescent="0.25">
      <c r="A35" s="60"/>
      <c r="B35" s="77">
        <v>100</v>
      </c>
      <c r="C35" s="56" t="s">
        <v>29</v>
      </c>
      <c r="G35" s="60"/>
      <c r="H35" s="56"/>
      <c r="I35" s="77"/>
    </row>
    <row r="36" spans="1:9" ht="18" x14ac:dyDescent="0.25">
      <c r="A36" s="60"/>
      <c r="B36" s="56">
        <v>100</v>
      </c>
      <c r="C36" s="56" t="s">
        <v>494</v>
      </c>
      <c r="G36" s="60"/>
      <c r="H36" s="77"/>
      <c r="I36" s="56"/>
    </row>
    <row r="37" spans="1:9" ht="18" x14ac:dyDescent="0.25">
      <c r="A37" s="60"/>
      <c r="B37" s="77">
        <v>370</v>
      </c>
      <c r="C37" s="56" t="s">
        <v>1233</v>
      </c>
      <c r="G37" s="60"/>
      <c r="H37" s="77"/>
      <c r="I37" s="56"/>
    </row>
    <row r="38" spans="1:9" ht="18" x14ac:dyDescent="0.25">
      <c r="A38" s="60"/>
      <c r="B38" s="56">
        <v>3000</v>
      </c>
      <c r="C38" s="56" t="s">
        <v>1234</v>
      </c>
      <c r="G38" s="60"/>
      <c r="H38" s="56"/>
      <c r="I38" s="56"/>
    </row>
    <row r="39" spans="1:9" ht="18" x14ac:dyDescent="0.25">
      <c r="A39" s="60"/>
      <c r="B39" s="56">
        <v>10</v>
      </c>
      <c r="C39" s="56" t="s">
        <v>501</v>
      </c>
      <c r="G39" s="60"/>
      <c r="H39" s="56"/>
      <c r="I39" s="56"/>
    </row>
    <row r="40" spans="1:9" ht="18" x14ac:dyDescent="0.25">
      <c r="A40" s="60"/>
      <c r="B40" s="56">
        <v>215</v>
      </c>
      <c r="C40" s="56" t="s">
        <v>978</v>
      </c>
      <c r="G40" s="60"/>
      <c r="H40" s="56"/>
      <c r="I40" s="56"/>
    </row>
    <row r="41" spans="1:9" ht="18" x14ac:dyDescent="0.25">
      <c r="A41" s="60"/>
      <c r="B41" s="56">
        <v>160</v>
      </c>
      <c r="C41" s="56" t="s">
        <v>498</v>
      </c>
      <c r="G41" s="60"/>
      <c r="H41" s="56"/>
      <c r="I41" s="56"/>
    </row>
    <row r="42" spans="1:9" ht="18" x14ac:dyDescent="0.25">
      <c r="A42" s="60"/>
      <c r="B42" s="56">
        <v>250</v>
      </c>
      <c r="C42" s="56" t="s">
        <v>1235</v>
      </c>
      <c r="G42" s="60"/>
      <c r="H42" s="56"/>
      <c r="I42" s="56"/>
    </row>
    <row r="43" spans="1:9" ht="18" x14ac:dyDescent="0.25">
      <c r="A43" s="60"/>
      <c r="B43" s="56">
        <v>130</v>
      </c>
      <c r="C43" s="56" t="s">
        <v>107</v>
      </c>
      <c r="G43" s="60"/>
      <c r="H43" s="56"/>
      <c r="I43" s="56"/>
    </row>
    <row r="44" spans="1:9" ht="18" x14ac:dyDescent="0.25">
      <c r="A44" s="60"/>
      <c r="B44" s="56"/>
      <c r="C44" s="56"/>
      <c r="G44" s="60"/>
      <c r="H44" s="56"/>
      <c r="I44" s="56"/>
    </row>
    <row r="45" spans="1:9" ht="18" x14ac:dyDescent="0.25">
      <c r="A45" s="60"/>
      <c r="B45" s="56"/>
      <c r="C45" s="56"/>
      <c r="G45" s="60"/>
      <c r="H45" s="56"/>
      <c r="I45" s="56"/>
    </row>
    <row r="46" spans="1:9" ht="18" x14ac:dyDescent="0.25">
      <c r="A46" s="60"/>
      <c r="B46" s="56"/>
      <c r="C46" s="56"/>
      <c r="G46" s="60"/>
      <c r="H46" s="56"/>
      <c r="I46" s="56"/>
    </row>
    <row r="47" spans="1:9" ht="18" x14ac:dyDescent="0.25">
      <c r="A47" s="60"/>
      <c r="B47" s="56"/>
      <c r="C47" s="56"/>
      <c r="G47" s="60"/>
      <c r="H47" s="56"/>
      <c r="I47" s="56"/>
    </row>
    <row r="48" spans="1:9" ht="18" x14ac:dyDescent="0.25">
      <c r="A48" s="60"/>
      <c r="B48" s="56"/>
      <c r="C48" s="56"/>
      <c r="G48" s="60"/>
      <c r="H48" s="56"/>
      <c r="I48" s="56"/>
    </row>
    <row r="49" spans="1:11" ht="18" x14ac:dyDescent="0.25">
      <c r="A49" s="60"/>
      <c r="B49" s="56"/>
      <c r="C49" s="56"/>
      <c r="G49" s="60"/>
      <c r="H49" s="56"/>
      <c r="I49" s="56"/>
    </row>
    <row r="50" spans="1:11" ht="18" x14ac:dyDescent="0.25">
      <c r="A50" s="60"/>
      <c r="B50" s="56"/>
      <c r="C50" s="56"/>
      <c r="G50" s="60"/>
      <c r="H50" s="56"/>
      <c r="I50" s="56"/>
    </row>
    <row r="51" spans="1:11" ht="18.75" thickBot="1" x14ac:dyDescent="0.3">
      <c r="A51" s="60"/>
      <c r="B51" s="56"/>
      <c r="C51" s="56"/>
      <c r="G51" s="60"/>
      <c r="I51" s="56"/>
    </row>
    <row r="52" spans="1:11" ht="24" thickBot="1" x14ac:dyDescent="0.3">
      <c r="A52" s="66"/>
      <c r="B52" s="56"/>
      <c r="C52" s="64"/>
      <c r="D52" s="314" t="str">
        <f>IF(E52&gt;0,"زيادة","عجز")</f>
        <v>زيادة</v>
      </c>
      <c r="E52" s="99">
        <f>E57-E53</f>
        <v>13</v>
      </c>
      <c r="G52" s="66"/>
      <c r="H52" s="56"/>
      <c r="I52" s="64"/>
      <c r="J52" s="314" t="str">
        <f>IF(K52&gt;0,"زيادة","عجز")</f>
        <v>زيادة</v>
      </c>
      <c r="K52" s="99">
        <f>K57-K53</f>
        <v>48</v>
      </c>
    </row>
    <row r="53" spans="1:11" ht="24" thickBot="1" x14ac:dyDescent="0.3">
      <c r="A53" s="68">
        <f>SUM(A32:A52)</f>
        <v>15905</v>
      </c>
      <c r="B53" s="69">
        <f>SUM(B32:B52)</f>
        <v>4592</v>
      </c>
      <c r="D53" s="135" t="s">
        <v>94</v>
      </c>
      <c r="E53" s="99">
        <f>1533-961</f>
        <v>572</v>
      </c>
      <c r="G53" s="68">
        <f>SUM(G32:G52)</f>
        <v>10125</v>
      </c>
      <c r="H53" s="69">
        <f>SUM(H32:H52)</f>
        <v>5</v>
      </c>
      <c r="J53" s="135" t="s">
        <v>94</v>
      </c>
      <c r="K53" s="99">
        <f>515-123+140</f>
        <v>532</v>
      </c>
    </row>
    <row r="54" spans="1:11" ht="21.75" thickBot="1" x14ac:dyDescent="0.3">
      <c r="A54" s="462" t="s">
        <v>139</v>
      </c>
      <c r="B54" s="463"/>
      <c r="C54" s="71" t="s">
        <v>75</v>
      </c>
      <c r="D54" s="136" t="s">
        <v>65</v>
      </c>
      <c r="E54" s="85">
        <f>550+35</f>
        <v>585</v>
      </c>
      <c r="G54" s="462" t="s">
        <v>139</v>
      </c>
      <c r="H54" s="463"/>
      <c r="I54" s="71" t="s">
        <v>75</v>
      </c>
      <c r="J54" s="136" t="s">
        <v>65</v>
      </c>
      <c r="K54" s="85">
        <f>580</f>
        <v>580</v>
      </c>
    </row>
    <row r="55" spans="1:11" ht="24" thickBot="1" x14ac:dyDescent="0.3">
      <c r="A55" s="464">
        <f>B53+A53</f>
        <v>20497</v>
      </c>
      <c r="B55" s="465"/>
      <c r="C55" s="313">
        <v>155</v>
      </c>
      <c r="D55" s="82"/>
      <c r="E55" s="83"/>
      <c r="G55" s="464">
        <f>H53+G53</f>
        <v>10130</v>
      </c>
      <c r="H55" s="465"/>
      <c r="I55" s="313">
        <v>280</v>
      </c>
      <c r="J55" s="82"/>
      <c r="K55" s="83"/>
    </row>
    <row r="56" spans="1:11" ht="24" thickBot="1" x14ac:dyDescent="0.3">
      <c r="A56" s="466" t="s">
        <v>99</v>
      </c>
      <c r="B56" s="467"/>
      <c r="C56" s="78">
        <f>A57-C57</f>
        <v>-361</v>
      </c>
      <c r="D56" s="82"/>
      <c r="E56" s="83"/>
      <c r="G56" s="466" t="s">
        <v>99</v>
      </c>
      <c r="H56" s="467"/>
      <c r="I56" s="78">
        <f>G57-I57</f>
        <v>30</v>
      </c>
      <c r="J56" s="82"/>
      <c r="K56" s="83"/>
    </row>
    <row r="57" spans="1:11" ht="24" thickBot="1" x14ac:dyDescent="0.3">
      <c r="A57" s="468">
        <f>C55+A55</f>
        <v>20652</v>
      </c>
      <c r="B57" s="469"/>
      <c r="C57" s="121">
        <v>21013</v>
      </c>
      <c r="D57" s="82" t="s">
        <v>164</v>
      </c>
      <c r="E57" s="83">
        <f>SUM(E54:E56)</f>
        <v>585</v>
      </c>
      <c r="G57" s="468">
        <f>I55+G55</f>
        <v>10410</v>
      </c>
      <c r="H57" s="469"/>
      <c r="I57" s="121">
        <v>10380</v>
      </c>
      <c r="J57" s="82" t="s">
        <v>164</v>
      </c>
      <c r="K57" s="83">
        <f>SUM(K54:K56)</f>
        <v>580</v>
      </c>
    </row>
    <row r="58" spans="1:11" ht="24" thickBot="1" x14ac:dyDescent="0.3">
      <c r="C58" s="314" t="str">
        <f>IF(C56&gt;0,"زيادة","عجز")</f>
        <v>عجز</v>
      </c>
      <c r="D58" s="318"/>
      <c r="I58" s="314" t="str">
        <f>IF(I56&gt;0,"زيادة","عجز")</f>
        <v>زيادة</v>
      </c>
      <c r="J58" s="318"/>
    </row>
    <row r="62" spans="1:11" ht="15.75" thickBot="1" x14ac:dyDescent="0.3"/>
    <row r="63" spans="1:11" ht="24" thickBot="1" x14ac:dyDescent="0.3">
      <c r="A63" s="76" t="s">
        <v>15</v>
      </c>
      <c r="B63" s="363">
        <v>45127</v>
      </c>
      <c r="C63" s="364"/>
      <c r="G63" s="76" t="s">
        <v>88</v>
      </c>
      <c r="H63" s="460">
        <v>45127</v>
      </c>
      <c r="I63" s="461"/>
    </row>
    <row r="64" spans="1:11" ht="21" thickBot="1" x14ac:dyDescent="0.3">
      <c r="A64" s="53" t="s">
        <v>137</v>
      </c>
      <c r="B64" s="53" t="s">
        <v>3</v>
      </c>
      <c r="C64" s="53" t="s">
        <v>138</v>
      </c>
      <c r="G64" s="53" t="s">
        <v>137</v>
      </c>
      <c r="H64" s="53" t="s">
        <v>3</v>
      </c>
      <c r="I64" s="53" t="s">
        <v>138</v>
      </c>
    </row>
    <row r="65" spans="1:9" ht="18" x14ac:dyDescent="0.25">
      <c r="A65" s="55"/>
      <c r="B65" s="77"/>
      <c r="C65" s="57"/>
      <c r="G65" s="55">
        <f>5000+93</f>
        <v>5093</v>
      </c>
      <c r="H65" s="77">
        <v>100</v>
      </c>
      <c r="I65" s="57" t="s">
        <v>9</v>
      </c>
    </row>
    <row r="66" spans="1:9" ht="18" x14ac:dyDescent="0.25">
      <c r="A66" s="60"/>
      <c r="B66" s="56"/>
      <c r="C66" s="57"/>
      <c r="G66" s="60"/>
      <c r="H66" s="56">
        <v>160</v>
      </c>
      <c r="I66" s="57" t="s">
        <v>709</v>
      </c>
    </row>
    <row r="67" spans="1:9" ht="18" x14ac:dyDescent="0.25">
      <c r="A67" s="60"/>
      <c r="B67" s="77"/>
      <c r="C67" s="77"/>
      <c r="G67" s="60"/>
      <c r="H67" s="77">
        <v>125</v>
      </c>
      <c r="I67" s="77" t="s">
        <v>510</v>
      </c>
    </row>
    <row r="68" spans="1:9" ht="18" x14ac:dyDescent="0.25">
      <c r="A68" s="60"/>
      <c r="B68" s="56"/>
      <c r="C68" s="77"/>
      <c r="G68" s="60"/>
      <c r="H68" s="56">
        <v>340</v>
      </c>
      <c r="I68" s="77" t="s">
        <v>61</v>
      </c>
    </row>
    <row r="69" spans="1:9" ht="18" x14ac:dyDescent="0.25">
      <c r="A69" s="60"/>
      <c r="B69" s="77"/>
      <c r="C69" s="56"/>
      <c r="G69" s="60"/>
      <c r="H69" s="77">
        <v>1000</v>
      </c>
      <c r="I69" s="56" t="s">
        <v>1162</v>
      </c>
    </row>
    <row r="70" spans="1:9" ht="18" x14ac:dyDescent="0.25">
      <c r="A70" s="60"/>
      <c r="B70" s="77"/>
      <c r="C70" s="56"/>
      <c r="G70" s="60"/>
      <c r="H70" s="77">
        <v>110</v>
      </c>
      <c r="I70" s="56" t="s">
        <v>89</v>
      </c>
    </row>
    <row r="71" spans="1:9" ht="18" x14ac:dyDescent="0.25">
      <c r="A71" s="60"/>
      <c r="B71" s="56"/>
      <c r="C71" s="56"/>
      <c r="G71" s="60"/>
      <c r="H71" s="56">
        <v>2890</v>
      </c>
      <c r="I71" s="56" t="s">
        <v>12</v>
      </c>
    </row>
    <row r="72" spans="1:9" ht="18" x14ac:dyDescent="0.25">
      <c r="A72" s="60"/>
      <c r="B72" s="56"/>
      <c r="C72" s="56"/>
      <c r="G72" s="60"/>
      <c r="H72" s="56">
        <v>27</v>
      </c>
      <c r="I72" s="56" t="s">
        <v>212</v>
      </c>
    </row>
    <row r="73" spans="1:9" ht="18" x14ac:dyDescent="0.25">
      <c r="A73" s="60"/>
      <c r="B73" s="56"/>
      <c r="C73" s="56"/>
      <c r="G73" s="60"/>
      <c r="H73" s="56">
        <v>677</v>
      </c>
      <c r="I73" s="56" t="s">
        <v>417</v>
      </c>
    </row>
    <row r="74" spans="1:9" ht="18" x14ac:dyDescent="0.25">
      <c r="A74" s="60"/>
      <c r="B74" s="56"/>
      <c r="C74" s="56"/>
      <c r="G74" s="60"/>
      <c r="H74" s="56">
        <v>310</v>
      </c>
      <c r="I74" s="56" t="s">
        <v>255</v>
      </c>
    </row>
    <row r="75" spans="1:9" ht="18" x14ac:dyDescent="0.25">
      <c r="A75" s="60"/>
      <c r="B75" s="56"/>
      <c r="C75" s="56"/>
      <c r="G75" s="60"/>
      <c r="H75" s="56">
        <v>90</v>
      </c>
      <c r="I75" s="56" t="s">
        <v>339</v>
      </c>
    </row>
    <row r="76" spans="1:9" ht="18" x14ac:dyDescent="0.25">
      <c r="A76" s="60"/>
      <c r="B76" s="56"/>
      <c r="C76" s="56"/>
      <c r="G76" s="60"/>
      <c r="H76" s="56">
        <v>120</v>
      </c>
      <c r="I76" s="56" t="s">
        <v>1240</v>
      </c>
    </row>
    <row r="77" spans="1:9" ht="18" x14ac:dyDescent="0.25">
      <c r="A77" s="60"/>
      <c r="B77" s="56"/>
      <c r="C77" s="56"/>
      <c r="G77" s="60"/>
      <c r="H77" s="56">
        <v>1510</v>
      </c>
      <c r="I77" s="56" t="s">
        <v>576</v>
      </c>
    </row>
    <row r="78" spans="1:9" ht="18" x14ac:dyDescent="0.25">
      <c r="A78" s="60"/>
      <c r="B78" s="56"/>
      <c r="C78" s="56"/>
      <c r="G78" s="60"/>
      <c r="H78" s="56">
        <v>130</v>
      </c>
      <c r="I78" s="56" t="s">
        <v>39</v>
      </c>
    </row>
    <row r="79" spans="1:9" ht="18" x14ac:dyDescent="0.25">
      <c r="A79" s="60"/>
      <c r="B79" s="56"/>
      <c r="C79" s="56"/>
      <c r="G79" s="60"/>
      <c r="H79" s="56">
        <v>150</v>
      </c>
      <c r="I79" s="56" t="s">
        <v>341</v>
      </c>
    </row>
    <row r="80" spans="1:9" ht="18.75" thickBot="1" x14ac:dyDescent="0.3">
      <c r="A80" s="60"/>
      <c r="B80" s="56"/>
      <c r="C80" s="56"/>
      <c r="G80" s="60"/>
      <c r="H80" s="56">
        <v>310</v>
      </c>
      <c r="I80" s="56" t="s">
        <v>34</v>
      </c>
    </row>
    <row r="81" spans="1:11" ht="24" thickBot="1" x14ac:dyDescent="0.3">
      <c r="A81" s="66"/>
      <c r="B81" s="56"/>
      <c r="C81" s="64"/>
      <c r="D81" s="314" t="str">
        <f>IF(E81&gt;0,"زيادة","عجز")</f>
        <v>عجز</v>
      </c>
      <c r="E81" s="99">
        <f>E86-E82</f>
        <v>0</v>
      </c>
      <c r="G81" s="60"/>
      <c r="H81" s="56">
        <v>1000</v>
      </c>
      <c r="I81" s="56" t="s">
        <v>1392</v>
      </c>
    </row>
    <row r="82" spans="1:11" ht="24" thickBot="1" x14ac:dyDescent="0.3">
      <c r="A82" s="68">
        <f>SUM(A65:A81)</f>
        <v>0</v>
      </c>
      <c r="B82" s="69">
        <f>SUM(B65:B81)</f>
        <v>0</v>
      </c>
      <c r="D82" s="135" t="s">
        <v>94</v>
      </c>
      <c r="E82" s="99"/>
      <c r="G82" s="60"/>
      <c r="H82" s="56"/>
      <c r="I82" s="56"/>
    </row>
    <row r="83" spans="1:11" ht="21.75" thickBot="1" x14ac:dyDescent="0.3">
      <c r="A83" s="365" t="s">
        <v>139</v>
      </c>
      <c r="B83" s="366"/>
      <c r="C83" s="71" t="s">
        <v>75</v>
      </c>
      <c r="D83" s="136" t="s">
        <v>65</v>
      </c>
      <c r="E83" s="85"/>
      <c r="G83" s="60"/>
      <c r="H83" s="56"/>
      <c r="I83" s="56"/>
    </row>
    <row r="84" spans="1:11" ht="24" thickBot="1" x14ac:dyDescent="0.3">
      <c r="A84" s="367">
        <f>B82+A82</f>
        <v>0</v>
      </c>
      <c r="B84" s="368"/>
      <c r="C84" s="313"/>
      <c r="D84" s="82"/>
      <c r="E84" s="83"/>
      <c r="G84" s="66"/>
      <c r="H84" s="56"/>
      <c r="I84" s="64"/>
      <c r="J84" s="314" t="str">
        <f>IF(K84&gt;0,"زيادة","عجز")</f>
        <v>زيادة</v>
      </c>
      <c r="K84" s="99">
        <f>K89-K85</f>
        <v>34</v>
      </c>
    </row>
    <row r="85" spans="1:11" ht="24" thickBot="1" x14ac:dyDescent="0.3">
      <c r="A85" s="369" t="s">
        <v>99</v>
      </c>
      <c r="B85" s="370"/>
      <c r="C85" s="78">
        <f>A86-C86</f>
        <v>0</v>
      </c>
      <c r="D85" s="82"/>
      <c r="E85" s="83"/>
      <c r="G85" s="68">
        <f>SUM(G65:G84)</f>
        <v>5093</v>
      </c>
      <c r="H85" s="69">
        <f>SUM(H65:H84)</f>
        <v>9049</v>
      </c>
      <c r="J85" s="135" t="s">
        <v>94</v>
      </c>
      <c r="K85" s="99">
        <f>961-515</f>
        <v>446</v>
      </c>
    </row>
    <row r="86" spans="1:11" ht="24" thickBot="1" x14ac:dyDescent="0.3">
      <c r="A86" s="371">
        <f>C84+A84</f>
        <v>0</v>
      </c>
      <c r="B86" s="372"/>
      <c r="C86" s="121"/>
      <c r="D86" s="82" t="s">
        <v>164</v>
      </c>
      <c r="E86" s="83">
        <f>SUM(E83:E85)</f>
        <v>0</v>
      </c>
      <c r="G86" s="462" t="s">
        <v>139</v>
      </c>
      <c r="H86" s="463"/>
      <c r="I86" s="71" t="s">
        <v>75</v>
      </c>
      <c r="J86" s="136" t="s">
        <v>65</v>
      </c>
      <c r="K86" s="85">
        <f>480</f>
        <v>480</v>
      </c>
    </row>
    <row r="87" spans="1:11" ht="24" thickBot="1" x14ac:dyDescent="0.3">
      <c r="C87" s="314" t="str">
        <f>IF(C85&gt;0,"زيادة","عجز")</f>
        <v>عجز</v>
      </c>
      <c r="D87" s="318"/>
      <c r="G87" s="464">
        <f>H85+G85</f>
        <v>14142</v>
      </c>
      <c r="H87" s="465"/>
      <c r="I87" s="313"/>
      <c r="J87" s="82"/>
      <c r="K87" s="83"/>
    </row>
    <row r="88" spans="1:11" ht="24" thickBot="1" x14ac:dyDescent="0.3">
      <c r="G88" s="466" t="s">
        <v>99</v>
      </c>
      <c r="H88" s="467"/>
      <c r="I88" s="78">
        <f>G89-I89</f>
        <v>-10</v>
      </c>
      <c r="J88" s="82"/>
      <c r="K88" s="83"/>
    </row>
    <row r="89" spans="1:11" ht="24" thickBot="1" x14ac:dyDescent="0.3">
      <c r="G89" s="468">
        <f>I87+G87</f>
        <v>14142</v>
      </c>
      <c r="H89" s="469"/>
      <c r="I89" s="121">
        <v>14152</v>
      </c>
      <c r="J89" s="82" t="s">
        <v>164</v>
      </c>
      <c r="K89" s="83">
        <f>SUM(K86:K88)</f>
        <v>480</v>
      </c>
    </row>
    <row r="90" spans="1:11" ht="24" thickBot="1" x14ac:dyDescent="0.3">
      <c r="I90" s="314" t="str">
        <f>IF(I88&gt;0,"زيادة","عجز")</f>
        <v>عجز</v>
      </c>
      <c r="J90" s="318"/>
    </row>
    <row r="91" spans="1:11" ht="24" thickBot="1" x14ac:dyDescent="0.3">
      <c r="I91" s="372"/>
      <c r="J91" s="104"/>
    </row>
    <row r="92" spans="1:11" ht="24" thickBot="1" x14ac:dyDescent="0.3">
      <c r="A92" s="76" t="s">
        <v>85</v>
      </c>
      <c r="B92" s="363">
        <v>45126</v>
      </c>
      <c r="C92" s="364"/>
      <c r="G92" s="76" t="s">
        <v>363</v>
      </c>
      <c r="H92" s="460">
        <v>45127</v>
      </c>
      <c r="I92" s="461"/>
    </row>
    <row r="93" spans="1:11" ht="21" thickBot="1" x14ac:dyDescent="0.3">
      <c r="A93" s="53" t="s">
        <v>137</v>
      </c>
      <c r="B93" s="53" t="s">
        <v>3</v>
      </c>
      <c r="C93" s="53" t="s">
        <v>138</v>
      </c>
      <c r="G93" s="53" t="s">
        <v>137</v>
      </c>
      <c r="H93" s="53" t="s">
        <v>3</v>
      </c>
      <c r="I93" s="53" t="s">
        <v>138</v>
      </c>
    </row>
    <row r="94" spans="1:11" ht="18" x14ac:dyDescent="0.25">
      <c r="A94" s="55">
        <f>10000+800+300+200+50</f>
        <v>11350</v>
      </c>
      <c r="B94" s="77">
        <v>175</v>
      </c>
      <c r="C94" s="57" t="s">
        <v>706</v>
      </c>
      <c r="G94" s="55">
        <f>10000+1400+50+500+100-1680</f>
        <v>10370</v>
      </c>
      <c r="H94" s="77">
        <f>770+72*5+1270+127*2+204+144+360+115*2</f>
        <v>3592</v>
      </c>
      <c r="I94" s="57" t="s">
        <v>337</v>
      </c>
    </row>
    <row r="95" spans="1:11" ht="18" x14ac:dyDescent="0.25">
      <c r="A95" s="60"/>
      <c r="B95" s="56">
        <v>170</v>
      </c>
      <c r="C95" s="57" t="s">
        <v>359</v>
      </c>
      <c r="G95" s="60"/>
      <c r="H95" s="56">
        <v>145</v>
      </c>
      <c r="I95" s="57" t="s">
        <v>1247</v>
      </c>
    </row>
    <row r="96" spans="1:11" ht="18" x14ac:dyDescent="0.25">
      <c r="A96" s="60"/>
      <c r="B96" s="77">
        <v>1320</v>
      </c>
      <c r="C96" s="77" t="s">
        <v>1225</v>
      </c>
      <c r="G96" s="60"/>
      <c r="H96" s="77">
        <v>7</v>
      </c>
      <c r="I96" s="77" t="s">
        <v>464</v>
      </c>
    </row>
    <row r="97" spans="1:9" ht="18" x14ac:dyDescent="0.25">
      <c r="A97" s="60"/>
      <c r="B97" s="56">
        <v>436</v>
      </c>
      <c r="C97" s="77" t="s">
        <v>97</v>
      </c>
      <c r="G97" s="60"/>
      <c r="H97" s="56">
        <v>99</v>
      </c>
      <c r="I97" s="77" t="s">
        <v>67</v>
      </c>
    </row>
    <row r="98" spans="1:9" ht="18" x14ac:dyDescent="0.25">
      <c r="A98" s="60"/>
      <c r="B98" s="77">
        <v>546</v>
      </c>
      <c r="C98" s="56" t="s">
        <v>1226</v>
      </c>
      <c r="G98" s="60"/>
      <c r="H98" s="77">
        <v>290</v>
      </c>
      <c r="I98" s="56" t="s">
        <v>1248</v>
      </c>
    </row>
    <row r="99" spans="1:9" ht="18" x14ac:dyDescent="0.25">
      <c r="A99" s="60"/>
      <c r="B99" s="77"/>
      <c r="C99" s="56"/>
      <c r="G99" s="60"/>
      <c r="H99" s="77">
        <v>1680</v>
      </c>
      <c r="I99" s="56" t="s">
        <v>14</v>
      </c>
    </row>
    <row r="100" spans="1:9" ht="18" x14ac:dyDescent="0.25">
      <c r="A100" s="60"/>
      <c r="B100" s="56"/>
      <c r="C100" s="56"/>
      <c r="G100" s="60"/>
      <c r="H100" s="56">
        <v>134</v>
      </c>
      <c r="I100" s="56" t="s">
        <v>67</v>
      </c>
    </row>
    <row r="101" spans="1:9" ht="18" x14ac:dyDescent="0.25">
      <c r="A101" s="60"/>
      <c r="B101" s="56"/>
      <c r="C101" s="56"/>
      <c r="G101" s="60"/>
      <c r="H101" s="56">
        <v>38</v>
      </c>
      <c r="I101" s="56" t="s">
        <v>1249</v>
      </c>
    </row>
    <row r="102" spans="1:9" ht="18" x14ac:dyDescent="0.25">
      <c r="A102" s="60"/>
      <c r="B102" s="56"/>
      <c r="C102" s="56"/>
      <c r="G102" s="60"/>
      <c r="H102" s="56">
        <v>10000</v>
      </c>
      <c r="I102" s="56" t="s">
        <v>43</v>
      </c>
    </row>
    <row r="103" spans="1:9" ht="18" x14ac:dyDescent="0.25">
      <c r="A103" s="60"/>
      <c r="B103" s="56"/>
      <c r="C103" s="56"/>
      <c r="G103" s="60"/>
      <c r="H103" s="56"/>
      <c r="I103" s="56"/>
    </row>
    <row r="104" spans="1:9" ht="18" x14ac:dyDescent="0.25">
      <c r="A104" s="60"/>
      <c r="B104" s="56"/>
      <c r="C104" s="56"/>
      <c r="G104" s="60"/>
      <c r="H104" s="56"/>
      <c r="I104" s="56"/>
    </row>
    <row r="105" spans="1:9" ht="18" x14ac:dyDescent="0.25">
      <c r="A105" s="60"/>
      <c r="B105" s="56"/>
      <c r="C105" s="56"/>
      <c r="G105" s="60"/>
      <c r="H105" s="56"/>
      <c r="I105" s="56"/>
    </row>
    <row r="106" spans="1:9" ht="18" x14ac:dyDescent="0.25">
      <c r="A106" s="60"/>
      <c r="B106" s="56"/>
      <c r="C106" s="56"/>
      <c r="E106">
        <v>9700</v>
      </c>
      <c r="G106" s="60"/>
      <c r="H106" s="56"/>
      <c r="I106" s="56"/>
    </row>
    <row r="107" spans="1:9" ht="18" x14ac:dyDescent="0.25">
      <c r="A107" s="60"/>
      <c r="B107" s="56"/>
      <c r="C107" s="56"/>
      <c r="E107">
        <v>500</v>
      </c>
      <c r="G107" s="60"/>
      <c r="H107" s="56"/>
      <c r="I107" s="56"/>
    </row>
    <row r="108" spans="1:9" ht="18" x14ac:dyDescent="0.25">
      <c r="A108" s="60"/>
      <c r="B108" s="56"/>
      <c r="C108" s="56"/>
      <c r="E108">
        <v>170</v>
      </c>
      <c r="G108" s="60"/>
      <c r="H108" s="56"/>
      <c r="I108" s="56"/>
    </row>
    <row r="109" spans="1:9" ht="18" x14ac:dyDescent="0.25">
      <c r="A109" s="60"/>
      <c r="B109" s="56"/>
      <c r="C109" s="56"/>
      <c r="G109" s="60"/>
      <c r="H109" s="56"/>
      <c r="I109" s="56"/>
    </row>
    <row r="110" spans="1:9" ht="18" x14ac:dyDescent="0.25">
      <c r="A110" s="60"/>
      <c r="B110" s="56"/>
      <c r="C110" s="56"/>
      <c r="G110" s="60"/>
      <c r="H110" s="56"/>
      <c r="I110" s="56"/>
    </row>
    <row r="111" spans="1:9" ht="18" x14ac:dyDescent="0.25">
      <c r="A111" s="60"/>
      <c r="B111" s="56"/>
      <c r="C111" s="56"/>
      <c r="G111" s="60"/>
      <c r="H111" s="56"/>
      <c r="I111" s="56"/>
    </row>
    <row r="112" spans="1:9" ht="18" x14ac:dyDescent="0.25">
      <c r="A112" s="60"/>
      <c r="B112" s="56"/>
      <c r="C112" s="56"/>
      <c r="G112" s="60"/>
      <c r="H112" s="56"/>
      <c r="I112" s="56"/>
    </row>
    <row r="113" spans="1:11" ht="18" x14ac:dyDescent="0.25">
      <c r="A113" s="60"/>
      <c r="B113" s="56"/>
      <c r="C113" s="56"/>
      <c r="G113" s="60"/>
      <c r="H113" s="56"/>
      <c r="I113" s="56"/>
    </row>
    <row r="114" spans="1:11" ht="18" x14ac:dyDescent="0.25">
      <c r="A114" s="60"/>
      <c r="B114" s="56"/>
      <c r="C114" s="56"/>
      <c r="G114" s="60"/>
      <c r="H114" s="56"/>
      <c r="I114" s="56"/>
    </row>
    <row r="115" spans="1:11" ht="18.75" thickBot="1" x14ac:dyDescent="0.3">
      <c r="A115" s="60"/>
      <c r="B115" s="56"/>
      <c r="C115" s="56"/>
      <c r="G115" s="60"/>
      <c r="H115" s="56"/>
      <c r="I115" s="56"/>
    </row>
    <row r="116" spans="1:11" ht="24" thickBot="1" x14ac:dyDescent="0.3">
      <c r="A116" s="66"/>
      <c r="B116" s="56"/>
      <c r="C116" s="64"/>
      <c r="D116" s="314" t="str">
        <f>IF(E116&gt;0,"زيادة","عجز")</f>
        <v>عجز</v>
      </c>
      <c r="E116" s="99">
        <f>E121-E117</f>
        <v>0</v>
      </c>
      <c r="G116" s="66"/>
      <c r="H116" s="56"/>
      <c r="I116" s="64"/>
      <c r="J116" s="314" t="str">
        <f>IF(K116&gt;0,"زيادة","عجز")</f>
        <v>زيادة</v>
      </c>
      <c r="K116" s="99">
        <f>K121-K117</f>
        <v>17</v>
      </c>
    </row>
    <row r="117" spans="1:11" ht="24" thickBot="1" x14ac:dyDescent="0.3">
      <c r="A117" s="68">
        <f>SUM(A94:A116)</f>
        <v>11350</v>
      </c>
      <c r="B117" s="69">
        <f>SUM(B94:B116)</f>
        <v>2647</v>
      </c>
      <c r="D117" s="135" t="s">
        <v>94</v>
      </c>
      <c r="E117" s="99"/>
      <c r="G117" s="68">
        <f>SUM(G94:G116)</f>
        <v>10370</v>
      </c>
      <c r="H117" s="69">
        <f>SUM(H94:H116)</f>
        <v>15985</v>
      </c>
      <c r="J117" s="135" t="s">
        <v>94</v>
      </c>
      <c r="K117" s="99">
        <f>7923-6895</f>
        <v>1028</v>
      </c>
    </row>
    <row r="118" spans="1:11" ht="21.75" thickBot="1" x14ac:dyDescent="0.3">
      <c r="A118" s="365" t="s">
        <v>139</v>
      </c>
      <c r="B118" s="366"/>
      <c r="C118" s="71" t="s">
        <v>75</v>
      </c>
      <c r="D118" s="136" t="s">
        <v>65</v>
      </c>
      <c r="E118" s="85"/>
      <c r="G118" s="462" t="s">
        <v>139</v>
      </c>
      <c r="H118" s="463"/>
      <c r="I118" s="71" t="s">
        <v>75</v>
      </c>
      <c r="J118" s="136" t="s">
        <v>65</v>
      </c>
      <c r="K118" s="85">
        <v>1035</v>
      </c>
    </row>
    <row r="119" spans="1:11" ht="24" thickBot="1" x14ac:dyDescent="0.3">
      <c r="A119" s="367">
        <f>B117+A117</f>
        <v>13997</v>
      </c>
      <c r="B119" s="368"/>
      <c r="C119" s="313">
        <f>300</f>
        <v>300</v>
      </c>
      <c r="D119" s="82"/>
      <c r="E119" s="83"/>
      <c r="G119" s="464">
        <f>H117+G117</f>
        <v>26355</v>
      </c>
      <c r="H119" s="465"/>
      <c r="I119" s="313">
        <f>280+125+80</f>
        <v>485</v>
      </c>
      <c r="J119" s="82" t="s">
        <v>741</v>
      </c>
      <c r="K119" s="83">
        <v>10</v>
      </c>
    </row>
    <row r="120" spans="1:11" ht="24" thickBot="1" x14ac:dyDescent="0.3">
      <c r="A120" s="466" t="s">
        <v>99</v>
      </c>
      <c r="B120" s="467"/>
      <c r="C120" s="78">
        <f>A121-C121</f>
        <v>1913</v>
      </c>
      <c r="D120" s="82"/>
      <c r="E120" s="83"/>
      <c r="G120" s="466" t="s">
        <v>99</v>
      </c>
      <c r="H120" s="467"/>
      <c r="I120" s="78">
        <f>G121-I121</f>
        <v>88</v>
      </c>
      <c r="J120" s="82"/>
      <c r="K120" s="83"/>
    </row>
    <row r="121" spans="1:11" ht="24" thickBot="1" x14ac:dyDescent="0.3">
      <c r="A121" s="468">
        <f>C119+A119</f>
        <v>14297</v>
      </c>
      <c r="B121" s="469"/>
      <c r="C121" s="121">
        <v>12384</v>
      </c>
      <c r="D121" s="82" t="s">
        <v>164</v>
      </c>
      <c r="E121" s="83">
        <f>SUM(E118:E120)</f>
        <v>0</v>
      </c>
      <c r="G121" s="468">
        <f>I119+G119</f>
        <v>26840</v>
      </c>
      <c r="H121" s="469"/>
      <c r="I121" s="121">
        <v>26752</v>
      </c>
      <c r="J121" s="82" t="s">
        <v>164</v>
      </c>
      <c r="K121" s="83">
        <f>SUM(K118:K120)</f>
        <v>1045</v>
      </c>
    </row>
    <row r="122" spans="1:11" ht="24" thickBot="1" x14ac:dyDescent="0.3">
      <c r="C122" s="314" t="str">
        <f>IF(C120&gt;0,"زيادة","عجز")</f>
        <v>زيادة</v>
      </c>
      <c r="D122" s="318"/>
      <c r="I122" s="314" t="str">
        <f>IF(I120&gt;0,"زيادة","عجز")</f>
        <v>زيادة</v>
      </c>
      <c r="J122" s="318"/>
    </row>
    <row r="124" spans="1:11" ht="15.75" thickBot="1" x14ac:dyDescent="0.3"/>
    <row r="125" spans="1:11" ht="24" thickBot="1" x14ac:dyDescent="0.3">
      <c r="A125" s="425" t="s">
        <v>15</v>
      </c>
      <c r="B125" s="460">
        <v>45127</v>
      </c>
      <c r="C125" s="461"/>
      <c r="G125" s="425" t="s">
        <v>85</v>
      </c>
      <c r="H125" s="460">
        <v>45127</v>
      </c>
      <c r="I125" s="461"/>
    </row>
    <row r="126" spans="1:11" ht="21" thickBot="1" x14ac:dyDescent="0.3">
      <c r="A126" s="53" t="s">
        <v>137</v>
      </c>
      <c r="B126" s="53" t="s">
        <v>3</v>
      </c>
      <c r="C126" s="53" t="s">
        <v>138</v>
      </c>
      <c r="G126" s="53" t="s">
        <v>137</v>
      </c>
      <c r="H126" s="53" t="s">
        <v>3</v>
      </c>
      <c r="I126" s="53" t="s">
        <v>138</v>
      </c>
    </row>
    <row r="127" spans="1:11" ht="18" x14ac:dyDescent="0.25">
      <c r="A127" s="55">
        <f>290</f>
        <v>290</v>
      </c>
      <c r="B127" s="77">
        <v>15</v>
      </c>
      <c r="C127" s="57" t="s">
        <v>1184</v>
      </c>
      <c r="G127" s="55">
        <f>4000+450+500</f>
        <v>4950</v>
      </c>
      <c r="H127" s="77">
        <v>115</v>
      </c>
      <c r="I127" s="57" t="s">
        <v>29</v>
      </c>
    </row>
    <row r="128" spans="1:11" ht="18" x14ac:dyDescent="0.25">
      <c r="A128" s="60"/>
      <c r="B128" s="56">
        <v>8</v>
      </c>
      <c r="C128" s="57" t="s">
        <v>954</v>
      </c>
      <c r="G128" s="60"/>
      <c r="H128" s="56">
        <v>110</v>
      </c>
      <c r="I128" s="57" t="s">
        <v>15</v>
      </c>
    </row>
    <row r="129" spans="1:9" ht="18" x14ac:dyDescent="0.25">
      <c r="A129" s="60"/>
      <c r="B129" s="77">
        <v>3880</v>
      </c>
      <c r="C129" s="77" t="s">
        <v>69</v>
      </c>
      <c r="G129" s="60"/>
      <c r="H129" s="77">
        <v>195</v>
      </c>
      <c r="I129" s="77" t="s">
        <v>27</v>
      </c>
    </row>
    <row r="130" spans="1:9" ht="18" x14ac:dyDescent="0.25">
      <c r="A130" s="60"/>
      <c r="B130" s="56">
        <v>70</v>
      </c>
      <c r="C130" s="77" t="s">
        <v>494</v>
      </c>
      <c r="G130" s="60"/>
      <c r="H130" s="56">
        <v>216</v>
      </c>
      <c r="I130" s="77" t="s">
        <v>978</v>
      </c>
    </row>
    <row r="131" spans="1:9" ht="18" x14ac:dyDescent="0.25">
      <c r="A131" s="60"/>
      <c r="B131" s="77">
        <v>1810</v>
      </c>
      <c r="C131" s="56" t="s">
        <v>1250</v>
      </c>
      <c r="G131" s="60"/>
      <c r="H131" s="77">
        <v>3123</v>
      </c>
      <c r="I131" s="56" t="s">
        <v>20</v>
      </c>
    </row>
    <row r="132" spans="1:9" ht="18" x14ac:dyDescent="0.25">
      <c r="A132" s="60"/>
      <c r="B132" s="77">
        <v>40</v>
      </c>
      <c r="C132" s="56" t="s">
        <v>1251</v>
      </c>
      <c r="G132" s="60"/>
      <c r="H132" s="77">
        <v>90</v>
      </c>
      <c r="I132" s="56" t="s">
        <v>552</v>
      </c>
    </row>
    <row r="133" spans="1:9" ht="18" x14ac:dyDescent="0.25">
      <c r="A133" s="60"/>
      <c r="B133" s="56">
        <v>2100</v>
      </c>
      <c r="C133" s="56" t="s">
        <v>728</v>
      </c>
      <c r="G133" s="60"/>
      <c r="H133" s="56">
        <v>200</v>
      </c>
      <c r="I133" s="56" t="s">
        <v>86</v>
      </c>
    </row>
    <row r="134" spans="1:9" ht="18" x14ac:dyDescent="0.25">
      <c r="A134" s="60"/>
      <c r="B134" s="56">
        <v>3500</v>
      </c>
      <c r="C134" s="56" t="s">
        <v>1252</v>
      </c>
      <c r="G134" s="60"/>
      <c r="H134" s="56">
        <v>3500</v>
      </c>
      <c r="I134" s="56" t="s">
        <v>1252</v>
      </c>
    </row>
    <row r="135" spans="1:9" ht="18" x14ac:dyDescent="0.25">
      <c r="A135" s="60"/>
      <c r="B135" s="56"/>
      <c r="C135" s="56"/>
      <c r="G135" s="60"/>
      <c r="H135" s="56">
        <v>85</v>
      </c>
      <c r="I135" s="56" t="s">
        <v>32</v>
      </c>
    </row>
    <row r="136" spans="1:9" ht="18" x14ac:dyDescent="0.25">
      <c r="A136" s="60"/>
      <c r="B136" s="56"/>
      <c r="C136" s="56"/>
      <c r="G136" s="60"/>
      <c r="H136" s="56">
        <v>34</v>
      </c>
      <c r="I136" s="56" t="s">
        <v>212</v>
      </c>
    </row>
    <row r="137" spans="1:9" ht="18" x14ac:dyDescent="0.25">
      <c r="A137" s="60"/>
      <c r="B137" s="56"/>
      <c r="C137" s="56"/>
      <c r="G137" s="60"/>
      <c r="H137" s="56"/>
      <c r="I137" s="56"/>
    </row>
    <row r="138" spans="1:9" ht="18" x14ac:dyDescent="0.25">
      <c r="A138" s="60"/>
      <c r="B138" s="56"/>
      <c r="C138" s="56"/>
      <c r="G138" s="60"/>
      <c r="H138" s="56"/>
      <c r="I138" s="56"/>
    </row>
    <row r="139" spans="1:9" ht="18" x14ac:dyDescent="0.25">
      <c r="A139" s="60"/>
      <c r="B139" s="56"/>
      <c r="C139" s="56"/>
      <c r="G139" s="60"/>
      <c r="H139" s="56"/>
      <c r="I139" s="56"/>
    </row>
    <row r="140" spans="1:9" ht="18" x14ac:dyDescent="0.25">
      <c r="A140" s="60"/>
      <c r="B140" s="56"/>
      <c r="C140" s="56"/>
      <c r="G140" s="60"/>
      <c r="H140" s="56"/>
      <c r="I140" s="56"/>
    </row>
    <row r="141" spans="1:9" ht="18" x14ac:dyDescent="0.25">
      <c r="A141" s="60"/>
      <c r="B141" s="56"/>
      <c r="C141" s="56"/>
      <c r="G141" s="60"/>
      <c r="H141" s="56"/>
      <c r="I141" s="56"/>
    </row>
    <row r="142" spans="1:9" ht="18" x14ac:dyDescent="0.25">
      <c r="A142" s="60"/>
      <c r="B142" s="56"/>
      <c r="C142" s="56"/>
      <c r="G142" s="60"/>
      <c r="H142" s="56"/>
      <c r="I142" s="56"/>
    </row>
    <row r="143" spans="1:9" ht="18" x14ac:dyDescent="0.25">
      <c r="A143" s="60"/>
      <c r="B143" s="56"/>
      <c r="C143" s="56"/>
      <c r="G143" s="60"/>
      <c r="H143" s="56"/>
      <c r="I143" s="56"/>
    </row>
    <row r="144" spans="1:9" ht="18" x14ac:dyDescent="0.25">
      <c r="A144" s="60"/>
      <c r="B144" s="56"/>
      <c r="C144" s="56"/>
      <c r="G144" s="60"/>
      <c r="H144" s="56"/>
      <c r="I144" s="56"/>
    </row>
    <row r="145" spans="1:11" ht="18" x14ac:dyDescent="0.25">
      <c r="A145" s="60"/>
      <c r="B145" s="56"/>
      <c r="C145" s="56"/>
      <c r="G145" s="60"/>
      <c r="H145" s="56"/>
      <c r="I145" s="56"/>
    </row>
    <row r="146" spans="1:11" ht="18" x14ac:dyDescent="0.25">
      <c r="A146" s="60"/>
      <c r="B146" s="56"/>
      <c r="C146" s="56"/>
      <c r="G146" s="60"/>
      <c r="H146" s="56"/>
      <c r="I146" s="56"/>
    </row>
    <row r="147" spans="1:11" ht="18" x14ac:dyDescent="0.25">
      <c r="A147" s="60"/>
      <c r="B147" s="56"/>
      <c r="C147" s="56"/>
      <c r="G147" s="60"/>
      <c r="H147" s="56"/>
      <c r="I147" s="56"/>
    </row>
    <row r="148" spans="1:11" ht="18.75" thickBot="1" x14ac:dyDescent="0.3">
      <c r="A148" s="60"/>
      <c r="B148" s="56"/>
      <c r="C148" s="56"/>
      <c r="G148" s="60"/>
      <c r="H148" s="56"/>
      <c r="I148" s="56"/>
    </row>
    <row r="149" spans="1:11" ht="24" thickBot="1" x14ac:dyDescent="0.3">
      <c r="A149" s="66"/>
      <c r="B149" s="56"/>
      <c r="C149" s="64"/>
      <c r="D149" s="314" t="str">
        <f>IF(E149&gt;0,"زيادة","عجز")</f>
        <v>زيادة</v>
      </c>
      <c r="E149" s="99">
        <f>E154-E150</f>
        <v>82</v>
      </c>
      <c r="G149" s="66"/>
      <c r="H149" s="56"/>
      <c r="I149" s="64"/>
      <c r="J149" s="314" t="str">
        <f>IF(K149&gt;0,"زيادة","عجز")</f>
        <v>عجز</v>
      </c>
      <c r="K149" s="99">
        <f>K154-K150</f>
        <v>0</v>
      </c>
    </row>
    <row r="150" spans="1:11" ht="24" thickBot="1" x14ac:dyDescent="0.3">
      <c r="A150" s="68">
        <f>SUM(A127:A149)</f>
        <v>290</v>
      </c>
      <c r="B150" s="69">
        <f>SUM(B127:B149)</f>
        <v>11423</v>
      </c>
      <c r="D150" s="135" t="s">
        <v>94</v>
      </c>
      <c r="E150" s="99"/>
      <c r="G150" s="68">
        <f>SUM(G127:G149)</f>
        <v>4950</v>
      </c>
      <c r="H150" s="69">
        <f>SUM(H127:H149)</f>
        <v>7668</v>
      </c>
      <c r="J150" s="135" t="s">
        <v>94</v>
      </c>
      <c r="K150" s="99"/>
    </row>
    <row r="151" spans="1:11" ht="21.75" thickBot="1" x14ac:dyDescent="0.3">
      <c r="A151" s="462" t="s">
        <v>139</v>
      </c>
      <c r="B151" s="463"/>
      <c r="C151" s="71" t="s">
        <v>75</v>
      </c>
      <c r="D151" s="136" t="s">
        <v>65</v>
      </c>
      <c r="E151" s="85">
        <v>82</v>
      </c>
      <c r="G151" s="462" t="s">
        <v>139</v>
      </c>
      <c r="H151" s="463"/>
      <c r="I151" s="71" t="s">
        <v>75</v>
      </c>
      <c r="J151" s="136" t="s">
        <v>65</v>
      </c>
      <c r="K151" s="85"/>
    </row>
    <row r="152" spans="1:11" ht="24" thickBot="1" x14ac:dyDescent="0.3">
      <c r="A152" s="464">
        <f>B150+A150</f>
        <v>11713</v>
      </c>
      <c r="B152" s="465"/>
      <c r="C152" s="313">
        <v>60</v>
      </c>
      <c r="D152" s="82"/>
      <c r="E152" s="83"/>
      <c r="G152" s="464">
        <f>H150+G150</f>
        <v>12618</v>
      </c>
      <c r="H152" s="465"/>
      <c r="I152" s="313">
        <v>528</v>
      </c>
      <c r="J152" s="82"/>
      <c r="K152" s="83"/>
    </row>
    <row r="153" spans="1:11" ht="24" thickBot="1" x14ac:dyDescent="0.3">
      <c r="A153" s="466" t="s">
        <v>99</v>
      </c>
      <c r="B153" s="467"/>
      <c r="C153" s="78">
        <f>A154-C154</f>
        <v>22</v>
      </c>
      <c r="D153" s="82"/>
      <c r="E153" s="83"/>
      <c r="G153" s="466" t="s">
        <v>99</v>
      </c>
      <c r="H153" s="467"/>
      <c r="I153" s="78">
        <f>G154-I154</f>
        <v>13146</v>
      </c>
      <c r="J153" s="82"/>
      <c r="K153" s="83"/>
    </row>
    <row r="154" spans="1:11" ht="24" thickBot="1" x14ac:dyDescent="0.3">
      <c r="A154" s="468">
        <f>C152+A152</f>
        <v>11773</v>
      </c>
      <c r="B154" s="469"/>
      <c r="C154" s="121">
        <v>11751</v>
      </c>
      <c r="D154" s="82" t="s">
        <v>164</v>
      </c>
      <c r="E154" s="83">
        <f>SUM(E151:E153)</f>
        <v>82</v>
      </c>
      <c r="G154" s="468">
        <f>I152+G152</f>
        <v>13146</v>
      </c>
      <c r="H154" s="469"/>
      <c r="I154" s="121"/>
      <c r="J154" s="82" t="s">
        <v>164</v>
      </c>
      <c r="K154" s="83">
        <f>SUM(K151:K153)</f>
        <v>0</v>
      </c>
    </row>
    <row r="155" spans="1:11" ht="24" thickBot="1" x14ac:dyDescent="0.3">
      <c r="C155" s="314" t="str">
        <f>IF(C153&gt;0,"زيادة","عجز")</f>
        <v>زيادة</v>
      </c>
      <c r="D155" s="318"/>
      <c r="I155" s="314" t="str">
        <f>IF(I153&gt;0,"زيادة","عجز")</f>
        <v>زيادة</v>
      </c>
      <c r="J155" s="318"/>
    </row>
    <row r="157" spans="1:11" x14ac:dyDescent="0.25">
      <c r="A157">
        <f>10+10+10+10+10</f>
        <v>50</v>
      </c>
    </row>
    <row r="160" spans="1:11" x14ac:dyDescent="0.25">
      <c r="C160">
        <f>9+10+10+15+5+10+12+10+10+12+7+10+10+10+10.5+10+10+10+8</f>
        <v>188.5</v>
      </c>
    </row>
    <row r="164" spans="1:3" x14ac:dyDescent="0.25">
      <c r="C164">
        <f>C160*10</f>
        <v>1885</v>
      </c>
    </row>
    <row r="166" spans="1:3" ht="15.75" thickBot="1" x14ac:dyDescent="0.3"/>
    <row r="167" spans="1:3" ht="24" thickBot="1" x14ac:dyDescent="0.3">
      <c r="A167" s="425" t="s">
        <v>59</v>
      </c>
      <c r="B167" s="460">
        <v>45127</v>
      </c>
      <c r="C167" s="461"/>
    </row>
    <row r="168" spans="1:3" ht="21" thickBot="1" x14ac:dyDescent="0.3">
      <c r="A168" s="53" t="s">
        <v>137</v>
      </c>
      <c r="B168" s="53" t="s">
        <v>3</v>
      </c>
      <c r="C168" s="53" t="s">
        <v>138</v>
      </c>
    </row>
    <row r="169" spans="1:3" ht="18" x14ac:dyDescent="0.25">
      <c r="A169" s="55">
        <v>8000</v>
      </c>
      <c r="B169" s="77">
        <v>21</v>
      </c>
      <c r="C169" s="57" t="s">
        <v>1257</v>
      </c>
    </row>
    <row r="170" spans="1:3" ht="18" x14ac:dyDescent="0.25">
      <c r="A170" s="60">
        <v>1750</v>
      </c>
      <c r="B170" s="56">
        <v>360</v>
      </c>
      <c r="C170" s="57" t="s">
        <v>1258</v>
      </c>
    </row>
    <row r="171" spans="1:3" ht="18" x14ac:dyDescent="0.25">
      <c r="A171" s="60">
        <v>75</v>
      </c>
      <c r="B171" s="77">
        <v>115</v>
      </c>
      <c r="C171" s="57" t="s">
        <v>1259</v>
      </c>
    </row>
    <row r="172" spans="1:3" ht="18" x14ac:dyDescent="0.25">
      <c r="A172" s="60"/>
      <c r="B172" s="56">
        <v>200</v>
      </c>
      <c r="C172" s="57" t="s">
        <v>1260</v>
      </c>
    </row>
    <row r="173" spans="1:3" ht="18" x14ac:dyDescent="0.25">
      <c r="A173" s="60"/>
      <c r="B173" s="77">
        <v>1000</v>
      </c>
      <c r="C173" s="57" t="s">
        <v>127</v>
      </c>
    </row>
    <row r="174" spans="1:3" ht="18" x14ac:dyDescent="0.25">
      <c r="A174" s="60"/>
      <c r="B174" s="77"/>
      <c r="C174" s="56"/>
    </row>
    <row r="175" spans="1:3" ht="18" x14ac:dyDescent="0.25">
      <c r="A175" s="60"/>
      <c r="B175" s="56"/>
      <c r="C175" s="56"/>
    </row>
    <row r="176" spans="1:3" ht="18" x14ac:dyDescent="0.25">
      <c r="A176" s="60"/>
      <c r="B176" s="56"/>
      <c r="C176" s="56"/>
    </row>
    <row r="177" spans="1:5" ht="18" x14ac:dyDescent="0.25">
      <c r="A177" s="60"/>
      <c r="B177" s="56"/>
      <c r="C177" s="56"/>
    </row>
    <row r="178" spans="1:5" ht="18" x14ac:dyDescent="0.25">
      <c r="A178" s="60"/>
      <c r="B178" s="56"/>
      <c r="C178" s="56"/>
    </row>
    <row r="179" spans="1:5" ht="18" x14ac:dyDescent="0.25">
      <c r="A179" s="60"/>
      <c r="B179" s="56"/>
      <c r="C179" s="56"/>
    </row>
    <row r="180" spans="1:5" ht="18" x14ac:dyDescent="0.25">
      <c r="A180" s="60"/>
      <c r="B180" s="56"/>
      <c r="C180" s="56"/>
    </row>
    <row r="181" spans="1:5" ht="18" x14ac:dyDescent="0.25">
      <c r="A181" s="60"/>
      <c r="B181" s="56"/>
      <c r="C181" s="56"/>
    </row>
    <row r="182" spans="1:5" ht="18" x14ac:dyDescent="0.25">
      <c r="A182" s="60"/>
      <c r="B182" s="56"/>
      <c r="C182" s="56"/>
    </row>
    <row r="183" spans="1:5" ht="18" x14ac:dyDescent="0.25">
      <c r="A183" s="60"/>
      <c r="B183" s="56"/>
      <c r="C183" s="56"/>
    </row>
    <row r="184" spans="1:5" ht="18" x14ac:dyDescent="0.25">
      <c r="A184" s="60"/>
      <c r="B184" s="56"/>
      <c r="C184" s="56"/>
    </row>
    <row r="185" spans="1:5" ht="18" x14ac:dyDescent="0.25">
      <c r="A185" s="60"/>
      <c r="B185" s="56"/>
      <c r="C185" s="56"/>
    </row>
    <row r="186" spans="1:5" ht="18" x14ac:dyDescent="0.25">
      <c r="A186" s="60"/>
      <c r="B186" s="56"/>
      <c r="C186" s="56"/>
    </row>
    <row r="187" spans="1:5" ht="18" x14ac:dyDescent="0.25">
      <c r="A187" s="60"/>
      <c r="B187" s="56"/>
      <c r="C187" s="56"/>
    </row>
    <row r="188" spans="1:5" ht="18" x14ac:dyDescent="0.25">
      <c r="A188" s="60"/>
      <c r="B188" s="56"/>
      <c r="C188" s="56"/>
    </row>
    <row r="189" spans="1:5" ht="18" x14ac:dyDescent="0.25">
      <c r="A189" s="60"/>
      <c r="B189" s="56"/>
      <c r="C189" s="56"/>
    </row>
    <row r="190" spans="1:5" ht="18.75" thickBot="1" x14ac:dyDescent="0.3">
      <c r="A190" s="60"/>
      <c r="B190" s="56"/>
      <c r="C190" s="56"/>
    </row>
    <row r="191" spans="1:5" ht="24" thickBot="1" x14ac:dyDescent="0.3">
      <c r="A191" s="66"/>
      <c r="B191" s="56"/>
      <c r="C191" s="64"/>
      <c r="D191" s="314" t="str">
        <f>IF(E191&gt;0,"زيادة","عجز")</f>
        <v>زيادة</v>
      </c>
      <c r="E191" s="99">
        <f>E196-E192</f>
        <v>13</v>
      </c>
    </row>
    <row r="192" spans="1:5" ht="24" thickBot="1" x14ac:dyDescent="0.3">
      <c r="A192" s="68">
        <f>SUM(A169:A191)</f>
        <v>9825</v>
      </c>
      <c r="B192" s="69">
        <f>SUM(B169:B191)</f>
        <v>1696</v>
      </c>
      <c r="D192" s="135" t="s">
        <v>94</v>
      </c>
      <c r="E192" s="99">
        <f>5772-5185</f>
        <v>587</v>
      </c>
    </row>
    <row r="193" spans="1:5" ht="21.75" thickBot="1" x14ac:dyDescent="0.3">
      <c r="A193" s="462" t="s">
        <v>139</v>
      </c>
      <c r="B193" s="463"/>
      <c r="C193" s="71" t="s">
        <v>75</v>
      </c>
      <c r="D193" s="136" t="s">
        <v>65</v>
      </c>
      <c r="E193" s="85">
        <v>600</v>
      </c>
    </row>
    <row r="194" spans="1:5" ht="24" thickBot="1" x14ac:dyDescent="0.3">
      <c r="A194" s="464">
        <f>B192+A192</f>
        <v>11521</v>
      </c>
      <c r="B194" s="465"/>
      <c r="C194" s="313"/>
      <c r="D194" s="82"/>
      <c r="E194" s="83"/>
    </row>
    <row r="195" spans="1:5" ht="24" thickBot="1" x14ac:dyDescent="0.3">
      <c r="A195" s="466" t="s">
        <v>99</v>
      </c>
      <c r="B195" s="467"/>
      <c r="C195" s="78">
        <f>A196-C196</f>
        <v>282</v>
      </c>
      <c r="D195" s="82"/>
      <c r="E195" s="83"/>
    </row>
    <row r="196" spans="1:5" ht="24" thickBot="1" x14ac:dyDescent="0.3">
      <c r="A196" s="468">
        <f>C194+A194</f>
        <v>11521</v>
      </c>
      <c r="B196" s="469"/>
      <c r="C196" s="121">
        <v>11239</v>
      </c>
      <c r="D196" s="82" t="s">
        <v>164</v>
      </c>
      <c r="E196" s="83">
        <f>SUM(E193:E195)</f>
        <v>600</v>
      </c>
    </row>
    <row r="197" spans="1:5" ht="24" thickBot="1" x14ac:dyDescent="0.3">
      <c r="C197" s="314" t="str">
        <f>IF(C195&gt;0,"زيادة","عجز")</f>
        <v>زيادة</v>
      </c>
      <c r="D197" s="318"/>
    </row>
  </sheetData>
  <mergeCells count="47">
    <mergeCell ref="B167:C167"/>
    <mergeCell ref="A193:B193"/>
    <mergeCell ref="A194:B194"/>
    <mergeCell ref="A195:B195"/>
    <mergeCell ref="A196:B196"/>
    <mergeCell ref="A152:B152"/>
    <mergeCell ref="G152:H152"/>
    <mergeCell ref="A153:B153"/>
    <mergeCell ref="G153:H153"/>
    <mergeCell ref="A154:B154"/>
    <mergeCell ref="G154:H154"/>
    <mergeCell ref="A121:B121"/>
    <mergeCell ref="G121:H121"/>
    <mergeCell ref="B125:C125"/>
    <mergeCell ref="H125:I125"/>
    <mergeCell ref="A151:B151"/>
    <mergeCell ref="G151:H151"/>
    <mergeCell ref="G89:H89"/>
    <mergeCell ref="H92:I92"/>
    <mergeCell ref="G118:H118"/>
    <mergeCell ref="G119:H119"/>
    <mergeCell ref="A120:B120"/>
    <mergeCell ref="G120:H120"/>
    <mergeCell ref="G88:H88"/>
    <mergeCell ref="A54:B54"/>
    <mergeCell ref="G54:H54"/>
    <mergeCell ref="A55:B55"/>
    <mergeCell ref="G55:H55"/>
    <mergeCell ref="A56:B56"/>
    <mergeCell ref="G56:H56"/>
    <mergeCell ref="A57:B57"/>
    <mergeCell ref="G57:H57"/>
    <mergeCell ref="H63:I63"/>
    <mergeCell ref="G86:H86"/>
    <mergeCell ref="G87:H87"/>
    <mergeCell ref="A24:B24"/>
    <mergeCell ref="G24:H24"/>
    <mergeCell ref="A25:B25"/>
    <mergeCell ref="G25:H25"/>
    <mergeCell ref="B30:C30"/>
    <mergeCell ref="H30:I30"/>
    <mergeCell ref="B1:C1"/>
    <mergeCell ref="H1:I1"/>
    <mergeCell ref="A22:B22"/>
    <mergeCell ref="G22:H22"/>
    <mergeCell ref="A23:B23"/>
    <mergeCell ref="G23:H23"/>
  </mergeCells>
  <conditionalFormatting sqref="C155">
    <cfRule type="expression" dxfId="313" priority="11">
      <formula>#REF!="عجز"</formula>
    </cfRule>
    <cfRule type="expression" dxfId="312" priority="12">
      <formula>#REF!="زيادة"</formula>
    </cfRule>
  </conditionalFormatting>
  <conditionalFormatting sqref="C197">
    <cfRule type="expression" dxfId="311" priority="3">
      <formula>#REF!="عجز"</formula>
    </cfRule>
    <cfRule type="expression" dxfId="310" priority="4">
      <formula>#REF!="زيادة"</formula>
    </cfRule>
  </conditionalFormatting>
  <conditionalFormatting sqref="D20 J20 C26 I26 D52 J52 C58 I58 J84 C87 I90:I91 D116 C122">
    <cfRule type="expression" dxfId="309" priority="19">
      <formula>#REF!="عجز"</formula>
    </cfRule>
    <cfRule type="expression" dxfId="308" priority="20">
      <formula>#REF!="زيادة"</formula>
    </cfRule>
  </conditionalFormatting>
  <conditionalFormatting sqref="D81">
    <cfRule type="expression" dxfId="307" priority="15">
      <formula>#REF!="عجز"</formula>
    </cfRule>
    <cfRule type="expression" dxfId="306" priority="16">
      <formula>#REF!="زيادة"</formula>
    </cfRule>
  </conditionalFormatting>
  <conditionalFormatting sqref="D149">
    <cfRule type="expression" dxfId="305" priority="9">
      <formula>#REF!="عجز"</formula>
    </cfRule>
    <cfRule type="expression" dxfId="304" priority="10">
      <formula>#REF!="زيادة"</formula>
    </cfRule>
  </conditionalFormatting>
  <conditionalFormatting sqref="D191">
    <cfRule type="expression" dxfId="303" priority="1">
      <formula>#REF!="عجز"</formula>
    </cfRule>
    <cfRule type="expression" dxfId="302" priority="2">
      <formula>#REF!="زيادة"</formula>
    </cfRule>
  </conditionalFormatting>
  <conditionalFormatting sqref="I122">
    <cfRule type="expression" dxfId="301" priority="17">
      <formula>#REF!="عجز"</formula>
    </cfRule>
    <cfRule type="expression" dxfId="300" priority="18">
      <formula>#REF!="زيادة"</formula>
    </cfRule>
  </conditionalFormatting>
  <conditionalFormatting sqref="I155">
    <cfRule type="expression" dxfId="299" priority="7">
      <formula>#REF!="عجز"</formula>
    </cfRule>
    <cfRule type="expression" dxfId="298" priority="8">
      <formula>#REF!="زيادة"</formula>
    </cfRule>
  </conditionalFormatting>
  <conditionalFormatting sqref="J116">
    <cfRule type="expression" dxfId="297" priority="13">
      <formula>#REF!="عجز"</formula>
    </cfRule>
    <cfRule type="expression" dxfId="296" priority="14">
      <formula>#REF!="زيادة"</formula>
    </cfRule>
  </conditionalFormatting>
  <conditionalFormatting sqref="J149">
    <cfRule type="expression" dxfId="295" priority="5">
      <formula>#REF!="عجز"</formula>
    </cfRule>
    <cfRule type="expression" dxfId="294" priority="6">
      <formula>#REF!="زيادة"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DAFF-1A03-4988-B11D-DAC4D14E32FC}">
  <sheetPr codeName="Sheet8"/>
  <dimension ref="A1:K157"/>
  <sheetViews>
    <sheetView rightToLeft="1" topLeftCell="A121" zoomScale="85" zoomScaleNormal="85" workbookViewId="0">
      <selection activeCell="H8" sqref="H8"/>
    </sheetView>
  </sheetViews>
  <sheetFormatPr defaultRowHeight="15" x14ac:dyDescent="0.25"/>
  <cols>
    <col min="1" max="1" width="39.140625" customWidth="1"/>
    <col min="2" max="2" width="11.7109375" bestFit="1" customWidth="1"/>
    <col min="3" max="3" width="26.7109375" customWidth="1"/>
    <col min="4" max="4" width="8" bestFit="1" customWidth="1"/>
    <col min="5" max="5" width="10" customWidth="1"/>
    <col min="7" max="7" width="39.140625" customWidth="1"/>
    <col min="8" max="8" width="11.7109375" bestFit="1" customWidth="1"/>
    <col min="9" max="9" width="26.7109375" customWidth="1"/>
    <col min="10" max="10" width="8" bestFit="1" customWidth="1"/>
    <col min="11" max="11" width="10" customWidth="1"/>
  </cols>
  <sheetData>
    <row r="1" spans="1:10" ht="24" thickBot="1" x14ac:dyDescent="0.3">
      <c r="A1" s="76" t="s">
        <v>300</v>
      </c>
      <c r="B1" s="460">
        <v>45126</v>
      </c>
      <c r="C1" s="461"/>
      <c r="G1" s="76" t="s">
        <v>80</v>
      </c>
      <c r="H1" s="460">
        <v>45126</v>
      </c>
      <c r="I1" s="461"/>
    </row>
    <row r="2" spans="1:10" ht="21" thickBot="1" x14ac:dyDescent="0.3">
      <c r="A2" s="53" t="s">
        <v>137</v>
      </c>
      <c r="B2" s="53" t="s">
        <v>3</v>
      </c>
      <c r="C2" s="53" t="s">
        <v>138</v>
      </c>
      <c r="G2" s="53" t="s">
        <v>137</v>
      </c>
      <c r="H2" s="53" t="s">
        <v>3</v>
      </c>
      <c r="I2" s="53" t="s">
        <v>138</v>
      </c>
    </row>
    <row r="3" spans="1:10" ht="18" x14ac:dyDescent="0.25">
      <c r="A3" s="337">
        <f>5000+1400+320</f>
        <v>6720</v>
      </c>
      <c r="B3" s="342">
        <v>1100</v>
      </c>
      <c r="C3" s="343" t="s">
        <v>1188</v>
      </c>
      <c r="G3" s="336">
        <f>3650+140+500-320-1890</f>
        <v>2080</v>
      </c>
      <c r="H3" s="345">
        <v>320</v>
      </c>
      <c r="I3" s="346" t="s">
        <v>1195</v>
      </c>
    </row>
    <row r="4" spans="1:10" ht="18" x14ac:dyDescent="0.25">
      <c r="A4" s="338"/>
      <c r="B4" s="344">
        <v>1445</v>
      </c>
      <c r="C4" s="344" t="s">
        <v>314</v>
      </c>
      <c r="G4" s="60"/>
      <c r="H4" s="347">
        <v>255</v>
      </c>
      <c r="I4" s="346" t="s">
        <v>1189</v>
      </c>
    </row>
    <row r="5" spans="1:10" ht="18" x14ac:dyDescent="0.25">
      <c r="A5" s="338"/>
      <c r="B5" s="342">
        <v>145</v>
      </c>
      <c r="C5" s="342" t="s">
        <v>27</v>
      </c>
      <c r="G5" s="60"/>
      <c r="H5" s="348">
        <v>115</v>
      </c>
      <c r="I5" s="348" t="s">
        <v>19</v>
      </c>
    </row>
    <row r="6" spans="1:10" ht="18" x14ac:dyDescent="0.25">
      <c r="A6" s="338"/>
      <c r="B6" s="344">
        <v>1510</v>
      </c>
      <c r="C6" s="342" t="s">
        <v>12</v>
      </c>
      <c r="G6" s="60"/>
      <c r="H6" s="347">
        <v>120</v>
      </c>
      <c r="I6" s="348" t="s">
        <v>393</v>
      </c>
    </row>
    <row r="7" spans="1:10" ht="18" x14ac:dyDescent="0.25">
      <c r="A7" s="338"/>
      <c r="B7" s="342">
        <v>3657</v>
      </c>
      <c r="C7" s="344" t="s">
        <v>77</v>
      </c>
      <c r="G7" s="60"/>
      <c r="H7" s="347">
        <v>590</v>
      </c>
      <c r="I7" s="347" t="s">
        <v>56</v>
      </c>
    </row>
    <row r="8" spans="1:10" ht="18" x14ac:dyDescent="0.25">
      <c r="A8" s="338"/>
      <c r="B8" s="342">
        <v>280</v>
      </c>
      <c r="C8" s="344" t="s">
        <v>8</v>
      </c>
      <c r="G8" s="60"/>
      <c r="H8" s="347">
        <v>525</v>
      </c>
      <c r="I8" s="347" t="s">
        <v>11</v>
      </c>
    </row>
    <row r="9" spans="1:10" ht="18" x14ac:dyDescent="0.25">
      <c r="A9" s="338"/>
      <c r="B9" s="344">
        <v>123</v>
      </c>
      <c r="C9" s="344" t="s">
        <v>10</v>
      </c>
      <c r="G9" s="60"/>
      <c r="H9" s="347">
        <v>3540</v>
      </c>
      <c r="I9" s="347" t="s">
        <v>1190</v>
      </c>
    </row>
    <row r="10" spans="1:10" ht="18" x14ac:dyDescent="0.25">
      <c r="A10" s="338"/>
      <c r="B10" s="344">
        <v>100</v>
      </c>
      <c r="C10" s="344" t="s">
        <v>33</v>
      </c>
      <c r="G10" s="60"/>
      <c r="H10" s="347">
        <v>440</v>
      </c>
      <c r="I10" s="347" t="s">
        <v>1032</v>
      </c>
    </row>
    <row r="11" spans="1:10" ht="18" x14ac:dyDescent="0.25">
      <c r="A11" s="339"/>
      <c r="B11" s="339"/>
      <c r="C11" s="339"/>
      <c r="G11" s="60"/>
      <c r="H11" s="347">
        <v>1000</v>
      </c>
      <c r="I11" s="347" t="s">
        <v>1191</v>
      </c>
    </row>
    <row r="12" spans="1:10" ht="18" x14ac:dyDescent="0.25">
      <c r="A12" s="339"/>
      <c r="B12" s="339"/>
      <c r="C12" s="339"/>
      <c r="G12" s="60"/>
      <c r="H12" s="347">
        <v>320</v>
      </c>
      <c r="I12" s="347" t="s">
        <v>61</v>
      </c>
    </row>
    <row r="13" spans="1:10" ht="18" x14ac:dyDescent="0.25">
      <c r="A13" s="339"/>
      <c r="B13" s="339"/>
      <c r="C13" s="339"/>
      <c r="G13" s="60"/>
      <c r="H13" s="347">
        <v>625</v>
      </c>
      <c r="I13" s="347" t="s">
        <v>1192</v>
      </c>
      <c r="J13" s="341"/>
    </row>
    <row r="14" spans="1:10" ht="18" x14ac:dyDescent="0.25">
      <c r="A14" s="339"/>
      <c r="B14" s="340"/>
      <c r="C14" s="340"/>
      <c r="G14" s="60"/>
      <c r="H14" s="347">
        <v>670</v>
      </c>
      <c r="I14" s="347" t="s">
        <v>317</v>
      </c>
    </row>
    <row r="15" spans="1:10" ht="18" x14ac:dyDescent="0.25">
      <c r="A15" s="339"/>
      <c r="B15" s="340"/>
      <c r="C15" s="340"/>
      <c r="G15" s="60"/>
      <c r="H15" s="347">
        <v>270</v>
      </c>
      <c r="I15" s="347" t="s">
        <v>313</v>
      </c>
    </row>
    <row r="16" spans="1:10" ht="18" x14ac:dyDescent="0.25">
      <c r="A16" s="339"/>
      <c r="B16" s="339"/>
      <c r="C16" s="339"/>
      <c r="G16" s="60"/>
      <c r="H16" s="347">
        <v>890</v>
      </c>
      <c r="I16" s="347" t="s">
        <v>331</v>
      </c>
    </row>
    <row r="17" spans="1:11" ht="18" x14ac:dyDescent="0.25">
      <c r="A17" s="338"/>
      <c r="B17" s="339"/>
      <c r="C17" s="339"/>
      <c r="G17" s="60"/>
      <c r="H17" s="347">
        <v>1148</v>
      </c>
      <c r="I17" s="347" t="s">
        <v>1193</v>
      </c>
    </row>
    <row r="18" spans="1:11" ht="18" x14ac:dyDescent="0.25">
      <c r="A18" s="338"/>
      <c r="B18" s="339"/>
      <c r="C18" s="339"/>
      <c r="G18" s="60"/>
      <c r="H18" s="347">
        <v>1890</v>
      </c>
      <c r="I18" s="347" t="s">
        <v>275</v>
      </c>
    </row>
    <row r="19" spans="1:11" ht="18.75" thickBot="1" x14ac:dyDescent="0.3">
      <c r="A19" s="338"/>
      <c r="B19" s="339"/>
      <c r="C19" s="339"/>
      <c r="G19" s="60"/>
      <c r="H19" s="347">
        <v>14</v>
      </c>
      <c r="I19" s="347" t="s">
        <v>1194</v>
      </c>
    </row>
    <row r="20" spans="1:11" ht="24" thickBot="1" x14ac:dyDescent="0.3">
      <c r="A20" s="66"/>
      <c r="B20" s="56"/>
      <c r="C20" s="64"/>
      <c r="D20" s="314" t="str">
        <f>IF(D18&gt;0,"زيادة","عجز")</f>
        <v>عجز</v>
      </c>
      <c r="E20" s="99">
        <f>E22-E21:E21</f>
        <v>-13</v>
      </c>
      <c r="G20" s="66"/>
      <c r="H20" s="56"/>
      <c r="I20" s="64"/>
      <c r="J20" s="314" t="str">
        <f>IF(J18&gt;0,"زيادة","عجز")</f>
        <v>عجز</v>
      </c>
      <c r="K20" s="99">
        <f>K22-K21:K21</f>
        <v>-68</v>
      </c>
    </row>
    <row r="21" spans="1:11" ht="24" thickBot="1" x14ac:dyDescent="0.3">
      <c r="A21" s="68">
        <f>SUM(A3:A20)</f>
        <v>6720</v>
      </c>
      <c r="B21" s="69">
        <f>SUM(B3:B20)</f>
        <v>8360</v>
      </c>
      <c r="D21" s="135" t="s">
        <v>94</v>
      </c>
      <c r="E21" s="99">
        <f>4416-2660</f>
        <v>1756</v>
      </c>
      <c r="G21" s="68">
        <f>SUM(G3:G20)</f>
        <v>2080</v>
      </c>
      <c r="H21" s="69">
        <f>SUM(H3:H20)</f>
        <v>12732</v>
      </c>
      <c r="J21" s="135" t="s">
        <v>94</v>
      </c>
      <c r="K21" s="99">
        <f>2660-2072</f>
        <v>588</v>
      </c>
    </row>
    <row r="22" spans="1:11" ht="21.75" thickBot="1" x14ac:dyDescent="0.3">
      <c r="A22" s="462" t="s">
        <v>139</v>
      </c>
      <c r="B22" s="463"/>
      <c r="C22" s="71" t="s">
        <v>75</v>
      </c>
      <c r="D22" s="136" t="s">
        <v>65</v>
      </c>
      <c r="E22" s="85">
        <f>3+1450+290</f>
        <v>1743</v>
      </c>
      <c r="G22" s="462" t="s">
        <v>139</v>
      </c>
      <c r="H22" s="463"/>
      <c r="I22" s="71" t="s">
        <v>75</v>
      </c>
      <c r="J22" s="136" t="s">
        <v>65</v>
      </c>
      <c r="K22" s="85">
        <f>400+120</f>
        <v>520</v>
      </c>
    </row>
    <row r="23" spans="1:11" ht="24" thickBot="1" x14ac:dyDescent="0.3">
      <c r="A23" s="464">
        <f>B21+A21</f>
        <v>15080</v>
      </c>
      <c r="B23" s="465"/>
      <c r="C23" s="313">
        <f>144+281</f>
        <v>425</v>
      </c>
      <c r="D23" s="82" t="s">
        <v>471</v>
      </c>
      <c r="E23" s="83">
        <v>20</v>
      </c>
      <c r="G23" s="464">
        <f>H21+G21</f>
        <v>14812</v>
      </c>
      <c r="H23" s="465"/>
      <c r="I23" s="313"/>
      <c r="J23" s="82"/>
      <c r="K23" s="83"/>
    </row>
    <row r="24" spans="1:11" ht="24" thickBot="1" x14ac:dyDescent="0.3">
      <c r="A24" s="466" t="s">
        <v>99</v>
      </c>
      <c r="B24" s="467"/>
      <c r="C24" s="78">
        <f>A25-C25</f>
        <v>51</v>
      </c>
      <c r="D24" s="82"/>
      <c r="E24" s="83"/>
      <c r="G24" s="466" t="s">
        <v>99</v>
      </c>
      <c r="H24" s="467"/>
      <c r="I24" s="78">
        <f>G25-I25</f>
        <v>425</v>
      </c>
      <c r="J24" s="82"/>
      <c r="K24" s="83"/>
    </row>
    <row r="25" spans="1:11" ht="24" thickBot="1" x14ac:dyDescent="0.3">
      <c r="A25" s="468">
        <f>C23+A23</f>
        <v>15505</v>
      </c>
      <c r="B25" s="469"/>
      <c r="C25" s="121">
        <v>15454</v>
      </c>
      <c r="D25" s="82" t="s">
        <v>164</v>
      </c>
      <c r="E25" s="83">
        <f>SUM(E22:E24)</f>
        <v>1763</v>
      </c>
      <c r="G25" s="468">
        <f>I23+G23</f>
        <v>14812</v>
      </c>
      <c r="H25" s="469"/>
      <c r="I25" s="121">
        <v>14387</v>
      </c>
      <c r="J25" s="82" t="s">
        <v>164</v>
      </c>
      <c r="K25" s="83">
        <f>SUM(K22:K24)</f>
        <v>520</v>
      </c>
    </row>
    <row r="26" spans="1:11" ht="24" thickBot="1" x14ac:dyDescent="0.3">
      <c r="C26" s="314" t="str">
        <f>IF(C24&gt;0,"زيادة","عجز")</f>
        <v>زيادة</v>
      </c>
      <c r="D26" s="318"/>
      <c r="I26" s="314" t="str">
        <f>IF(I24&gt;0,"زيادة","عجز")</f>
        <v>زيادة</v>
      </c>
      <c r="J26" s="318"/>
    </row>
    <row r="27" spans="1:11" x14ac:dyDescent="0.25">
      <c r="G27">
        <f>4+5+10+8+2+35+54+81+240+17+25+30+6+13+10+16+5+10+145+35+95+4+33+20+185+50+9+12+20+18+25+5+39+33+58+20+10+32+8+135+20+5+14+10+6+20+187+151+20+10+32+5+10+48+4+49+5+20+5+66+30+43+5+5+28-160-165</f>
        <v>2035</v>
      </c>
    </row>
    <row r="29" spans="1:11" ht="15.75" thickBot="1" x14ac:dyDescent="0.3"/>
    <row r="30" spans="1:11" ht="24" thickBot="1" x14ac:dyDescent="0.3">
      <c r="A30" s="76" t="s">
        <v>363</v>
      </c>
      <c r="B30" s="460">
        <v>45125</v>
      </c>
      <c r="C30" s="461"/>
      <c r="G30" s="76" t="s">
        <v>88</v>
      </c>
      <c r="H30" s="460">
        <v>45124</v>
      </c>
      <c r="I30" s="461"/>
    </row>
    <row r="31" spans="1:11" ht="21" thickBot="1" x14ac:dyDescent="0.3">
      <c r="A31" s="53" t="s">
        <v>137</v>
      </c>
      <c r="B31" s="53" t="s">
        <v>3</v>
      </c>
      <c r="C31" s="53" t="s">
        <v>138</v>
      </c>
      <c r="G31" s="53" t="s">
        <v>137</v>
      </c>
      <c r="H31" s="53" t="s">
        <v>3</v>
      </c>
      <c r="I31" s="53" t="s">
        <v>138</v>
      </c>
    </row>
    <row r="32" spans="1:11" ht="18" x14ac:dyDescent="0.25">
      <c r="A32" s="55"/>
      <c r="B32" s="57"/>
      <c r="C32" s="56"/>
      <c r="G32" s="55"/>
      <c r="H32" s="77"/>
      <c r="I32" s="57"/>
    </row>
    <row r="33" spans="1:9" ht="18" x14ac:dyDescent="0.25">
      <c r="A33" s="60"/>
      <c r="B33" s="56"/>
      <c r="C33" s="56"/>
      <c r="G33" s="60"/>
      <c r="H33" s="56"/>
      <c r="I33" s="57"/>
    </row>
    <row r="34" spans="1:9" ht="18" x14ac:dyDescent="0.25">
      <c r="A34" s="60"/>
      <c r="B34" s="77"/>
      <c r="C34" s="56"/>
      <c r="G34" s="60"/>
      <c r="H34" s="77"/>
      <c r="I34" s="77"/>
    </row>
    <row r="35" spans="1:9" ht="18" x14ac:dyDescent="0.25">
      <c r="A35" s="60"/>
      <c r="B35" s="77"/>
      <c r="C35" s="56"/>
      <c r="G35" s="60"/>
      <c r="H35" s="56"/>
      <c r="I35" s="77"/>
    </row>
    <row r="36" spans="1:9" ht="18" x14ac:dyDescent="0.25">
      <c r="A36" s="60"/>
      <c r="B36" s="56"/>
      <c r="C36" s="56"/>
      <c r="G36" s="60"/>
      <c r="H36" s="77"/>
      <c r="I36" s="56"/>
    </row>
    <row r="37" spans="1:9" ht="18" x14ac:dyDescent="0.25">
      <c r="A37" s="60"/>
      <c r="B37" s="77"/>
      <c r="C37" s="56"/>
      <c r="G37" s="60"/>
      <c r="H37" s="77"/>
      <c r="I37" s="56"/>
    </row>
    <row r="38" spans="1:9" ht="18" x14ac:dyDescent="0.25">
      <c r="A38" s="60"/>
      <c r="B38" s="56"/>
      <c r="C38" s="56"/>
      <c r="G38" s="60"/>
      <c r="H38" s="56"/>
      <c r="I38" s="56"/>
    </row>
    <row r="39" spans="1:9" ht="18" x14ac:dyDescent="0.25">
      <c r="A39" s="60"/>
      <c r="B39" s="56"/>
      <c r="C39" s="56"/>
      <c r="G39" s="60"/>
      <c r="H39" s="56"/>
      <c r="I39" s="56"/>
    </row>
    <row r="40" spans="1:9" ht="18" x14ac:dyDescent="0.25">
      <c r="A40" s="60"/>
      <c r="B40" s="56"/>
      <c r="C40" s="56"/>
      <c r="G40" s="60"/>
      <c r="H40" s="56"/>
      <c r="I40" s="56"/>
    </row>
    <row r="41" spans="1:9" ht="18" x14ac:dyDescent="0.25">
      <c r="A41" s="60"/>
      <c r="B41" s="56"/>
      <c r="C41" s="56"/>
      <c r="G41" s="60"/>
      <c r="H41" s="56"/>
      <c r="I41" s="56"/>
    </row>
    <row r="42" spans="1:9" ht="18" x14ac:dyDescent="0.25">
      <c r="A42" s="60"/>
      <c r="B42" s="56"/>
      <c r="C42" s="56"/>
      <c r="G42" s="60"/>
      <c r="H42" s="56"/>
      <c r="I42" s="56"/>
    </row>
    <row r="43" spans="1:9" ht="18" x14ac:dyDescent="0.25">
      <c r="A43" s="60"/>
      <c r="B43" s="56"/>
      <c r="C43" s="56"/>
      <c r="G43" s="60"/>
      <c r="H43" s="56"/>
      <c r="I43" s="56"/>
    </row>
    <row r="44" spans="1:9" ht="18" x14ac:dyDescent="0.25">
      <c r="A44" s="60"/>
      <c r="B44" s="56"/>
      <c r="C44" s="56"/>
      <c r="G44" s="60"/>
      <c r="H44" s="56"/>
      <c r="I44" s="56"/>
    </row>
    <row r="45" spans="1:9" ht="18" x14ac:dyDescent="0.25">
      <c r="A45" s="60"/>
      <c r="B45" s="56"/>
      <c r="C45" s="56"/>
      <c r="G45" s="60"/>
      <c r="H45" s="56"/>
      <c r="I45" s="56"/>
    </row>
    <row r="46" spans="1:9" ht="18" x14ac:dyDescent="0.25">
      <c r="A46" s="60"/>
      <c r="B46" s="56"/>
      <c r="C46" s="56"/>
      <c r="G46" s="60"/>
      <c r="H46" s="56"/>
      <c r="I46" s="56"/>
    </row>
    <row r="47" spans="1:9" ht="18" x14ac:dyDescent="0.25">
      <c r="A47" s="60"/>
      <c r="B47" s="56"/>
      <c r="C47" s="56"/>
      <c r="G47" s="60"/>
      <c r="H47" s="56"/>
      <c r="I47" s="56"/>
    </row>
    <row r="48" spans="1:9" ht="18" x14ac:dyDescent="0.25">
      <c r="A48" s="60"/>
      <c r="B48" s="56"/>
      <c r="C48" s="56"/>
      <c r="G48" s="60"/>
      <c r="H48" s="56"/>
      <c r="I48" s="56"/>
    </row>
    <row r="49" spans="1:11" ht="18" x14ac:dyDescent="0.25">
      <c r="A49" s="60"/>
      <c r="B49" s="56"/>
      <c r="C49" s="56"/>
      <c r="G49" s="60"/>
      <c r="H49" s="56"/>
      <c r="I49" s="56"/>
    </row>
    <row r="50" spans="1:11" ht="18" x14ac:dyDescent="0.25">
      <c r="A50" s="60"/>
      <c r="B50" s="56"/>
      <c r="C50" s="56"/>
      <c r="G50" s="60"/>
      <c r="H50" s="56"/>
      <c r="I50" s="56"/>
    </row>
    <row r="51" spans="1:11" ht="18.75" thickBot="1" x14ac:dyDescent="0.3">
      <c r="A51" s="60"/>
      <c r="B51" s="56"/>
      <c r="C51" s="56"/>
      <c r="G51" s="60"/>
      <c r="I51" s="56"/>
    </row>
    <row r="52" spans="1:11" ht="24" thickBot="1" x14ac:dyDescent="0.3">
      <c r="A52" s="66"/>
      <c r="B52" s="56"/>
      <c r="C52" s="64"/>
      <c r="D52" s="314" t="str">
        <f>IF(D50&gt;0,"زيادة","عجز")</f>
        <v>عجز</v>
      </c>
      <c r="E52" s="99">
        <f>E54-E53:E53</f>
        <v>0</v>
      </c>
      <c r="G52" s="66"/>
      <c r="H52" s="56"/>
      <c r="I52" s="64"/>
      <c r="J52" s="314" t="str">
        <f>IF(J50&gt;0,"زيادة","عجز")</f>
        <v>عجز</v>
      </c>
      <c r="K52" s="99">
        <f>K54-K53:K53</f>
        <v>0</v>
      </c>
    </row>
    <row r="53" spans="1:11" ht="24" thickBot="1" x14ac:dyDescent="0.3">
      <c r="A53" s="68">
        <f>SUM(A32:A52)</f>
        <v>0</v>
      </c>
      <c r="B53" s="69">
        <f>SUM(B32:B52)</f>
        <v>0</v>
      </c>
      <c r="D53" s="135" t="s">
        <v>94</v>
      </c>
      <c r="E53" s="99"/>
      <c r="G53" s="68">
        <f>SUM(G32:G52)</f>
        <v>0</v>
      </c>
      <c r="H53" s="69">
        <f>SUM(H32:H52)</f>
        <v>0</v>
      </c>
      <c r="J53" s="135" t="s">
        <v>94</v>
      </c>
      <c r="K53" s="99"/>
    </row>
    <row r="54" spans="1:11" ht="21.75" thickBot="1" x14ac:dyDescent="0.3">
      <c r="A54" s="462" t="s">
        <v>139</v>
      </c>
      <c r="B54" s="463"/>
      <c r="C54" s="71" t="s">
        <v>75</v>
      </c>
      <c r="D54" s="136" t="s">
        <v>65</v>
      </c>
      <c r="E54" s="85"/>
      <c r="G54" s="462" t="s">
        <v>139</v>
      </c>
      <c r="H54" s="463"/>
      <c r="I54" s="71" t="s">
        <v>75</v>
      </c>
      <c r="J54" s="136" t="s">
        <v>65</v>
      </c>
      <c r="K54" s="85"/>
    </row>
    <row r="55" spans="1:11" ht="24" thickBot="1" x14ac:dyDescent="0.3">
      <c r="A55" s="464">
        <f>B53+A53</f>
        <v>0</v>
      </c>
      <c r="B55" s="465"/>
      <c r="C55" s="313"/>
      <c r="D55" s="82"/>
      <c r="E55" s="83"/>
      <c r="G55" s="464">
        <f>H53+G53</f>
        <v>0</v>
      </c>
      <c r="H55" s="465"/>
      <c r="I55" s="313"/>
      <c r="J55" s="82"/>
      <c r="K55" s="83"/>
    </row>
    <row r="56" spans="1:11" ht="24" thickBot="1" x14ac:dyDescent="0.3">
      <c r="A56" s="466" t="s">
        <v>99</v>
      </c>
      <c r="B56" s="467"/>
      <c r="C56" s="78">
        <f>A57-C57</f>
        <v>0</v>
      </c>
      <c r="D56" s="82"/>
      <c r="E56" s="83"/>
      <c r="G56" s="466" t="s">
        <v>99</v>
      </c>
      <c r="H56" s="467"/>
      <c r="I56" s="78">
        <f>G57-I57</f>
        <v>0</v>
      </c>
      <c r="J56" s="82"/>
      <c r="K56" s="83"/>
    </row>
    <row r="57" spans="1:11" ht="24" thickBot="1" x14ac:dyDescent="0.3">
      <c r="A57" s="468">
        <f>C55+A55</f>
        <v>0</v>
      </c>
      <c r="B57" s="469"/>
      <c r="C57" s="121"/>
      <c r="D57" s="82" t="s">
        <v>164</v>
      </c>
      <c r="E57" s="83">
        <f>SUM(E54:E56)</f>
        <v>0</v>
      </c>
      <c r="G57" s="468">
        <f>I55+G55</f>
        <v>0</v>
      </c>
      <c r="H57" s="469"/>
      <c r="I57" s="121"/>
      <c r="J57" s="82" t="s">
        <v>164</v>
      </c>
      <c r="K57" s="83">
        <f>SUM(K54:K56)</f>
        <v>0</v>
      </c>
    </row>
    <row r="58" spans="1:11" ht="24" thickBot="1" x14ac:dyDescent="0.3">
      <c r="C58" s="314" t="str">
        <f>IF(C56&gt;0,"زيادة","عجز")</f>
        <v>عجز</v>
      </c>
      <c r="D58" s="318"/>
      <c r="I58" s="314" t="str">
        <f>IF(I56&gt;0,"زيادة","عجز")</f>
        <v>عجز</v>
      </c>
      <c r="J58" s="318"/>
    </row>
    <row r="62" spans="1:11" ht="15.75" thickBot="1" x14ac:dyDescent="0.3"/>
    <row r="63" spans="1:11" ht="24" thickBot="1" x14ac:dyDescent="0.3">
      <c r="A63" s="76" t="s">
        <v>1162</v>
      </c>
      <c r="B63" s="460">
        <v>45125</v>
      </c>
      <c r="C63" s="461"/>
      <c r="G63" s="76" t="s">
        <v>15</v>
      </c>
      <c r="H63" s="460">
        <v>45125</v>
      </c>
      <c r="I63" s="461"/>
    </row>
    <row r="64" spans="1:11" ht="21" thickBot="1" x14ac:dyDescent="0.3">
      <c r="A64" s="53" t="s">
        <v>137</v>
      </c>
      <c r="B64" s="53" t="s">
        <v>3</v>
      </c>
      <c r="C64" s="53" t="s">
        <v>138</v>
      </c>
      <c r="G64" s="53" t="s">
        <v>137</v>
      </c>
      <c r="H64" s="53" t="s">
        <v>3</v>
      </c>
      <c r="I64" s="53" t="s">
        <v>138</v>
      </c>
    </row>
    <row r="65" spans="1:9" ht="18" x14ac:dyDescent="0.25">
      <c r="A65" s="55"/>
      <c r="B65" s="57"/>
      <c r="C65" s="56"/>
      <c r="G65" s="55"/>
      <c r="H65" s="77"/>
      <c r="I65" s="57"/>
    </row>
    <row r="66" spans="1:9" ht="18" x14ac:dyDescent="0.25">
      <c r="A66" s="60"/>
      <c r="B66" s="56"/>
      <c r="C66" s="56"/>
      <c r="G66" s="60"/>
      <c r="H66" s="56"/>
      <c r="I66" s="57"/>
    </row>
    <row r="67" spans="1:9" ht="18" x14ac:dyDescent="0.25">
      <c r="A67" s="60"/>
      <c r="B67" s="77"/>
      <c r="C67" s="56"/>
      <c r="G67" s="60"/>
      <c r="H67" s="77"/>
      <c r="I67" s="77"/>
    </row>
    <row r="68" spans="1:9" ht="18" x14ac:dyDescent="0.25">
      <c r="A68" s="60"/>
      <c r="B68" s="77"/>
      <c r="C68" s="56"/>
      <c r="G68" s="60"/>
      <c r="H68" s="56"/>
      <c r="I68" s="77"/>
    </row>
    <row r="69" spans="1:9" ht="18" x14ac:dyDescent="0.25">
      <c r="A69" s="60"/>
      <c r="B69" s="56"/>
      <c r="C69" s="56"/>
      <c r="G69" s="60"/>
      <c r="H69" s="77"/>
      <c r="I69" s="56"/>
    </row>
    <row r="70" spans="1:9" ht="18" x14ac:dyDescent="0.25">
      <c r="A70" s="60"/>
      <c r="B70" s="77"/>
      <c r="C70" s="56"/>
      <c r="G70" s="60"/>
      <c r="H70" s="77"/>
      <c r="I70" s="56"/>
    </row>
    <row r="71" spans="1:9" ht="18" x14ac:dyDescent="0.25">
      <c r="A71" s="60"/>
      <c r="B71" s="56"/>
      <c r="C71" s="56"/>
      <c r="G71" s="60"/>
      <c r="H71" s="56"/>
      <c r="I71" s="56"/>
    </row>
    <row r="72" spans="1:9" ht="18" x14ac:dyDescent="0.25">
      <c r="A72" s="60"/>
      <c r="B72" s="56"/>
      <c r="C72" s="56"/>
      <c r="G72" s="60"/>
      <c r="H72" s="56"/>
      <c r="I72" s="56"/>
    </row>
    <row r="73" spans="1:9" ht="18" x14ac:dyDescent="0.25">
      <c r="A73" s="60"/>
      <c r="B73" s="56"/>
      <c r="C73" s="56"/>
      <c r="G73" s="60"/>
      <c r="H73" s="56"/>
      <c r="I73" s="56"/>
    </row>
    <row r="74" spans="1:9" ht="18" x14ac:dyDescent="0.25">
      <c r="A74" s="60"/>
      <c r="B74" s="56"/>
      <c r="C74" s="56"/>
      <c r="G74" s="60"/>
      <c r="H74" s="56"/>
      <c r="I74" s="56"/>
    </row>
    <row r="75" spans="1:9" ht="18" x14ac:dyDescent="0.25">
      <c r="A75" s="60"/>
      <c r="B75" s="56"/>
      <c r="C75" s="56"/>
      <c r="G75" s="60"/>
      <c r="H75" s="56"/>
      <c r="I75" s="56"/>
    </row>
    <row r="76" spans="1:9" ht="18" x14ac:dyDescent="0.25">
      <c r="A76" s="60"/>
      <c r="B76" s="56"/>
      <c r="C76" s="56"/>
      <c r="G76" s="60"/>
      <c r="H76" s="56"/>
      <c r="I76" s="56"/>
    </row>
    <row r="77" spans="1:9" ht="18" x14ac:dyDescent="0.25">
      <c r="A77" s="60"/>
      <c r="B77" s="56"/>
      <c r="C77" s="56"/>
      <c r="G77" s="60"/>
      <c r="H77" s="56"/>
      <c r="I77" s="56"/>
    </row>
    <row r="78" spans="1:9" ht="18" x14ac:dyDescent="0.25">
      <c r="A78" s="60"/>
      <c r="B78" s="56"/>
      <c r="C78" s="56"/>
      <c r="G78" s="60"/>
      <c r="H78" s="56"/>
      <c r="I78" s="56"/>
    </row>
    <row r="79" spans="1:9" ht="18" x14ac:dyDescent="0.25">
      <c r="A79" s="60"/>
      <c r="B79" s="56"/>
      <c r="C79" s="56"/>
      <c r="G79" s="60"/>
      <c r="H79" s="56"/>
      <c r="I79" s="56"/>
    </row>
    <row r="80" spans="1:9" ht="18.75" thickBot="1" x14ac:dyDescent="0.3">
      <c r="A80" s="60"/>
      <c r="B80" s="56"/>
      <c r="C80" s="56"/>
      <c r="G80" s="60"/>
      <c r="H80" s="56"/>
      <c r="I80" s="56"/>
    </row>
    <row r="81" spans="1:11" ht="24" thickBot="1" x14ac:dyDescent="0.3">
      <c r="A81" s="66"/>
      <c r="B81" s="56"/>
      <c r="C81" s="64"/>
      <c r="D81" s="314" t="str">
        <f>IF(D79&gt;0,"زيادة","عجز")</f>
        <v>عجز</v>
      </c>
      <c r="E81" s="99">
        <f>E83-E82:E82</f>
        <v>0</v>
      </c>
      <c r="G81" s="66"/>
      <c r="H81" s="56"/>
      <c r="I81" s="64"/>
      <c r="J81" s="314" t="str">
        <f>IF(J79&gt;0,"زيادة","عجز")</f>
        <v>عجز</v>
      </c>
      <c r="K81" s="99">
        <f>K83-K82:K82</f>
        <v>0</v>
      </c>
    </row>
    <row r="82" spans="1:11" ht="24" thickBot="1" x14ac:dyDescent="0.3">
      <c r="A82" s="68">
        <f>SUM(A65:A81)</f>
        <v>0</v>
      </c>
      <c r="B82" s="69">
        <f>SUM(B65:B81)</f>
        <v>0</v>
      </c>
      <c r="D82" s="135" t="s">
        <v>94</v>
      </c>
      <c r="E82" s="99"/>
      <c r="G82" s="68">
        <f>SUM(G65:G81)</f>
        <v>0</v>
      </c>
      <c r="H82" s="69">
        <f>SUM(H65:H81)</f>
        <v>0</v>
      </c>
      <c r="J82" s="135" t="s">
        <v>94</v>
      </c>
      <c r="K82" s="99"/>
    </row>
    <row r="83" spans="1:11" ht="21.75" thickBot="1" x14ac:dyDescent="0.3">
      <c r="A83" s="462" t="s">
        <v>139</v>
      </c>
      <c r="B83" s="463"/>
      <c r="C83" s="71" t="s">
        <v>75</v>
      </c>
      <c r="D83" s="136" t="s">
        <v>65</v>
      </c>
      <c r="E83" s="85"/>
      <c r="G83" s="462" t="s">
        <v>139</v>
      </c>
      <c r="H83" s="463"/>
      <c r="I83" s="71" t="s">
        <v>75</v>
      </c>
      <c r="J83" s="136" t="s">
        <v>65</v>
      </c>
      <c r="K83" s="85"/>
    </row>
    <row r="84" spans="1:11" ht="24" thickBot="1" x14ac:dyDescent="0.3">
      <c r="A84" s="464">
        <f>B82+A82</f>
        <v>0</v>
      </c>
      <c r="B84" s="465"/>
      <c r="C84" s="313"/>
      <c r="D84" s="82"/>
      <c r="E84" s="83"/>
      <c r="G84" s="464">
        <f>H82+G82</f>
        <v>0</v>
      </c>
      <c r="H84" s="465"/>
      <c r="I84" s="313"/>
      <c r="J84" s="82"/>
      <c r="K84" s="83"/>
    </row>
    <row r="85" spans="1:11" ht="24" thickBot="1" x14ac:dyDescent="0.3">
      <c r="A85" s="466" t="s">
        <v>99</v>
      </c>
      <c r="B85" s="467"/>
      <c r="C85" s="78">
        <f>A86-C86</f>
        <v>0</v>
      </c>
      <c r="D85" s="82"/>
      <c r="E85" s="83"/>
      <c r="G85" s="466" t="s">
        <v>99</v>
      </c>
      <c r="H85" s="467"/>
      <c r="I85" s="78">
        <f>G86-I86</f>
        <v>0</v>
      </c>
      <c r="J85" s="82"/>
      <c r="K85" s="83"/>
    </row>
    <row r="86" spans="1:11" ht="24" thickBot="1" x14ac:dyDescent="0.3">
      <c r="A86" s="468">
        <f>C84+A84</f>
        <v>0</v>
      </c>
      <c r="B86" s="469"/>
      <c r="C86" s="121"/>
      <c r="D86" s="82" t="s">
        <v>164</v>
      </c>
      <c r="E86" s="83">
        <f>SUM(E83:E85)</f>
        <v>0</v>
      </c>
      <c r="G86" s="468">
        <f>I84+G84</f>
        <v>0</v>
      </c>
      <c r="H86" s="469"/>
      <c r="I86" s="121"/>
      <c r="J86" s="82" t="s">
        <v>164</v>
      </c>
      <c r="K86" s="83">
        <f>SUM(K83:K85)</f>
        <v>0</v>
      </c>
    </row>
    <row r="87" spans="1:11" ht="24" thickBot="1" x14ac:dyDescent="0.3">
      <c r="C87" s="314" t="str">
        <f>IF(C85&gt;0,"زيادة","عجز")</f>
        <v>عجز</v>
      </c>
      <c r="D87" s="318"/>
      <c r="I87" s="314" t="str">
        <f>IF(I85&gt;0,"زيادة","عجز")</f>
        <v>عجز</v>
      </c>
      <c r="J87" s="318"/>
    </row>
    <row r="93" spans="1:11" ht="15.75" thickBot="1" x14ac:dyDescent="0.3"/>
    <row r="94" spans="1:11" ht="24" thickBot="1" x14ac:dyDescent="0.3">
      <c r="A94" s="76" t="s">
        <v>24</v>
      </c>
      <c r="B94" s="460">
        <v>45125</v>
      </c>
      <c r="C94" s="461"/>
      <c r="G94" s="76" t="s">
        <v>6</v>
      </c>
      <c r="H94" s="460">
        <v>45125</v>
      </c>
      <c r="I94" s="461"/>
    </row>
    <row r="95" spans="1:11" ht="21" thickBot="1" x14ac:dyDescent="0.3">
      <c r="A95" s="53" t="s">
        <v>137</v>
      </c>
      <c r="B95" s="53" t="s">
        <v>3</v>
      </c>
      <c r="C95" s="53" t="s">
        <v>138</v>
      </c>
      <c r="G95" s="53" t="s">
        <v>137</v>
      </c>
      <c r="H95" s="53" t="s">
        <v>3</v>
      </c>
      <c r="I95" s="53" t="s">
        <v>138</v>
      </c>
    </row>
    <row r="96" spans="1:11" ht="18" x14ac:dyDescent="0.25">
      <c r="A96" s="55">
        <f>4000+550+470</f>
        <v>5020</v>
      </c>
      <c r="B96" s="77"/>
      <c r="C96" s="57"/>
      <c r="G96" s="55"/>
      <c r="H96" s="77"/>
      <c r="I96" s="57"/>
    </row>
    <row r="97" spans="1:11" ht="18" x14ac:dyDescent="0.25">
      <c r="A97" s="60"/>
      <c r="B97" s="56"/>
      <c r="C97" s="57"/>
      <c r="G97" s="60"/>
      <c r="H97" s="56"/>
      <c r="I97" s="57"/>
    </row>
    <row r="98" spans="1:11" ht="18" x14ac:dyDescent="0.25">
      <c r="A98" s="60"/>
      <c r="B98" s="77"/>
      <c r="C98" s="77"/>
      <c r="G98" s="60"/>
      <c r="H98" s="77"/>
      <c r="I98" s="77"/>
    </row>
    <row r="99" spans="1:11" ht="18" x14ac:dyDescent="0.25">
      <c r="A99" s="60"/>
      <c r="B99" s="56"/>
      <c r="C99" s="77"/>
      <c r="G99" s="60"/>
      <c r="H99" s="56"/>
      <c r="I99" s="77"/>
    </row>
    <row r="100" spans="1:11" ht="18" x14ac:dyDescent="0.25">
      <c r="A100" s="60"/>
      <c r="B100" s="77"/>
      <c r="C100" s="56"/>
      <c r="G100" s="60"/>
      <c r="H100" s="77"/>
      <c r="I100" s="56"/>
    </row>
    <row r="101" spans="1:11" ht="18" x14ac:dyDescent="0.25">
      <c r="A101" s="60"/>
      <c r="B101" s="77"/>
      <c r="C101" s="56"/>
      <c r="G101" s="60"/>
      <c r="H101" s="77"/>
      <c r="I101" s="56"/>
    </row>
    <row r="102" spans="1:11" ht="18" x14ac:dyDescent="0.25">
      <c r="A102" s="60"/>
      <c r="B102" s="56"/>
      <c r="C102" s="56"/>
      <c r="G102" s="60"/>
      <c r="H102" s="56"/>
      <c r="I102" s="56"/>
    </row>
    <row r="103" spans="1:11" ht="18" x14ac:dyDescent="0.25">
      <c r="A103" s="60"/>
      <c r="B103" s="56"/>
      <c r="C103" s="56"/>
      <c r="G103" s="60"/>
      <c r="H103" s="56"/>
      <c r="I103" s="56"/>
    </row>
    <row r="104" spans="1:11" ht="18" x14ac:dyDescent="0.25">
      <c r="A104" s="60"/>
      <c r="B104" s="56"/>
      <c r="C104" s="56"/>
      <c r="G104" s="60"/>
      <c r="H104" s="56"/>
      <c r="I104" s="56"/>
    </row>
    <row r="105" spans="1:11" ht="18" x14ac:dyDescent="0.25">
      <c r="A105" s="60"/>
      <c r="B105" s="56"/>
      <c r="C105" s="56"/>
      <c r="G105" s="60"/>
      <c r="H105" s="56"/>
      <c r="I105" s="56"/>
    </row>
    <row r="106" spans="1:11" ht="18" x14ac:dyDescent="0.25">
      <c r="A106" s="60"/>
      <c r="B106" s="56"/>
      <c r="C106" s="56"/>
      <c r="G106" s="60"/>
      <c r="H106" s="56"/>
      <c r="I106" s="56"/>
    </row>
    <row r="107" spans="1:11" ht="18" x14ac:dyDescent="0.25">
      <c r="A107" s="60"/>
      <c r="B107" s="56"/>
      <c r="C107" s="56"/>
      <c r="G107" s="60"/>
      <c r="H107" s="56"/>
      <c r="I107" s="56"/>
    </row>
    <row r="108" spans="1:11" ht="18" x14ac:dyDescent="0.25">
      <c r="A108" s="60"/>
      <c r="B108" s="56"/>
      <c r="C108" s="56"/>
      <c r="G108" s="60"/>
      <c r="H108" s="56"/>
      <c r="I108" s="56"/>
    </row>
    <row r="109" spans="1:11" ht="18" x14ac:dyDescent="0.25">
      <c r="A109" s="60"/>
      <c r="B109" s="56"/>
      <c r="C109" s="56"/>
      <c r="G109" s="60"/>
      <c r="H109" s="56"/>
      <c r="I109" s="56"/>
    </row>
    <row r="110" spans="1:11" ht="18" x14ac:dyDescent="0.25">
      <c r="A110" s="60"/>
      <c r="B110" s="56"/>
      <c r="C110" s="56"/>
      <c r="G110" s="60"/>
      <c r="H110" s="56"/>
      <c r="I110" s="56"/>
    </row>
    <row r="111" spans="1:11" ht="18.75" thickBot="1" x14ac:dyDescent="0.3">
      <c r="A111" s="60"/>
      <c r="B111" s="56"/>
      <c r="C111" s="56"/>
      <c r="G111" s="60"/>
      <c r="H111" s="56"/>
      <c r="I111" s="56"/>
    </row>
    <row r="112" spans="1:11" ht="24" thickBot="1" x14ac:dyDescent="0.3">
      <c r="A112" s="66"/>
      <c r="B112" s="56"/>
      <c r="C112" s="64"/>
      <c r="D112" s="314" t="str">
        <f>IF(D110&gt;0,"زيادة","عجز")</f>
        <v>عجز</v>
      </c>
      <c r="E112" s="99">
        <f>E114-E113:E113</f>
        <v>0</v>
      </c>
      <c r="G112" s="66"/>
      <c r="H112" s="56"/>
      <c r="I112" s="64"/>
      <c r="J112" s="314" t="str">
        <f>IF(J110&gt;0,"زيادة","عجز")</f>
        <v>عجز</v>
      </c>
      <c r="K112" s="99">
        <f>K114-K113:K113</f>
        <v>0</v>
      </c>
    </row>
    <row r="113" spans="1:11" ht="24" thickBot="1" x14ac:dyDescent="0.3">
      <c r="A113" s="68">
        <f>SUM(A96:A112)</f>
        <v>5020</v>
      </c>
      <c r="B113" s="69">
        <f>SUM(B96:B112)</f>
        <v>0</v>
      </c>
      <c r="D113" s="135" t="s">
        <v>94</v>
      </c>
      <c r="E113" s="99"/>
      <c r="G113" s="68">
        <f>SUM(G96:G112)</f>
        <v>0</v>
      </c>
      <c r="H113" s="69">
        <f>SUM(H96:H112)</f>
        <v>0</v>
      </c>
      <c r="J113" s="135" t="s">
        <v>94</v>
      </c>
      <c r="K113" s="99"/>
    </row>
    <row r="114" spans="1:11" ht="21.75" thickBot="1" x14ac:dyDescent="0.3">
      <c r="A114" s="462" t="s">
        <v>139</v>
      </c>
      <c r="B114" s="463"/>
      <c r="C114" s="71" t="s">
        <v>75</v>
      </c>
      <c r="D114" s="136" t="s">
        <v>65</v>
      </c>
      <c r="E114" s="85"/>
      <c r="G114" s="462" t="s">
        <v>139</v>
      </c>
      <c r="H114" s="463"/>
      <c r="I114" s="71" t="s">
        <v>75</v>
      </c>
      <c r="J114" s="136" t="s">
        <v>65</v>
      </c>
      <c r="K114" s="85"/>
    </row>
    <row r="115" spans="1:11" ht="24" thickBot="1" x14ac:dyDescent="0.3">
      <c r="A115" s="464">
        <f>B113+A113</f>
        <v>5020</v>
      </c>
      <c r="B115" s="465"/>
      <c r="C115" s="313"/>
      <c r="D115" s="82"/>
      <c r="E115" s="83"/>
      <c r="G115" s="464">
        <f>H113+G113</f>
        <v>0</v>
      </c>
      <c r="H115" s="465"/>
      <c r="I115" s="313"/>
      <c r="J115" s="82"/>
      <c r="K115" s="83"/>
    </row>
    <row r="116" spans="1:11" ht="24" thickBot="1" x14ac:dyDescent="0.3">
      <c r="A116" s="466" t="s">
        <v>99</v>
      </c>
      <c r="B116" s="467"/>
      <c r="C116" s="78">
        <f>A117-C117</f>
        <v>5020</v>
      </c>
      <c r="D116" s="82"/>
      <c r="E116" s="83"/>
      <c r="G116" s="466" t="s">
        <v>99</v>
      </c>
      <c r="H116" s="467"/>
      <c r="I116" s="78">
        <f>G117-I117</f>
        <v>0</v>
      </c>
      <c r="J116" s="82"/>
      <c r="K116" s="83"/>
    </row>
    <row r="117" spans="1:11" ht="24" thickBot="1" x14ac:dyDescent="0.3">
      <c r="A117" s="468">
        <f>C115+A115</f>
        <v>5020</v>
      </c>
      <c r="B117" s="469"/>
      <c r="C117" s="121"/>
      <c r="D117" s="82" t="s">
        <v>164</v>
      </c>
      <c r="E117" s="83">
        <f>SUM(E114:E116)</f>
        <v>0</v>
      </c>
      <c r="G117" s="468">
        <f>I115+G115</f>
        <v>0</v>
      </c>
      <c r="H117" s="469"/>
      <c r="I117" s="121"/>
      <c r="J117" s="82" t="s">
        <v>164</v>
      </c>
      <c r="K117" s="83">
        <f>SUM(K114:K116)</f>
        <v>0</v>
      </c>
    </row>
    <row r="118" spans="1:11" ht="24" thickBot="1" x14ac:dyDescent="0.3">
      <c r="C118" s="314" t="str">
        <f>IF(C116&gt;0,"زيادة","عجز")</f>
        <v>زيادة</v>
      </c>
      <c r="D118" s="318"/>
      <c r="I118" s="314" t="str">
        <f>IF(I116&gt;0,"زيادة","عجز")</f>
        <v>عجز</v>
      </c>
      <c r="J118" s="318"/>
    </row>
    <row r="120" spans="1:11" ht="15.75" thickBot="1" x14ac:dyDescent="0.3"/>
    <row r="121" spans="1:11" ht="24" thickBot="1" x14ac:dyDescent="0.3">
      <c r="G121" s="76" t="s">
        <v>15</v>
      </c>
      <c r="H121" s="460">
        <v>45123</v>
      </c>
      <c r="I121" s="461"/>
    </row>
    <row r="122" spans="1:11" ht="21" thickBot="1" x14ac:dyDescent="0.3">
      <c r="G122" s="53" t="s">
        <v>137</v>
      </c>
      <c r="H122" s="53" t="s">
        <v>3</v>
      </c>
      <c r="I122" s="53" t="s">
        <v>138</v>
      </c>
    </row>
    <row r="123" spans="1:11" ht="18" x14ac:dyDescent="0.25">
      <c r="G123" s="55"/>
      <c r="H123" s="77"/>
      <c r="I123" s="57"/>
    </row>
    <row r="124" spans="1:11" ht="18" x14ac:dyDescent="0.25">
      <c r="G124" s="60"/>
      <c r="H124" s="56"/>
      <c r="I124" s="57"/>
    </row>
    <row r="125" spans="1:11" ht="18" x14ac:dyDescent="0.25">
      <c r="G125" s="60"/>
      <c r="H125" s="77"/>
      <c r="I125" s="77"/>
    </row>
    <row r="126" spans="1:11" ht="18" x14ac:dyDescent="0.25">
      <c r="G126" s="60"/>
      <c r="H126" s="56"/>
      <c r="I126" s="77"/>
    </row>
    <row r="127" spans="1:11" ht="18" x14ac:dyDescent="0.25">
      <c r="G127" s="60"/>
      <c r="H127" s="77"/>
      <c r="I127" s="56"/>
    </row>
    <row r="128" spans="1:11" ht="18" x14ac:dyDescent="0.25">
      <c r="G128" s="60"/>
      <c r="H128" s="77"/>
      <c r="I128" s="56"/>
    </row>
    <row r="129" spans="7:11" ht="18" x14ac:dyDescent="0.25">
      <c r="G129" s="60"/>
      <c r="H129" s="56"/>
      <c r="I129" s="56"/>
    </row>
    <row r="130" spans="7:11" ht="18" x14ac:dyDescent="0.25">
      <c r="G130" s="60"/>
      <c r="H130" s="56"/>
      <c r="I130" s="56"/>
    </row>
    <row r="131" spans="7:11" ht="18" x14ac:dyDescent="0.25">
      <c r="G131" s="60"/>
      <c r="H131" s="56"/>
      <c r="I131" s="56"/>
    </row>
    <row r="132" spans="7:11" ht="18" x14ac:dyDescent="0.25">
      <c r="G132" s="60"/>
      <c r="H132" s="56"/>
      <c r="I132" s="56"/>
    </row>
    <row r="133" spans="7:11" ht="18" x14ac:dyDescent="0.25">
      <c r="G133" s="60"/>
      <c r="H133" s="56"/>
      <c r="I133" s="56"/>
    </row>
    <row r="134" spans="7:11" ht="18" x14ac:dyDescent="0.25">
      <c r="G134" s="60"/>
      <c r="H134" s="56"/>
      <c r="I134" s="56"/>
    </row>
    <row r="135" spans="7:11" ht="18" x14ac:dyDescent="0.25">
      <c r="G135" s="60"/>
      <c r="H135" s="56"/>
      <c r="I135" s="56"/>
    </row>
    <row r="136" spans="7:11" ht="18" x14ac:dyDescent="0.25">
      <c r="G136" s="60"/>
      <c r="H136" s="56"/>
      <c r="I136" s="56"/>
    </row>
    <row r="137" spans="7:11" ht="18" x14ac:dyDescent="0.25">
      <c r="G137" s="60"/>
      <c r="H137" s="56"/>
      <c r="I137" s="56"/>
    </row>
    <row r="138" spans="7:11" ht="18.75" thickBot="1" x14ac:dyDescent="0.3">
      <c r="G138" s="60"/>
      <c r="H138" s="56"/>
      <c r="I138" s="56"/>
    </row>
    <row r="139" spans="7:11" ht="24" thickBot="1" x14ac:dyDescent="0.3">
      <c r="G139" s="66"/>
      <c r="H139" s="56"/>
      <c r="I139" s="64"/>
      <c r="J139" s="314" t="str">
        <f>IF(J137&gt;0,"زيادة","عجز")</f>
        <v>عجز</v>
      </c>
      <c r="K139" s="99">
        <f>K141-K140:K140</f>
        <v>0</v>
      </c>
    </row>
    <row r="140" spans="7:11" ht="24" thickBot="1" x14ac:dyDescent="0.3">
      <c r="G140" s="68">
        <f>SUM(G123:G139)</f>
        <v>0</v>
      </c>
      <c r="H140" s="69">
        <f>SUM(H123:H139)</f>
        <v>0</v>
      </c>
      <c r="J140" s="135" t="s">
        <v>94</v>
      </c>
      <c r="K140" s="99"/>
    </row>
    <row r="141" spans="7:11" ht="21.75" thickBot="1" x14ac:dyDescent="0.3">
      <c r="G141" s="462" t="s">
        <v>139</v>
      </c>
      <c r="H141" s="463"/>
      <c r="I141" s="71" t="s">
        <v>75</v>
      </c>
      <c r="J141" s="136" t="s">
        <v>65</v>
      </c>
      <c r="K141" s="85"/>
    </row>
    <row r="142" spans="7:11" ht="24" thickBot="1" x14ac:dyDescent="0.3">
      <c r="G142" s="464">
        <f>H140+G140</f>
        <v>0</v>
      </c>
      <c r="H142" s="465"/>
      <c r="I142" s="313"/>
      <c r="J142" s="82"/>
      <c r="K142" s="83"/>
    </row>
    <row r="143" spans="7:11" ht="24" thickBot="1" x14ac:dyDescent="0.3">
      <c r="G143" s="466" t="s">
        <v>99</v>
      </c>
      <c r="H143" s="467"/>
      <c r="I143" s="78">
        <f>G144-I144</f>
        <v>0</v>
      </c>
      <c r="J143" s="82"/>
      <c r="K143" s="83"/>
    </row>
    <row r="144" spans="7:11" ht="24" thickBot="1" x14ac:dyDescent="0.3">
      <c r="G144" s="468">
        <f>I142+G142</f>
        <v>0</v>
      </c>
      <c r="H144" s="469"/>
      <c r="I144" s="121"/>
      <c r="J144" s="82" t="s">
        <v>164</v>
      </c>
      <c r="K144" s="83">
        <f>SUM(K141:K143)</f>
        <v>0</v>
      </c>
    </row>
    <row r="145" spans="1:10" ht="24" thickBot="1" x14ac:dyDescent="0.3">
      <c r="I145" s="314" t="str">
        <f>IF(I143&gt;0,"زيادة","عجز")</f>
        <v>عجز</v>
      </c>
      <c r="J145" s="318"/>
    </row>
    <row r="150" spans="1:10" x14ac:dyDescent="0.25">
      <c r="A150">
        <f>10+10+10+10+10</f>
        <v>50</v>
      </c>
    </row>
    <row r="153" spans="1:10" x14ac:dyDescent="0.25">
      <c r="C153">
        <f>9+10+10+15+5+10+12+10+10+12+7+10+10+10+10.5+10+10+10+8</f>
        <v>188.5</v>
      </c>
    </row>
    <row r="157" spans="1:10" x14ac:dyDescent="0.25">
      <c r="C157">
        <f>C153*10</f>
        <v>1885</v>
      </c>
    </row>
  </sheetData>
  <mergeCells count="45">
    <mergeCell ref="B1:C1"/>
    <mergeCell ref="H1:I1"/>
    <mergeCell ref="A22:B22"/>
    <mergeCell ref="G22:H22"/>
    <mergeCell ref="A23:B23"/>
    <mergeCell ref="G23:H23"/>
    <mergeCell ref="A24:B24"/>
    <mergeCell ref="G24:H24"/>
    <mergeCell ref="A25:B25"/>
    <mergeCell ref="G25:H25"/>
    <mergeCell ref="B30:C30"/>
    <mergeCell ref="H30:I30"/>
    <mergeCell ref="A54:B54"/>
    <mergeCell ref="G54:H54"/>
    <mergeCell ref="A55:B55"/>
    <mergeCell ref="G55:H55"/>
    <mergeCell ref="A56:B56"/>
    <mergeCell ref="G56:H56"/>
    <mergeCell ref="A57:B57"/>
    <mergeCell ref="G57:H57"/>
    <mergeCell ref="B63:C63"/>
    <mergeCell ref="H63:I63"/>
    <mergeCell ref="A83:B83"/>
    <mergeCell ref="G83:H83"/>
    <mergeCell ref="A84:B84"/>
    <mergeCell ref="G84:H84"/>
    <mergeCell ref="A85:B85"/>
    <mergeCell ref="G85:H85"/>
    <mergeCell ref="A86:B86"/>
    <mergeCell ref="G86:H86"/>
    <mergeCell ref="B94:C94"/>
    <mergeCell ref="H94:I94"/>
    <mergeCell ref="A114:B114"/>
    <mergeCell ref="G114:H114"/>
    <mergeCell ref="A115:B115"/>
    <mergeCell ref="G115:H115"/>
    <mergeCell ref="G142:H142"/>
    <mergeCell ref="G143:H143"/>
    <mergeCell ref="G144:H144"/>
    <mergeCell ref="A116:B116"/>
    <mergeCell ref="G116:H116"/>
    <mergeCell ref="A117:B117"/>
    <mergeCell ref="G117:H117"/>
    <mergeCell ref="H121:I121"/>
    <mergeCell ref="G141:H141"/>
  </mergeCells>
  <conditionalFormatting sqref="C26">
    <cfRule type="expression" dxfId="293" priority="35">
      <formula>$C$82="عجز"</formula>
    </cfRule>
    <cfRule type="expression" dxfId="292" priority="36">
      <formula>$C$82="زيادة"</formula>
    </cfRule>
  </conditionalFormatting>
  <conditionalFormatting sqref="C58">
    <cfRule type="expression" dxfId="291" priority="33">
      <formula>$C$82="عجز"</formula>
    </cfRule>
    <cfRule type="expression" dxfId="290" priority="34">
      <formula>$C$82="زيادة"</formula>
    </cfRule>
  </conditionalFormatting>
  <conditionalFormatting sqref="C87">
    <cfRule type="expression" dxfId="289" priority="31">
      <formula>$C$82="عجز"</formula>
    </cfRule>
    <cfRule type="expression" dxfId="288" priority="32">
      <formula>$C$82="زيادة"</formula>
    </cfRule>
  </conditionalFormatting>
  <conditionalFormatting sqref="C118">
    <cfRule type="expression" dxfId="287" priority="19">
      <formula>$C$82="عجز"</formula>
    </cfRule>
    <cfRule type="expression" dxfId="286" priority="20">
      <formula>$C$82="زيادة"</formula>
    </cfRule>
  </conditionalFormatting>
  <conditionalFormatting sqref="D20">
    <cfRule type="expression" dxfId="285" priority="17">
      <formula>$C$82="عجز"</formula>
    </cfRule>
    <cfRule type="expression" dxfId="284" priority="18">
      <formula>$C$82="زيادة"</formula>
    </cfRule>
  </conditionalFormatting>
  <conditionalFormatting sqref="D52">
    <cfRule type="expression" dxfId="283" priority="13">
      <formula>$C$82="عجز"</formula>
    </cfRule>
    <cfRule type="expression" dxfId="282" priority="14">
      <formula>$C$82="زيادة"</formula>
    </cfRule>
  </conditionalFormatting>
  <conditionalFormatting sqref="D81">
    <cfRule type="expression" dxfId="281" priority="9">
      <formula>$C$82="عجز"</formula>
    </cfRule>
    <cfRule type="expression" dxfId="280" priority="10">
      <formula>$C$82="زيادة"</formula>
    </cfRule>
  </conditionalFormatting>
  <conditionalFormatting sqref="D112">
    <cfRule type="expression" dxfId="279" priority="5">
      <formula>$C$82="عجز"</formula>
    </cfRule>
    <cfRule type="expression" dxfId="278" priority="6">
      <formula>$C$82="زيادة"</formula>
    </cfRule>
  </conditionalFormatting>
  <conditionalFormatting sqref="I26">
    <cfRule type="expression" dxfId="277" priority="29">
      <formula>$C$82="عجز"</formula>
    </cfRule>
    <cfRule type="expression" dxfId="276" priority="30">
      <formula>$C$82="زيادة"</formula>
    </cfRule>
  </conditionalFormatting>
  <conditionalFormatting sqref="I58">
    <cfRule type="expression" dxfId="275" priority="27">
      <formula>$C$82="عجز"</formula>
    </cfRule>
    <cfRule type="expression" dxfId="274" priority="28">
      <formula>$C$82="زيادة"</formula>
    </cfRule>
  </conditionalFormatting>
  <conditionalFormatting sqref="I87">
    <cfRule type="expression" dxfId="273" priority="25">
      <formula>$C$82="عجز"</formula>
    </cfRule>
    <cfRule type="expression" dxfId="272" priority="26">
      <formula>$C$82="زيادة"</formula>
    </cfRule>
  </conditionalFormatting>
  <conditionalFormatting sqref="I118">
    <cfRule type="expression" dxfId="271" priority="23">
      <formula>$C$82="عجز"</formula>
    </cfRule>
    <cfRule type="expression" dxfId="270" priority="24">
      <formula>$C$82="زيادة"</formula>
    </cfRule>
  </conditionalFormatting>
  <conditionalFormatting sqref="I145">
    <cfRule type="expression" dxfId="269" priority="21">
      <formula>$C$82="عجز"</formula>
    </cfRule>
    <cfRule type="expression" dxfId="268" priority="22">
      <formula>$C$82="زيادة"</formula>
    </cfRule>
  </conditionalFormatting>
  <conditionalFormatting sqref="J20">
    <cfRule type="expression" dxfId="267" priority="15">
      <formula>$C$82="عجز"</formula>
    </cfRule>
    <cfRule type="expression" dxfId="266" priority="16">
      <formula>$C$82="زيادة"</formula>
    </cfRule>
  </conditionalFormatting>
  <conditionalFormatting sqref="J52">
    <cfRule type="expression" dxfId="265" priority="11">
      <formula>$C$82="عجز"</formula>
    </cfRule>
    <cfRule type="expression" dxfId="264" priority="12">
      <formula>$C$82="زيادة"</formula>
    </cfRule>
  </conditionalFormatting>
  <conditionalFormatting sqref="J81">
    <cfRule type="expression" dxfId="263" priority="7">
      <formula>$C$82="عجز"</formula>
    </cfRule>
    <cfRule type="expression" dxfId="262" priority="8">
      <formula>$C$82="زيادة"</formula>
    </cfRule>
  </conditionalFormatting>
  <conditionalFormatting sqref="J112">
    <cfRule type="expression" dxfId="261" priority="3">
      <formula>$C$82="عجز"</formula>
    </cfRule>
    <cfRule type="expression" dxfId="260" priority="4">
      <formula>$C$82="زيادة"</formula>
    </cfRule>
  </conditionalFormatting>
  <conditionalFormatting sqref="J139">
    <cfRule type="expression" dxfId="259" priority="1">
      <formula>$C$82="عجز"</formula>
    </cfRule>
    <cfRule type="expression" dxfId="258" priority="2">
      <formula>$C$82="زيادة"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6C5ED-C743-42F3-917C-7EA6E92A387F}">
  <sheetPr codeName="Sheet9"/>
  <dimension ref="A1:K149"/>
  <sheetViews>
    <sheetView rightToLeft="1" zoomScale="85" zoomScaleNormal="85" workbookViewId="0">
      <selection activeCell="E21" sqref="E21"/>
    </sheetView>
  </sheetViews>
  <sheetFormatPr defaultRowHeight="15" x14ac:dyDescent="0.25"/>
  <cols>
    <col min="1" max="1" width="39.140625" customWidth="1"/>
    <col min="2" max="2" width="11.7109375" bestFit="1" customWidth="1"/>
    <col min="3" max="3" width="26.7109375" customWidth="1"/>
    <col min="4" max="4" width="13.5703125" customWidth="1"/>
    <col min="5" max="5" width="12.140625" customWidth="1"/>
    <col min="7" max="7" width="39.140625" customWidth="1"/>
    <col min="8" max="8" width="11.7109375" bestFit="1" customWidth="1"/>
    <col min="9" max="9" width="26.7109375" customWidth="1"/>
    <col min="10" max="10" width="8" bestFit="1" customWidth="1"/>
    <col min="11" max="11" width="10" customWidth="1"/>
  </cols>
  <sheetData>
    <row r="1" spans="1:9" ht="24" thickBot="1" x14ac:dyDescent="0.3">
      <c r="A1" s="76" t="s">
        <v>300</v>
      </c>
      <c r="B1" s="460">
        <v>45125</v>
      </c>
      <c r="C1" s="461"/>
      <c r="G1" s="76" t="s">
        <v>80</v>
      </c>
      <c r="H1" s="460">
        <v>45125</v>
      </c>
      <c r="I1" s="461"/>
    </row>
    <row r="2" spans="1:9" ht="21" thickBot="1" x14ac:dyDescent="0.3">
      <c r="A2" s="53" t="s">
        <v>137</v>
      </c>
      <c r="B2" s="53" t="s">
        <v>3</v>
      </c>
      <c r="C2" s="53" t="s">
        <v>138</v>
      </c>
      <c r="G2" s="53" t="s">
        <v>137</v>
      </c>
      <c r="H2" s="53" t="s">
        <v>3</v>
      </c>
      <c r="I2" s="53" t="s">
        <v>138</v>
      </c>
    </row>
    <row r="3" spans="1:9" ht="18" x14ac:dyDescent="0.25">
      <c r="A3" s="55">
        <v>7170</v>
      </c>
      <c r="B3" s="77">
        <v>3135</v>
      </c>
      <c r="C3" s="57" t="s">
        <v>1132</v>
      </c>
      <c r="G3" s="55">
        <f>5000+1900</f>
        <v>6900</v>
      </c>
      <c r="H3" s="77">
        <v>180</v>
      </c>
      <c r="I3" s="57" t="s">
        <v>399</v>
      </c>
    </row>
    <row r="4" spans="1:9" ht="18" x14ac:dyDescent="0.25">
      <c r="A4" s="60"/>
      <c r="B4" s="56">
        <v>130</v>
      </c>
      <c r="C4" s="56" t="s">
        <v>7</v>
      </c>
      <c r="G4" s="60"/>
      <c r="H4" s="56">
        <v>120</v>
      </c>
      <c r="I4" s="57" t="s">
        <v>393</v>
      </c>
    </row>
    <row r="5" spans="1:9" ht="18" x14ac:dyDescent="0.25">
      <c r="A5" s="60"/>
      <c r="B5" s="77">
        <v>300</v>
      </c>
      <c r="C5" s="77" t="s">
        <v>8</v>
      </c>
      <c r="G5" s="60"/>
      <c r="H5" s="77">
        <v>115</v>
      </c>
      <c r="I5" s="77" t="s">
        <v>19</v>
      </c>
    </row>
    <row r="6" spans="1:9" ht="18" x14ac:dyDescent="0.25">
      <c r="A6" s="60"/>
      <c r="B6" s="56">
        <v>2410</v>
      </c>
      <c r="C6" s="77" t="s">
        <v>1133</v>
      </c>
      <c r="G6" s="60"/>
      <c r="H6" s="56">
        <v>75</v>
      </c>
      <c r="I6" s="77" t="s">
        <v>741</v>
      </c>
    </row>
    <row r="7" spans="1:9" ht="18" x14ac:dyDescent="0.25">
      <c r="A7" s="60"/>
      <c r="B7" s="77">
        <v>15</v>
      </c>
      <c r="C7" s="56" t="s">
        <v>1134</v>
      </c>
      <c r="G7" s="60"/>
      <c r="H7" s="77">
        <v>420</v>
      </c>
      <c r="I7" s="56" t="s">
        <v>61</v>
      </c>
    </row>
    <row r="8" spans="1:9" ht="18" x14ac:dyDescent="0.25">
      <c r="A8" s="60"/>
      <c r="B8" s="77">
        <v>100</v>
      </c>
      <c r="C8" s="56" t="s">
        <v>373</v>
      </c>
      <c r="G8" s="60"/>
      <c r="H8" s="77">
        <v>1540</v>
      </c>
      <c r="I8" s="56" t="s">
        <v>12</v>
      </c>
    </row>
    <row r="9" spans="1:9" ht="18" x14ac:dyDescent="0.25">
      <c r="A9" s="60"/>
      <c r="B9" s="330">
        <v>700</v>
      </c>
      <c r="C9" s="330" t="s">
        <v>1138</v>
      </c>
      <c r="G9" s="60"/>
      <c r="H9" s="56">
        <v>1500</v>
      </c>
      <c r="I9" s="56" t="s">
        <v>1146</v>
      </c>
    </row>
    <row r="10" spans="1:9" ht="18" x14ac:dyDescent="0.25">
      <c r="A10" s="60"/>
      <c r="B10" s="330">
        <v>786</v>
      </c>
      <c r="C10" s="330" t="s">
        <v>37</v>
      </c>
      <c r="G10" s="60"/>
      <c r="H10" s="56">
        <v>250</v>
      </c>
      <c r="I10" s="56" t="s">
        <v>34</v>
      </c>
    </row>
    <row r="11" spans="1:9" ht="18" x14ac:dyDescent="0.25">
      <c r="A11" s="60"/>
      <c r="B11" s="330">
        <v>530</v>
      </c>
      <c r="C11" s="330" t="s">
        <v>1139</v>
      </c>
      <c r="G11" s="60"/>
      <c r="H11" s="56">
        <v>2850</v>
      </c>
      <c r="I11" s="56" t="s">
        <v>1147</v>
      </c>
    </row>
    <row r="12" spans="1:9" ht="18" x14ac:dyDescent="0.25">
      <c r="A12" s="60"/>
      <c r="B12" s="330">
        <v>1910</v>
      </c>
      <c r="C12" s="330" t="s">
        <v>155</v>
      </c>
      <c r="G12" s="60"/>
      <c r="H12" s="56">
        <v>95</v>
      </c>
      <c r="I12" s="56" t="s">
        <v>27</v>
      </c>
    </row>
    <row r="13" spans="1:9" ht="18" x14ac:dyDescent="0.25">
      <c r="A13" s="60"/>
      <c r="B13" s="330"/>
      <c r="C13" s="330"/>
      <c r="G13" s="60"/>
      <c r="H13" s="56">
        <v>15</v>
      </c>
      <c r="I13" s="56" t="s">
        <v>1148</v>
      </c>
    </row>
    <row r="14" spans="1:9" ht="18" x14ac:dyDescent="0.25">
      <c r="A14" s="60"/>
      <c r="B14" s="331"/>
      <c r="C14" s="331"/>
      <c r="G14" s="60"/>
      <c r="H14" s="56">
        <v>20</v>
      </c>
      <c r="I14" s="56" t="s">
        <v>1149</v>
      </c>
    </row>
    <row r="15" spans="1:9" ht="18" x14ac:dyDescent="0.25">
      <c r="A15" s="60"/>
      <c r="B15" s="331"/>
      <c r="C15" s="331"/>
      <c r="G15" s="60"/>
      <c r="H15" s="56">
        <v>10</v>
      </c>
      <c r="I15" s="56" t="s">
        <v>1150</v>
      </c>
    </row>
    <row r="16" spans="1:9" ht="18" x14ac:dyDescent="0.25">
      <c r="A16" s="60"/>
      <c r="B16" s="330"/>
      <c r="C16" s="330"/>
      <c r="G16" s="60"/>
      <c r="H16" s="56"/>
      <c r="I16" s="56"/>
    </row>
    <row r="17" spans="1:11" ht="18" x14ac:dyDescent="0.25">
      <c r="A17" s="60"/>
      <c r="B17" s="330"/>
      <c r="C17" s="330"/>
      <c r="G17" s="60"/>
      <c r="H17" s="56"/>
      <c r="I17" s="56"/>
    </row>
    <row r="18" spans="1:11" ht="18.75" thickBot="1" x14ac:dyDescent="0.3">
      <c r="A18" s="60"/>
      <c r="B18" s="330"/>
      <c r="C18" s="330"/>
      <c r="G18" s="60"/>
      <c r="H18" s="56"/>
      <c r="I18" s="56"/>
    </row>
    <row r="19" spans="1:11" ht="24" thickBot="1" x14ac:dyDescent="0.3">
      <c r="A19" s="66"/>
      <c r="B19" s="56"/>
      <c r="C19" s="64"/>
      <c r="D19" s="134" t="s">
        <v>43</v>
      </c>
      <c r="E19" s="99">
        <f>E21-E20:E20</f>
        <v>-584</v>
      </c>
      <c r="G19" s="66"/>
      <c r="H19" s="56"/>
      <c r="I19" s="64"/>
      <c r="J19" s="134" t="s">
        <v>43</v>
      </c>
      <c r="K19" s="99">
        <f>K21-K20:K20</f>
        <v>74</v>
      </c>
    </row>
    <row r="20" spans="1:11" ht="24" thickBot="1" x14ac:dyDescent="0.3">
      <c r="A20" s="68">
        <f>SUM(A3:A19)</f>
        <v>7170</v>
      </c>
      <c r="B20" s="69">
        <f>SUM(B3:B19)</f>
        <v>10016</v>
      </c>
      <c r="D20" s="135" t="s">
        <v>94</v>
      </c>
      <c r="E20" s="99">
        <f>3944-7578+5000</f>
        <v>1366</v>
      </c>
      <c r="G20" s="68">
        <f>SUM(G3:G19)</f>
        <v>6900</v>
      </c>
      <c r="H20" s="69">
        <f>SUM(H3:H19)</f>
        <v>7190</v>
      </c>
      <c r="J20" s="135" t="s">
        <v>94</v>
      </c>
      <c r="K20" s="99">
        <f>7859-6170</f>
        <v>1689</v>
      </c>
    </row>
    <row r="21" spans="1:11" ht="21.75" thickBot="1" x14ac:dyDescent="0.3">
      <c r="A21" s="462" t="s">
        <v>139</v>
      </c>
      <c r="B21" s="463"/>
      <c r="C21" s="71" t="s">
        <v>75</v>
      </c>
      <c r="D21" s="136" t="s">
        <v>65</v>
      </c>
      <c r="E21" s="85">
        <f>550+232</f>
        <v>782</v>
      </c>
      <c r="G21" s="462" t="s">
        <v>139</v>
      </c>
      <c r="H21" s="463"/>
      <c r="I21" s="71" t="s">
        <v>75</v>
      </c>
      <c r="J21" s="136" t="s">
        <v>65</v>
      </c>
      <c r="K21" s="85">
        <f>1600+163</f>
        <v>1763</v>
      </c>
    </row>
    <row r="22" spans="1:11" ht="24" thickBot="1" x14ac:dyDescent="0.3">
      <c r="A22" s="464">
        <f>B20+A20</f>
        <v>17186</v>
      </c>
      <c r="B22" s="465"/>
      <c r="C22" s="313">
        <v>429</v>
      </c>
      <c r="D22" s="82" t="s">
        <v>451</v>
      </c>
      <c r="E22" s="83">
        <v>28</v>
      </c>
      <c r="G22" s="464">
        <f>H20+G20</f>
        <v>14090</v>
      </c>
      <c r="H22" s="465"/>
      <c r="I22" s="313">
        <f>258+125</f>
        <v>383</v>
      </c>
      <c r="J22" s="82"/>
      <c r="K22" s="83"/>
    </row>
    <row r="23" spans="1:11" ht="24" thickBot="1" x14ac:dyDescent="0.3">
      <c r="A23" s="466" t="s">
        <v>99</v>
      </c>
      <c r="B23" s="467"/>
      <c r="C23" s="78">
        <f>A24-C24</f>
        <v>3889</v>
      </c>
      <c r="D23" s="82"/>
      <c r="E23" s="83">
        <f>189+33</f>
        <v>222</v>
      </c>
      <c r="G23" s="466" t="s">
        <v>99</v>
      </c>
      <c r="H23" s="467"/>
      <c r="I23" s="78">
        <f>G24-I24</f>
        <v>-22</v>
      </c>
      <c r="J23" s="82"/>
      <c r="K23" s="83"/>
    </row>
    <row r="24" spans="1:11" ht="24" thickBot="1" x14ac:dyDescent="0.3">
      <c r="A24" s="468">
        <f>C22+A22</f>
        <v>17615</v>
      </c>
      <c r="B24" s="469"/>
      <c r="C24" s="121">
        <v>13726</v>
      </c>
      <c r="D24" s="82" t="s">
        <v>164</v>
      </c>
      <c r="E24" s="83">
        <f>SUM(E21:E23)</f>
        <v>1032</v>
      </c>
      <c r="G24" s="468">
        <f>I22+G22</f>
        <v>14473</v>
      </c>
      <c r="H24" s="469"/>
      <c r="I24" s="121">
        <v>14495</v>
      </c>
      <c r="J24" s="82" t="s">
        <v>164</v>
      </c>
      <c r="K24" s="83">
        <f>SUM(K21:K23)</f>
        <v>1763</v>
      </c>
    </row>
    <row r="25" spans="1:11" ht="24" thickBot="1" x14ac:dyDescent="0.3">
      <c r="C25" s="314" t="str">
        <f>IF(C23&gt;0,"زيادة","عجز")</f>
        <v>زيادة</v>
      </c>
      <c r="D25" s="318"/>
      <c r="I25" s="314" t="str">
        <f>IF(I23&gt;0,"زيادة","عجز")</f>
        <v>عجز</v>
      </c>
      <c r="J25" s="318"/>
    </row>
    <row r="28" spans="1:11" ht="15.75" thickBot="1" x14ac:dyDescent="0.3"/>
    <row r="29" spans="1:11" ht="24" thickBot="1" x14ac:dyDescent="0.3">
      <c r="A29" s="76" t="s">
        <v>363</v>
      </c>
      <c r="B29" s="460">
        <v>45125</v>
      </c>
      <c r="C29" s="461"/>
      <c r="G29" s="76" t="s">
        <v>88</v>
      </c>
      <c r="H29" s="460">
        <v>45124</v>
      </c>
      <c r="I29" s="461"/>
    </row>
    <row r="30" spans="1:11" ht="21" thickBot="1" x14ac:dyDescent="0.3">
      <c r="A30" s="53" t="s">
        <v>137</v>
      </c>
      <c r="B30" s="53" t="s">
        <v>3</v>
      </c>
      <c r="C30" s="53" t="s">
        <v>138</v>
      </c>
      <c r="G30" s="53" t="s">
        <v>137</v>
      </c>
      <c r="H30" s="53" t="s">
        <v>3</v>
      </c>
      <c r="I30" s="53" t="s">
        <v>138</v>
      </c>
    </row>
    <row r="31" spans="1:11" ht="18" x14ac:dyDescent="0.25">
      <c r="A31" s="55">
        <f>10000+200+500+340</f>
        <v>11040</v>
      </c>
      <c r="B31" s="57">
        <v>150</v>
      </c>
      <c r="C31" s="56" t="s">
        <v>914</v>
      </c>
      <c r="G31" s="55">
        <f>650+34</f>
        <v>684</v>
      </c>
      <c r="H31" s="77">
        <v>195</v>
      </c>
      <c r="I31" s="57" t="s">
        <v>255</v>
      </c>
    </row>
    <row r="32" spans="1:11" ht="18" x14ac:dyDescent="0.25">
      <c r="A32" s="60"/>
      <c r="B32" s="56">
        <v>14</v>
      </c>
      <c r="C32" s="56" t="s">
        <v>1166</v>
      </c>
      <c r="G32" s="60"/>
      <c r="H32" s="56">
        <v>95</v>
      </c>
      <c r="I32" s="57" t="s">
        <v>9</v>
      </c>
    </row>
    <row r="33" spans="1:9" ht="18" x14ac:dyDescent="0.25">
      <c r="A33" s="60"/>
      <c r="B33" s="77">
        <v>150</v>
      </c>
      <c r="C33" s="56" t="s">
        <v>1167</v>
      </c>
      <c r="G33" s="60"/>
      <c r="H33" s="77">
        <v>400</v>
      </c>
      <c r="I33" s="77" t="s">
        <v>27</v>
      </c>
    </row>
    <row r="34" spans="1:9" ht="18" x14ac:dyDescent="0.25">
      <c r="A34" s="60"/>
      <c r="B34" s="77">
        <v>50</v>
      </c>
      <c r="C34" s="56" t="s">
        <v>10</v>
      </c>
      <c r="G34" s="60"/>
      <c r="H34" s="56">
        <v>45</v>
      </c>
      <c r="I34" s="77" t="s">
        <v>1176</v>
      </c>
    </row>
    <row r="35" spans="1:9" ht="18" x14ac:dyDescent="0.25">
      <c r="A35" s="60"/>
      <c r="B35" s="56">
        <v>35</v>
      </c>
      <c r="C35" s="56" t="s">
        <v>1168</v>
      </c>
      <c r="G35" s="60"/>
      <c r="H35" s="77">
        <v>27</v>
      </c>
      <c r="I35" s="56" t="s">
        <v>1177</v>
      </c>
    </row>
    <row r="36" spans="1:9" ht="18" x14ac:dyDescent="0.25">
      <c r="A36" s="60"/>
      <c r="B36" s="77">
        <v>4000</v>
      </c>
      <c r="C36" s="56" t="s">
        <v>1169</v>
      </c>
      <c r="G36" s="60"/>
      <c r="H36" s="77">
        <v>320</v>
      </c>
      <c r="I36" s="56" t="s">
        <v>709</v>
      </c>
    </row>
    <row r="37" spans="1:9" ht="18" x14ac:dyDescent="0.25">
      <c r="A37" s="60"/>
      <c r="B37" s="56">
        <v>37</v>
      </c>
      <c r="C37" s="56" t="s">
        <v>1170</v>
      </c>
      <c r="G37" s="60"/>
      <c r="H37" s="56">
        <v>45</v>
      </c>
      <c r="I37" s="56" t="s">
        <v>339</v>
      </c>
    </row>
    <row r="38" spans="1:9" ht="18" x14ac:dyDescent="0.25">
      <c r="A38" s="60"/>
      <c r="B38" s="56"/>
      <c r="C38" s="56"/>
      <c r="G38" s="60"/>
      <c r="H38" s="56">
        <v>45</v>
      </c>
      <c r="I38" s="56" t="s">
        <v>642</v>
      </c>
    </row>
    <row r="39" spans="1:9" ht="18" x14ac:dyDescent="0.25">
      <c r="A39" s="60"/>
      <c r="B39" s="56"/>
      <c r="C39" s="56"/>
      <c r="G39" s="60"/>
      <c r="H39" s="56">
        <v>140</v>
      </c>
      <c r="I39" s="56" t="s">
        <v>341</v>
      </c>
    </row>
    <row r="40" spans="1:9" ht="18" x14ac:dyDescent="0.25">
      <c r="A40" s="60"/>
      <c r="B40" s="56"/>
      <c r="C40" s="56"/>
      <c r="G40" s="60"/>
      <c r="H40" s="56">
        <v>145</v>
      </c>
      <c r="I40" s="56" t="s">
        <v>39</v>
      </c>
    </row>
    <row r="41" spans="1:9" ht="18" x14ac:dyDescent="0.25">
      <c r="A41" s="60"/>
      <c r="B41" s="56"/>
      <c r="C41" s="56"/>
      <c r="G41" s="60"/>
      <c r="H41" s="56">
        <v>50</v>
      </c>
      <c r="I41" s="56" t="s">
        <v>34</v>
      </c>
    </row>
    <row r="42" spans="1:9" ht="18" x14ac:dyDescent="0.25">
      <c r="A42" s="60"/>
      <c r="B42" s="56"/>
      <c r="C42" s="56"/>
      <c r="G42" s="60"/>
      <c r="H42" s="56">
        <v>2780</v>
      </c>
      <c r="I42" s="56" t="s">
        <v>12</v>
      </c>
    </row>
    <row r="43" spans="1:9" ht="18" x14ac:dyDescent="0.25">
      <c r="A43" s="60"/>
      <c r="B43" s="56"/>
      <c r="C43" s="56"/>
      <c r="G43" s="60"/>
      <c r="H43" s="56">
        <v>30</v>
      </c>
      <c r="I43" s="56" t="s">
        <v>1178</v>
      </c>
    </row>
    <row r="44" spans="1:9" ht="18" x14ac:dyDescent="0.25">
      <c r="A44" s="60"/>
      <c r="B44" s="56"/>
      <c r="C44" s="56"/>
      <c r="G44" s="60"/>
      <c r="H44" s="56">
        <v>730</v>
      </c>
      <c r="I44" s="56" t="s">
        <v>1139</v>
      </c>
    </row>
    <row r="45" spans="1:9" ht="18" x14ac:dyDescent="0.25">
      <c r="A45" s="60"/>
      <c r="B45" s="56"/>
      <c r="C45" s="56"/>
      <c r="G45" s="60"/>
      <c r="H45" s="56">
        <v>2400</v>
      </c>
      <c r="I45" s="56" t="s">
        <v>1179</v>
      </c>
    </row>
    <row r="46" spans="1:9" ht="18" x14ac:dyDescent="0.25">
      <c r="A46" s="60"/>
      <c r="B46" s="56"/>
      <c r="C46" s="56"/>
      <c r="G46" s="60"/>
      <c r="H46" s="56">
        <v>1785</v>
      </c>
      <c r="I46" s="56" t="s">
        <v>646</v>
      </c>
    </row>
    <row r="47" spans="1:9" ht="18" x14ac:dyDescent="0.25">
      <c r="A47" s="60"/>
      <c r="B47" s="56"/>
      <c r="C47" s="56"/>
      <c r="G47" s="60"/>
      <c r="H47" s="56">
        <v>1418</v>
      </c>
      <c r="I47" s="56" t="s">
        <v>45</v>
      </c>
    </row>
    <row r="48" spans="1:9" ht="18" x14ac:dyDescent="0.25">
      <c r="A48" s="60"/>
      <c r="B48" s="56"/>
      <c r="C48" s="56"/>
      <c r="G48" s="60"/>
      <c r="H48" s="56">
        <v>5928</v>
      </c>
      <c r="I48" s="56" t="s">
        <v>47</v>
      </c>
    </row>
    <row r="49" spans="1:11" ht="18" x14ac:dyDescent="0.25">
      <c r="A49" s="60"/>
      <c r="B49" s="56"/>
      <c r="C49" s="56"/>
      <c r="G49" s="60"/>
      <c r="H49" s="56"/>
      <c r="I49" s="56"/>
    </row>
    <row r="50" spans="1:11" ht="18.75" thickBot="1" x14ac:dyDescent="0.3">
      <c r="A50" s="60"/>
      <c r="B50" s="56"/>
      <c r="C50" s="56"/>
      <c r="G50" s="60"/>
      <c r="I50" s="56"/>
    </row>
    <row r="51" spans="1:11" ht="24" thickBot="1" x14ac:dyDescent="0.3">
      <c r="A51" s="66"/>
      <c r="B51" s="56"/>
      <c r="C51" s="64"/>
      <c r="D51" s="134" t="s">
        <v>43</v>
      </c>
      <c r="E51" s="99">
        <f>E53-E52:E52</f>
        <v>16</v>
      </c>
      <c r="G51" s="66"/>
      <c r="H51" s="56"/>
      <c r="I51" s="64"/>
      <c r="J51" s="134" t="s">
        <v>43</v>
      </c>
      <c r="K51" s="99">
        <f>K53-K52:K52</f>
        <v>28</v>
      </c>
    </row>
    <row r="52" spans="1:11" ht="24" thickBot="1" x14ac:dyDescent="0.3">
      <c r="A52" s="68">
        <f>SUM(A31:A51)</f>
        <v>11040</v>
      </c>
      <c r="B52" s="69">
        <f>SUM(B31:B51)</f>
        <v>4436</v>
      </c>
      <c r="D52" s="135" t="s">
        <v>94</v>
      </c>
      <c r="E52" s="99">
        <f>6170-4416</f>
        <v>1754</v>
      </c>
      <c r="G52" s="68">
        <f>SUM(G31:G51)</f>
        <v>684</v>
      </c>
      <c r="H52" s="69">
        <f>SUM(H31:H51)</f>
        <v>16578</v>
      </c>
      <c r="J52" s="135" t="s">
        <v>94</v>
      </c>
      <c r="K52" s="99">
        <f>2086-264</f>
        <v>1822</v>
      </c>
    </row>
    <row r="53" spans="1:11" ht="21.75" thickBot="1" x14ac:dyDescent="0.3">
      <c r="A53" s="462" t="s">
        <v>139</v>
      </c>
      <c r="B53" s="463"/>
      <c r="C53" s="71" t="s">
        <v>75</v>
      </c>
      <c r="D53" s="136" t="s">
        <v>65</v>
      </c>
      <c r="E53" s="85">
        <v>1770</v>
      </c>
      <c r="G53" s="462" t="s">
        <v>139</v>
      </c>
      <c r="H53" s="463"/>
      <c r="I53" s="71" t="s">
        <v>75</v>
      </c>
      <c r="J53" s="136" t="s">
        <v>65</v>
      </c>
      <c r="K53" s="85">
        <v>1850</v>
      </c>
    </row>
    <row r="54" spans="1:11" ht="24" thickBot="1" x14ac:dyDescent="0.3">
      <c r="A54" s="464">
        <f>B52+A52</f>
        <v>15476</v>
      </c>
      <c r="B54" s="465"/>
      <c r="C54" s="313">
        <f>175+28+30+1000</f>
        <v>1233</v>
      </c>
      <c r="D54" s="82" t="s">
        <v>1171</v>
      </c>
      <c r="E54" s="83">
        <v>10</v>
      </c>
      <c r="G54" s="464">
        <f>H52+G52</f>
        <v>17262</v>
      </c>
      <c r="H54" s="465"/>
      <c r="I54" s="313">
        <f>52+366+391+285</f>
        <v>1094</v>
      </c>
      <c r="J54" s="82"/>
      <c r="K54" s="83"/>
    </row>
    <row r="55" spans="1:11" ht="24" thickBot="1" x14ac:dyDescent="0.3">
      <c r="A55" s="466" t="s">
        <v>99</v>
      </c>
      <c r="B55" s="467"/>
      <c r="C55" s="78">
        <f>A56-C56</f>
        <v>122</v>
      </c>
      <c r="D55" s="82"/>
      <c r="E55" s="83"/>
      <c r="G55" s="466" t="s">
        <v>99</v>
      </c>
      <c r="H55" s="467"/>
      <c r="I55" s="78">
        <f>G56-I56</f>
        <v>0</v>
      </c>
      <c r="J55" s="82"/>
      <c r="K55" s="83"/>
    </row>
    <row r="56" spans="1:11" ht="24" thickBot="1" x14ac:dyDescent="0.3">
      <c r="A56" s="468">
        <f>C54+A54</f>
        <v>16709</v>
      </c>
      <c r="B56" s="469"/>
      <c r="C56" s="121">
        <v>16587</v>
      </c>
      <c r="D56" s="82" t="s">
        <v>164</v>
      </c>
      <c r="E56" s="83">
        <f>SUM(E53:E55)</f>
        <v>1780</v>
      </c>
      <c r="G56" s="468">
        <f>I54+G54</f>
        <v>18356</v>
      </c>
      <c r="H56" s="469"/>
      <c r="I56" s="121">
        <v>18356</v>
      </c>
      <c r="J56" s="82" t="s">
        <v>164</v>
      </c>
      <c r="K56" s="83">
        <f>SUM(K53:K55)</f>
        <v>1850</v>
      </c>
    </row>
    <row r="57" spans="1:11" ht="24" thickBot="1" x14ac:dyDescent="0.3">
      <c r="C57" s="314" t="str">
        <f>IF(C55&gt;0,"زيادة","عجز")</f>
        <v>زيادة</v>
      </c>
      <c r="D57" s="318"/>
      <c r="I57" s="314" t="str">
        <f>IF(I55&gt;0,"زيادة","عجز")</f>
        <v>عجز</v>
      </c>
      <c r="J57" s="318"/>
    </row>
    <row r="61" spans="1:11" ht="15.75" thickBot="1" x14ac:dyDescent="0.3"/>
    <row r="62" spans="1:11" ht="24" thickBot="1" x14ac:dyDescent="0.3">
      <c r="A62" s="76" t="s">
        <v>1162</v>
      </c>
      <c r="B62" s="460">
        <v>45125</v>
      </c>
      <c r="C62" s="461"/>
      <c r="G62" s="76" t="s">
        <v>15</v>
      </c>
      <c r="H62" s="460">
        <v>45125</v>
      </c>
      <c r="I62" s="461"/>
    </row>
    <row r="63" spans="1:11" ht="21" thickBot="1" x14ac:dyDescent="0.3">
      <c r="A63" s="53" t="s">
        <v>137</v>
      </c>
      <c r="B63" s="53" t="s">
        <v>3</v>
      </c>
      <c r="C63" s="53" t="s">
        <v>138</v>
      </c>
      <c r="G63" s="53" t="s">
        <v>137</v>
      </c>
      <c r="H63" s="53" t="s">
        <v>3</v>
      </c>
      <c r="I63" s="53" t="s">
        <v>138</v>
      </c>
    </row>
    <row r="64" spans="1:11" ht="18" x14ac:dyDescent="0.25">
      <c r="A64" s="55">
        <f>3000+1300+2+330</f>
        <v>4632</v>
      </c>
      <c r="B64" s="57">
        <v>100</v>
      </c>
      <c r="C64" s="56" t="s">
        <v>741</v>
      </c>
      <c r="G64" s="55">
        <f>4850+485</f>
        <v>5335</v>
      </c>
      <c r="H64" s="77">
        <v>170</v>
      </c>
      <c r="I64" s="57" t="s">
        <v>498</v>
      </c>
    </row>
    <row r="65" spans="1:11" ht="18" x14ac:dyDescent="0.25">
      <c r="A65" s="60"/>
      <c r="B65" s="56">
        <v>5900</v>
      </c>
      <c r="C65" s="56" t="s">
        <v>16</v>
      </c>
      <c r="G65" s="60"/>
      <c r="H65" s="56">
        <v>200</v>
      </c>
      <c r="I65" s="57" t="s">
        <v>978</v>
      </c>
    </row>
    <row r="66" spans="1:11" ht="18" x14ac:dyDescent="0.25">
      <c r="A66" s="60"/>
      <c r="B66" s="77"/>
      <c r="C66" s="56"/>
      <c r="G66" s="60"/>
      <c r="H66" s="77">
        <v>180</v>
      </c>
      <c r="I66" s="77" t="s">
        <v>341</v>
      </c>
    </row>
    <row r="67" spans="1:11" ht="18" x14ac:dyDescent="0.25">
      <c r="A67" s="60"/>
      <c r="B67" s="77"/>
      <c r="C67" s="56"/>
      <c r="G67" s="60"/>
      <c r="H67" s="56">
        <v>5</v>
      </c>
      <c r="I67" s="77" t="s">
        <v>1181</v>
      </c>
    </row>
    <row r="68" spans="1:11" ht="18" x14ac:dyDescent="0.25">
      <c r="A68" s="60"/>
      <c r="B68" s="56"/>
      <c r="C68" s="56"/>
      <c r="G68" s="60"/>
      <c r="H68" s="77">
        <v>4140</v>
      </c>
      <c r="I68" s="56" t="s">
        <v>718</v>
      </c>
    </row>
    <row r="69" spans="1:11" ht="18" x14ac:dyDescent="0.25">
      <c r="A69" s="60"/>
      <c r="B69" s="77"/>
      <c r="C69" s="56"/>
      <c r="G69" s="60"/>
      <c r="H69" s="77">
        <v>12000</v>
      </c>
      <c r="I69" s="56" t="s">
        <v>1182</v>
      </c>
    </row>
    <row r="70" spans="1:11" ht="18" x14ac:dyDescent="0.25">
      <c r="A70" s="60"/>
      <c r="B70" s="56"/>
      <c r="C70" s="56"/>
      <c r="G70" s="60"/>
      <c r="H70" s="56">
        <v>45</v>
      </c>
      <c r="I70" s="56" t="s">
        <v>339</v>
      </c>
    </row>
    <row r="71" spans="1:11" ht="18" x14ac:dyDescent="0.25">
      <c r="A71" s="60"/>
      <c r="B71" s="56"/>
      <c r="C71" s="56"/>
      <c r="G71" s="60"/>
      <c r="H71" s="56">
        <v>100</v>
      </c>
      <c r="I71" s="56" t="s">
        <v>32</v>
      </c>
    </row>
    <row r="72" spans="1:11" ht="18" x14ac:dyDescent="0.25">
      <c r="A72" s="60"/>
      <c r="B72" s="56"/>
      <c r="C72" s="56"/>
      <c r="G72" s="60"/>
      <c r="H72" s="56">
        <v>165</v>
      </c>
      <c r="I72" s="56" t="s">
        <v>15</v>
      </c>
    </row>
    <row r="73" spans="1:11" ht="18" x14ac:dyDescent="0.25">
      <c r="A73" s="60"/>
      <c r="B73" s="56"/>
      <c r="C73" s="56"/>
      <c r="G73" s="60"/>
      <c r="H73" s="56">
        <v>90</v>
      </c>
      <c r="I73" s="56" t="s">
        <v>29</v>
      </c>
    </row>
    <row r="74" spans="1:11" ht="18" x14ac:dyDescent="0.25">
      <c r="A74" s="60"/>
      <c r="B74" s="56"/>
      <c r="C74" s="56"/>
      <c r="G74" s="60"/>
      <c r="H74" s="56">
        <v>20</v>
      </c>
      <c r="I74" s="56" t="s">
        <v>1183</v>
      </c>
    </row>
    <row r="75" spans="1:11" ht="18" x14ac:dyDescent="0.25">
      <c r="A75" s="60"/>
      <c r="B75" s="56"/>
      <c r="C75" s="56"/>
      <c r="G75" s="60"/>
      <c r="H75" s="56">
        <v>80</v>
      </c>
      <c r="I75" s="56" t="s">
        <v>552</v>
      </c>
    </row>
    <row r="76" spans="1:11" ht="18" x14ac:dyDescent="0.25">
      <c r="A76" s="60"/>
      <c r="B76" s="56"/>
      <c r="C76" s="56"/>
      <c r="G76" s="60"/>
      <c r="H76" s="56">
        <v>80</v>
      </c>
      <c r="I76" s="56" t="s">
        <v>510</v>
      </c>
    </row>
    <row r="77" spans="1:11" ht="18" x14ac:dyDescent="0.25">
      <c r="A77" s="60"/>
      <c r="B77" s="56"/>
      <c r="C77" s="56"/>
      <c r="G77" s="60"/>
      <c r="H77" s="56">
        <v>100</v>
      </c>
      <c r="I77" s="56" t="s">
        <v>494</v>
      </c>
    </row>
    <row r="78" spans="1:11" ht="18" x14ac:dyDescent="0.25">
      <c r="A78" s="60"/>
      <c r="B78" s="56"/>
      <c r="C78" s="56"/>
      <c r="G78" s="60"/>
      <c r="H78" s="56">
        <v>15</v>
      </c>
      <c r="I78" s="56" t="s">
        <v>1184</v>
      </c>
    </row>
    <row r="79" spans="1:11" ht="18.75" thickBot="1" x14ac:dyDescent="0.3">
      <c r="A79" s="60"/>
      <c r="B79" s="56"/>
      <c r="C79" s="56"/>
      <c r="G79" s="60"/>
      <c r="H79" s="56">
        <v>220</v>
      </c>
      <c r="I79" s="56" t="s">
        <v>1185</v>
      </c>
    </row>
    <row r="80" spans="1:11" ht="24" thickBot="1" x14ac:dyDescent="0.3">
      <c r="A80" s="66"/>
      <c r="B80" s="56"/>
      <c r="C80" s="64"/>
      <c r="D80" s="134" t="s">
        <v>43</v>
      </c>
      <c r="E80" s="99">
        <f>E82-E81:E81</f>
        <v>0</v>
      </c>
      <c r="G80" s="66"/>
      <c r="H80" s="56"/>
      <c r="I80" s="64"/>
      <c r="J80" s="134" t="s">
        <v>43</v>
      </c>
      <c r="K80" s="99">
        <f>K82-K81:K81</f>
        <v>597</v>
      </c>
    </row>
    <row r="81" spans="1:11" ht="24" thickBot="1" x14ac:dyDescent="0.3">
      <c r="A81" s="68">
        <f>SUM(A64:A80)</f>
        <v>4632</v>
      </c>
      <c r="B81" s="69">
        <f>SUM(B64:B80)</f>
        <v>6000</v>
      </c>
      <c r="D81" s="135" t="s">
        <v>94</v>
      </c>
      <c r="E81" s="99"/>
      <c r="G81" s="68">
        <f>SUM(G64:G80)</f>
        <v>5335</v>
      </c>
      <c r="H81" s="69">
        <f>SUM(H64:H80)</f>
        <v>17610</v>
      </c>
      <c r="J81" s="135" t="s">
        <v>94</v>
      </c>
      <c r="K81" s="99"/>
    </row>
    <row r="82" spans="1:11" ht="21.75" thickBot="1" x14ac:dyDescent="0.3">
      <c r="A82" s="462" t="s">
        <v>139</v>
      </c>
      <c r="B82" s="463"/>
      <c r="C82" s="71" t="s">
        <v>75</v>
      </c>
      <c r="D82" s="136" t="s">
        <v>65</v>
      </c>
      <c r="E82" s="85"/>
      <c r="G82" s="462" t="s">
        <v>139</v>
      </c>
      <c r="H82" s="463"/>
      <c r="I82" s="71" t="s">
        <v>75</v>
      </c>
      <c r="J82" s="136" t="s">
        <v>65</v>
      </c>
      <c r="K82" s="85">
        <f>2+550+45</f>
        <v>597</v>
      </c>
    </row>
    <row r="83" spans="1:11" ht="24" thickBot="1" x14ac:dyDescent="0.3">
      <c r="A83" s="464">
        <f>B81+A81</f>
        <v>10632</v>
      </c>
      <c r="B83" s="465"/>
      <c r="C83" s="313">
        <f>244+1210</f>
        <v>1454</v>
      </c>
      <c r="D83" s="82"/>
      <c r="E83" s="83"/>
      <c r="G83" s="464">
        <f>H81+G81</f>
        <v>22945</v>
      </c>
      <c r="H83" s="465"/>
      <c r="I83" s="313">
        <f>220+435+188+75+140+200</f>
        <v>1258</v>
      </c>
      <c r="J83" s="82"/>
      <c r="K83" s="83"/>
    </row>
    <row r="84" spans="1:11" ht="24" thickBot="1" x14ac:dyDescent="0.3">
      <c r="A84" s="466" t="s">
        <v>99</v>
      </c>
      <c r="B84" s="467"/>
      <c r="C84" s="78">
        <f>A85-C85</f>
        <v>-3</v>
      </c>
      <c r="D84" s="82"/>
      <c r="E84" s="83"/>
      <c r="G84" s="466" t="s">
        <v>99</v>
      </c>
      <c r="H84" s="467"/>
      <c r="I84" s="78">
        <f>G85-I85</f>
        <v>5</v>
      </c>
      <c r="J84" s="82"/>
      <c r="K84" s="83"/>
    </row>
    <row r="85" spans="1:11" ht="24" thickBot="1" x14ac:dyDescent="0.3">
      <c r="A85" s="468">
        <f>C83+A83</f>
        <v>12086</v>
      </c>
      <c r="B85" s="469"/>
      <c r="C85" s="121">
        <v>12089</v>
      </c>
      <c r="D85" s="82" t="s">
        <v>164</v>
      </c>
      <c r="E85" s="83">
        <f>SUM(E82:E84)</f>
        <v>0</v>
      </c>
      <c r="G85" s="468">
        <f>I83+G83</f>
        <v>24203</v>
      </c>
      <c r="H85" s="469"/>
      <c r="I85" s="121">
        <v>24198</v>
      </c>
      <c r="J85" s="82" t="s">
        <v>164</v>
      </c>
      <c r="K85" s="83">
        <f>SUM(K82:K84)</f>
        <v>597</v>
      </c>
    </row>
    <row r="86" spans="1:11" ht="24" thickBot="1" x14ac:dyDescent="0.3">
      <c r="C86" s="314" t="str">
        <f>IF(C84&gt;0,"زيادة","عجز")</f>
        <v>عجز</v>
      </c>
      <c r="D86" s="318"/>
      <c r="I86" s="314" t="str">
        <f>IF(I84&gt;0,"زيادة","عجز")</f>
        <v>زيادة</v>
      </c>
      <c r="J86" s="318"/>
    </row>
    <row r="92" spans="1:11" ht="15.75" thickBot="1" x14ac:dyDescent="0.3"/>
    <row r="93" spans="1:11" ht="24" thickBot="1" x14ac:dyDescent="0.3">
      <c r="A93" s="76" t="s">
        <v>24</v>
      </c>
      <c r="B93" s="460">
        <v>45125</v>
      </c>
      <c r="C93" s="461"/>
      <c r="G93" s="76" t="s">
        <v>6</v>
      </c>
      <c r="H93" s="460">
        <v>45125</v>
      </c>
      <c r="I93" s="461"/>
    </row>
    <row r="94" spans="1:11" ht="21" thickBot="1" x14ac:dyDescent="0.3">
      <c r="A94" s="53" t="s">
        <v>137</v>
      </c>
      <c r="B94" s="53" t="s">
        <v>3</v>
      </c>
      <c r="C94" s="53" t="s">
        <v>138</v>
      </c>
      <c r="G94" s="53" t="s">
        <v>137</v>
      </c>
      <c r="H94" s="53" t="s">
        <v>3</v>
      </c>
      <c r="I94" s="53" t="s">
        <v>138</v>
      </c>
    </row>
    <row r="95" spans="1:11" ht="18" x14ac:dyDescent="0.25">
      <c r="A95" s="55">
        <f>4000+550+470</f>
        <v>5020</v>
      </c>
      <c r="B95" s="77"/>
      <c r="C95" s="57"/>
      <c r="G95" s="55">
        <f>4000+82</f>
        <v>4082</v>
      </c>
      <c r="H95" s="77">
        <v>975</v>
      </c>
      <c r="I95" s="57" t="s">
        <v>331</v>
      </c>
    </row>
    <row r="96" spans="1:11" ht="18" x14ac:dyDescent="0.25">
      <c r="A96" s="60"/>
      <c r="B96" s="56"/>
      <c r="C96" s="57"/>
      <c r="G96" s="60"/>
      <c r="H96" s="56">
        <v>2103</v>
      </c>
      <c r="I96" s="57" t="s">
        <v>1186</v>
      </c>
    </row>
    <row r="97" spans="1:11" ht="18" x14ac:dyDescent="0.25">
      <c r="A97" s="60"/>
      <c r="B97" s="77"/>
      <c r="C97" s="77"/>
      <c r="G97" s="60"/>
      <c r="H97" s="77"/>
      <c r="I97" s="77"/>
    </row>
    <row r="98" spans="1:11" ht="18" x14ac:dyDescent="0.25">
      <c r="A98" s="60"/>
      <c r="B98" s="56"/>
      <c r="C98" s="77"/>
      <c r="G98" s="60"/>
      <c r="H98" s="56"/>
      <c r="I98" s="77"/>
    </row>
    <row r="99" spans="1:11" ht="18" x14ac:dyDescent="0.25">
      <c r="A99" s="60"/>
      <c r="B99" s="77"/>
      <c r="C99" s="56"/>
      <c r="G99" s="60"/>
      <c r="H99" s="77"/>
      <c r="I99" s="56"/>
    </row>
    <row r="100" spans="1:11" ht="18" x14ac:dyDescent="0.25">
      <c r="A100" s="60"/>
      <c r="B100" s="77"/>
      <c r="C100" s="56"/>
      <c r="G100" s="60"/>
      <c r="H100" s="77"/>
      <c r="I100" s="56"/>
    </row>
    <row r="101" spans="1:11" ht="18" x14ac:dyDescent="0.25">
      <c r="A101" s="60"/>
      <c r="B101" s="56"/>
      <c r="C101" s="56"/>
      <c r="G101" s="60"/>
      <c r="H101" s="56"/>
      <c r="I101" s="56"/>
    </row>
    <row r="102" spans="1:11" ht="18" x14ac:dyDescent="0.25">
      <c r="A102" s="60"/>
      <c r="B102" s="56"/>
      <c r="C102" s="56"/>
      <c r="G102" s="60"/>
      <c r="H102" s="56"/>
      <c r="I102" s="56"/>
    </row>
    <row r="103" spans="1:11" ht="18" x14ac:dyDescent="0.25">
      <c r="A103" s="60"/>
      <c r="B103" s="56"/>
      <c r="C103" s="56"/>
      <c r="G103" s="60"/>
      <c r="H103" s="56"/>
      <c r="I103" s="56"/>
    </row>
    <row r="104" spans="1:11" ht="18" x14ac:dyDescent="0.25">
      <c r="A104" s="60"/>
      <c r="B104" s="56"/>
      <c r="C104" s="56"/>
      <c r="G104" s="60"/>
      <c r="H104" s="56"/>
      <c r="I104" s="56"/>
    </row>
    <row r="105" spans="1:11" ht="18" x14ac:dyDescent="0.25">
      <c r="A105" s="60"/>
      <c r="B105" s="56"/>
      <c r="C105" s="56"/>
      <c r="G105" s="60"/>
      <c r="H105" s="56"/>
      <c r="I105" s="56"/>
    </row>
    <row r="106" spans="1:11" ht="18" x14ac:dyDescent="0.25">
      <c r="A106" s="60"/>
      <c r="B106" s="56"/>
      <c r="C106" s="56"/>
      <c r="G106" s="60"/>
      <c r="H106" s="56"/>
      <c r="I106" s="56"/>
    </row>
    <row r="107" spans="1:11" ht="18" x14ac:dyDescent="0.25">
      <c r="A107" s="60"/>
      <c r="B107" s="56"/>
      <c r="C107" s="56"/>
      <c r="G107" s="60"/>
      <c r="H107" s="56"/>
      <c r="I107" s="56"/>
    </row>
    <row r="108" spans="1:11" ht="18" x14ac:dyDescent="0.25">
      <c r="A108" s="60"/>
      <c r="B108" s="56"/>
      <c r="C108" s="56"/>
      <c r="G108" s="60"/>
      <c r="H108" s="56"/>
      <c r="I108" s="56"/>
    </row>
    <row r="109" spans="1:11" ht="18" x14ac:dyDescent="0.25">
      <c r="A109" s="60"/>
      <c r="B109" s="56"/>
      <c r="C109" s="56"/>
      <c r="G109" s="60"/>
      <c r="H109" s="56"/>
      <c r="I109" s="56"/>
    </row>
    <row r="110" spans="1:11" ht="18.75" thickBot="1" x14ac:dyDescent="0.3">
      <c r="A110" s="60"/>
      <c r="B110" s="56"/>
      <c r="C110" s="56"/>
      <c r="G110" s="60"/>
      <c r="H110" s="56"/>
      <c r="I110" s="56"/>
    </row>
    <row r="111" spans="1:11" ht="24" thickBot="1" x14ac:dyDescent="0.3">
      <c r="A111" s="66"/>
      <c r="B111" s="56"/>
      <c r="C111" s="64"/>
      <c r="D111" s="134" t="s">
        <v>43</v>
      </c>
      <c r="E111" s="99">
        <f>E113-E112:E112</f>
        <v>0</v>
      </c>
      <c r="G111" s="66"/>
      <c r="H111" s="56"/>
      <c r="I111" s="64"/>
      <c r="J111" s="134" t="s">
        <v>43</v>
      </c>
      <c r="K111" s="99">
        <f>K113-K112:K112</f>
        <v>13</v>
      </c>
    </row>
    <row r="112" spans="1:11" ht="24" thickBot="1" x14ac:dyDescent="0.3">
      <c r="A112" s="68">
        <f>SUM(A95:A111)</f>
        <v>5020</v>
      </c>
      <c r="B112" s="69">
        <f>SUM(B95:B111)</f>
        <v>0</v>
      </c>
      <c r="D112" s="135" t="s">
        <v>94</v>
      </c>
      <c r="E112" s="99"/>
      <c r="G112" s="68">
        <f>SUM(G95:G111)</f>
        <v>4082</v>
      </c>
      <c r="H112" s="69">
        <f>SUM(H95:H111)</f>
        <v>3078</v>
      </c>
      <c r="J112" s="135" t="s">
        <v>94</v>
      </c>
      <c r="K112" s="99">
        <f>264-22</f>
        <v>242</v>
      </c>
    </row>
    <row r="113" spans="1:11" ht="21.75" thickBot="1" x14ac:dyDescent="0.3">
      <c r="A113" s="462" t="s">
        <v>139</v>
      </c>
      <c r="B113" s="463"/>
      <c r="C113" s="71" t="s">
        <v>75</v>
      </c>
      <c r="D113" s="136" t="s">
        <v>65</v>
      </c>
      <c r="E113" s="85"/>
      <c r="G113" s="462" t="s">
        <v>139</v>
      </c>
      <c r="H113" s="463"/>
      <c r="I113" s="71" t="s">
        <v>75</v>
      </c>
      <c r="J113" s="136" t="s">
        <v>65</v>
      </c>
      <c r="K113" s="85">
        <v>255</v>
      </c>
    </row>
    <row r="114" spans="1:11" ht="24" thickBot="1" x14ac:dyDescent="0.3">
      <c r="A114" s="464">
        <f>B112+A112</f>
        <v>5020</v>
      </c>
      <c r="B114" s="465"/>
      <c r="C114" s="313">
        <v>256</v>
      </c>
      <c r="D114" s="82"/>
      <c r="E114" s="83"/>
      <c r="G114" s="464">
        <f>H112+G112</f>
        <v>7160</v>
      </c>
      <c r="H114" s="465"/>
      <c r="I114" s="313">
        <f>540+233</f>
        <v>773</v>
      </c>
      <c r="J114" s="82"/>
      <c r="K114" s="83"/>
    </row>
    <row r="115" spans="1:11" ht="24" thickBot="1" x14ac:dyDescent="0.3">
      <c r="A115" s="466" t="s">
        <v>99</v>
      </c>
      <c r="B115" s="467"/>
      <c r="C115" s="78">
        <f>A116-C116</f>
        <v>-3</v>
      </c>
      <c r="D115" s="82"/>
      <c r="E115" s="83"/>
      <c r="G115" s="466" t="s">
        <v>99</v>
      </c>
      <c r="H115" s="467"/>
      <c r="I115" s="78">
        <f>G116-I116</f>
        <v>18</v>
      </c>
      <c r="J115" s="82"/>
      <c r="K115" s="83"/>
    </row>
    <row r="116" spans="1:11" ht="24" thickBot="1" x14ac:dyDescent="0.3">
      <c r="A116" s="468">
        <f>C114+A114</f>
        <v>5276</v>
      </c>
      <c r="B116" s="469"/>
      <c r="C116" s="121">
        <v>5279</v>
      </c>
      <c r="D116" s="82" t="s">
        <v>164</v>
      </c>
      <c r="E116" s="83">
        <f>SUM(E113:E115)</f>
        <v>0</v>
      </c>
      <c r="G116" s="468">
        <f>I114+G114</f>
        <v>7933</v>
      </c>
      <c r="H116" s="469"/>
      <c r="I116" s="121">
        <v>7915</v>
      </c>
      <c r="J116" s="82" t="s">
        <v>164</v>
      </c>
      <c r="K116" s="83">
        <f>SUM(K113:K115)</f>
        <v>255</v>
      </c>
    </row>
    <row r="117" spans="1:11" ht="24" thickBot="1" x14ac:dyDescent="0.3">
      <c r="C117" s="314" t="str">
        <f>IF(C115&gt;0,"زيادة","عجز")</f>
        <v>عجز</v>
      </c>
      <c r="D117" s="318"/>
      <c r="I117" s="314" t="str">
        <f>IF(I115&gt;0,"زيادة","عجز")</f>
        <v>زيادة</v>
      </c>
      <c r="J117" s="318"/>
    </row>
    <row r="119" spans="1:11" ht="15.75" thickBot="1" x14ac:dyDescent="0.3"/>
    <row r="120" spans="1:11" ht="24" thickBot="1" x14ac:dyDescent="0.3">
      <c r="G120" s="76" t="s">
        <v>15</v>
      </c>
      <c r="H120" s="460">
        <v>45123</v>
      </c>
      <c r="I120" s="461"/>
    </row>
    <row r="121" spans="1:11" ht="21" thickBot="1" x14ac:dyDescent="0.3">
      <c r="G121" s="53" t="s">
        <v>137</v>
      </c>
      <c r="H121" s="53" t="s">
        <v>3</v>
      </c>
      <c r="I121" s="53" t="s">
        <v>138</v>
      </c>
    </row>
    <row r="122" spans="1:11" ht="18" x14ac:dyDescent="0.25">
      <c r="G122" s="55"/>
      <c r="H122" s="77"/>
      <c r="I122" s="57"/>
    </row>
    <row r="123" spans="1:11" ht="18" x14ac:dyDescent="0.25">
      <c r="G123" s="60"/>
      <c r="H123" s="56"/>
      <c r="I123" s="57"/>
    </row>
    <row r="124" spans="1:11" ht="18" x14ac:dyDescent="0.25">
      <c r="G124" s="60"/>
      <c r="H124" s="77"/>
      <c r="I124" s="77"/>
    </row>
    <row r="125" spans="1:11" ht="18" x14ac:dyDescent="0.25">
      <c r="G125" s="60"/>
      <c r="H125" s="56"/>
      <c r="I125" s="77"/>
    </row>
    <row r="126" spans="1:11" ht="18" x14ac:dyDescent="0.25">
      <c r="G126" s="60"/>
      <c r="H126" s="77"/>
      <c r="I126" s="56"/>
    </row>
    <row r="127" spans="1:11" ht="18" x14ac:dyDescent="0.25">
      <c r="G127" s="60"/>
      <c r="H127" s="77"/>
      <c r="I127" s="56"/>
    </row>
    <row r="128" spans="1:11" ht="18" x14ac:dyDescent="0.25">
      <c r="G128" s="60"/>
      <c r="H128" s="56"/>
      <c r="I128" s="56"/>
    </row>
    <row r="129" spans="7:11" ht="18" x14ac:dyDescent="0.25">
      <c r="G129" s="60"/>
      <c r="H129" s="56"/>
      <c r="I129" s="56"/>
    </row>
    <row r="130" spans="7:11" ht="18" x14ac:dyDescent="0.25">
      <c r="G130" s="60"/>
      <c r="H130" s="56"/>
      <c r="I130" s="56"/>
    </row>
    <row r="131" spans="7:11" ht="18" x14ac:dyDescent="0.25">
      <c r="G131" s="60"/>
      <c r="H131" s="56"/>
      <c r="I131" s="56"/>
    </row>
    <row r="132" spans="7:11" ht="18" x14ac:dyDescent="0.25">
      <c r="G132" s="60"/>
      <c r="H132" s="56"/>
      <c r="I132" s="56"/>
    </row>
    <row r="133" spans="7:11" ht="18" x14ac:dyDescent="0.25">
      <c r="G133" s="60"/>
      <c r="H133" s="56"/>
      <c r="I133" s="56"/>
    </row>
    <row r="134" spans="7:11" ht="18" x14ac:dyDescent="0.25">
      <c r="G134" s="60"/>
      <c r="H134" s="56"/>
      <c r="I134" s="56"/>
    </row>
    <row r="135" spans="7:11" ht="18" x14ac:dyDescent="0.25">
      <c r="G135" s="60"/>
      <c r="H135" s="56"/>
      <c r="I135" s="56"/>
    </row>
    <row r="136" spans="7:11" ht="18" x14ac:dyDescent="0.25">
      <c r="G136" s="60"/>
      <c r="H136" s="56"/>
      <c r="I136" s="56"/>
    </row>
    <row r="137" spans="7:11" ht="18.75" thickBot="1" x14ac:dyDescent="0.3">
      <c r="G137" s="60"/>
      <c r="H137" s="56"/>
      <c r="I137" s="56"/>
    </row>
    <row r="138" spans="7:11" ht="24" thickBot="1" x14ac:dyDescent="0.3">
      <c r="G138" s="66"/>
      <c r="H138" s="56"/>
      <c r="I138" s="64"/>
      <c r="J138" s="134" t="s">
        <v>43</v>
      </c>
      <c r="K138" s="99">
        <f>K140-K139:K139</f>
        <v>1763</v>
      </c>
    </row>
    <row r="139" spans="7:11" ht="24" thickBot="1" x14ac:dyDescent="0.3">
      <c r="G139" s="68">
        <f>SUM(G122:G138)</f>
        <v>0</v>
      </c>
      <c r="H139" s="69">
        <f>SUM(H122:H138)</f>
        <v>0</v>
      </c>
      <c r="J139" s="135" t="s">
        <v>94</v>
      </c>
      <c r="K139" s="99"/>
    </row>
    <row r="140" spans="7:11" ht="21.75" thickBot="1" x14ac:dyDescent="0.3">
      <c r="G140" s="462" t="s">
        <v>139</v>
      </c>
      <c r="H140" s="463"/>
      <c r="I140" s="71" t="s">
        <v>75</v>
      </c>
      <c r="J140" s="136" t="s">
        <v>65</v>
      </c>
      <c r="K140" s="85">
        <f>1600+163</f>
        <v>1763</v>
      </c>
    </row>
    <row r="141" spans="7:11" ht="24" thickBot="1" x14ac:dyDescent="0.3">
      <c r="G141" s="464">
        <f>H139+G139</f>
        <v>0</v>
      </c>
      <c r="H141" s="465"/>
      <c r="I141" s="313"/>
      <c r="J141" s="82"/>
      <c r="K141" s="83"/>
    </row>
    <row r="142" spans="7:11" ht="24" thickBot="1" x14ac:dyDescent="0.3">
      <c r="G142" s="466" t="s">
        <v>99</v>
      </c>
      <c r="H142" s="467"/>
      <c r="I142" s="78">
        <f>G143-I143</f>
        <v>0</v>
      </c>
      <c r="J142" s="82"/>
      <c r="K142" s="83"/>
    </row>
    <row r="143" spans="7:11" ht="24" thickBot="1" x14ac:dyDescent="0.3">
      <c r="G143" s="468">
        <f>I141+G141</f>
        <v>0</v>
      </c>
      <c r="H143" s="469"/>
      <c r="I143" s="121"/>
      <c r="J143" s="82" t="s">
        <v>164</v>
      </c>
      <c r="K143" s="83">
        <f>SUM(K140:K142)</f>
        <v>1763</v>
      </c>
    </row>
    <row r="144" spans="7:11" ht="24" thickBot="1" x14ac:dyDescent="0.3">
      <c r="I144" s="314" t="str">
        <f>IF(I142&gt;0,"زيادة","عجز")</f>
        <v>عجز</v>
      </c>
      <c r="J144" s="318"/>
    </row>
    <row r="149" spans="1:1" x14ac:dyDescent="0.25">
      <c r="A149">
        <f>10+10+10+10+10</f>
        <v>50</v>
      </c>
    </row>
  </sheetData>
  <mergeCells count="45">
    <mergeCell ref="B1:C1"/>
    <mergeCell ref="H1:I1"/>
    <mergeCell ref="A21:B21"/>
    <mergeCell ref="G21:H21"/>
    <mergeCell ref="A22:B22"/>
    <mergeCell ref="G22:H22"/>
    <mergeCell ref="A23:B23"/>
    <mergeCell ref="G23:H23"/>
    <mergeCell ref="A24:B24"/>
    <mergeCell ref="G24:H24"/>
    <mergeCell ref="B29:C29"/>
    <mergeCell ref="H29:I29"/>
    <mergeCell ref="A53:B53"/>
    <mergeCell ref="G53:H53"/>
    <mergeCell ref="A54:B54"/>
    <mergeCell ref="G54:H54"/>
    <mergeCell ref="A55:B55"/>
    <mergeCell ref="G55:H55"/>
    <mergeCell ref="A56:B56"/>
    <mergeCell ref="G56:H56"/>
    <mergeCell ref="B62:C62"/>
    <mergeCell ref="H62:I62"/>
    <mergeCell ref="A82:B82"/>
    <mergeCell ref="G82:H82"/>
    <mergeCell ref="A83:B83"/>
    <mergeCell ref="G83:H83"/>
    <mergeCell ref="A84:B84"/>
    <mergeCell ref="G84:H84"/>
    <mergeCell ref="A85:B85"/>
    <mergeCell ref="G85:H85"/>
    <mergeCell ref="B93:C93"/>
    <mergeCell ref="H93:I93"/>
    <mergeCell ref="A113:B113"/>
    <mergeCell ref="G113:H113"/>
    <mergeCell ref="A114:B114"/>
    <mergeCell ref="G114:H114"/>
    <mergeCell ref="G141:H141"/>
    <mergeCell ref="G142:H142"/>
    <mergeCell ref="G143:H143"/>
    <mergeCell ref="A115:B115"/>
    <mergeCell ref="G115:H115"/>
    <mergeCell ref="A116:B116"/>
    <mergeCell ref="G116:H116"/>
    <mergeCell ref="H120:I120"/>
    <mergeCell ref="G140:H140"/>
  </mergeCells>
  <conditionalFormatting sqref="C25">
    <cfRule type="expression" dxfId="257" priority="17">
      <formula>$C$81="عجز"</formula>
    </cfRule>
    <cfRule type="expression" dxfId="256" priority="18">
      <formula>$C$81="زيادة"</formula>
    </cfRule>
  </conditionalFormatting>
  <conditionalFormatting sqref="C57">
    <cfRule type="expression" dxfId="255" priority="15">
      <formula>$C$81="عجز"</formula>
    </cfRule>
    <cfRule type="expression" dxfId="254" priority="16">
      <formula>$C$81="زيادة"</formula>
    </cfRule>
  </conditionalFormatting>
  <conditionalFormatting sqref="C86">
    <cfRule type="expression" dxfId="253" priority="13">
      <formula>$C$81="عجز"</formula>
    </cfRule>
    <cfRule type="expression" dxfId="252" priority="14">
      <formula>$C$81="زيادة"</formula>
    </cfRule>
  </conditionalFormatting>
  <conditionalFormatting sqref="C117">
    <cfRule type="expression" dxfId="251" priority="1">
      <formula>$C$81="عجز"</formula>
    </cfRule>
    <cfRule type="expression" dxfId="250" priority="2">
      <formula>$C$81="زيادة"</formula>
    </cfRule>
  </conditionalFormatting>
  <conditionalFormatting sqref="I25">
    <cfRule type="expression" dxfId="249" priority="11">
      <formula>$C$81="عجز"</formula>
    </cfRule>
    <cfRule type="expression" dxfId="248" priority="12">
      <formula>$C$81="زيادة"</formula>
    </cfRule>
  </conditionalFormatting>
  <conditionalFormatting sqref="I57">
    <cfRule type="expression" dxfId="247" priority="9">
      <formula>$C$81="عجز"</formula>
    </cfRule>
    <cfRule type="expression" dxfId="246" priority="10">
      <formula>$C$81="زيادة"</formula>
    </cfRule>
  </conditionalFormatting>
  <conditionalFormatting sqref="I86">
    <cfRule type="expression" dxfId="245" priority="7">
      <formula>$C$81="عجز"</formula>
    </cfRule>
    <cfRule type="expression" dxfId="244" priority="8">
      <formula>$C$81="زيادة"</formula>
    </cfRule>
  </conditionalFormatting>
  <conditionalFormatting sqref="I117">
    <cfRule type="expression" dxfId="243" priority="5">
      <formula>$C$81="عجز"</formula>
    </cfRule>
    <cfRule type="expression" dxfId="242" priority="6">
      <formula>$C$81="زيادة"</formula>
    </cfRule>
  </conditionalFormatting>
  <conditionalFormatting sqref="I144">
    <cfRule type="expression" dxfId="241" priority="3">
      <formula>$C$81="عجز"</formula>
    </cfRule>
    <cfRule type="expression" dxfId="240" priority="4">
      <formula>$C$81="زيادة"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E7C1-1DE3-4C68-82E0-A99D82CBE249}">
  <sheetPr codeName="Sheet10"/>
  <dimension ref="A1:K140"/>
  <sheetViews>
    <sheetView rightToLeft="1" topLeftCell="A25" zoomScale="85" zoomScaleNormal="85" workbookViewId="0">
      <selection activeCell="B48" sqref="B48"/>
    </sheetView>
  </sheetViews>
  <sheetFormatPr defaultRowHeight="15" x14ac:dyDescent="0.25"/>
  <cols>
    <col min="1" max="1" width="39.140625" customWidth="1"/>
    <col min="2" max="2" width="11.42578125" bestFit="1" customWidth="1"/>
    <col min="3" max="3" width="26.7109375" customWidth="1"/>
    <col min="4" max="4" width="8" bestFit="1" customWidth="1"/>
    <col min="5" max="5" width="10" customWidth="1"/>
    <col min="7" max="7" width="39.140625" customWidth="1"/>
    <col min="8" max="8" width="11.42578125" bestFit="1" customWidth="1"/>
    <col min="9" max="9" width="26.7109375" customWidth="1"/>
    <col min="10" max="10" width="8" bestFit="1" customWidth="1"/>
    <col min="11" max="11" width="10" customWidth="1"/>
  </cols>
  <sheetData>
    <row r="1" spans="1:9" ht="24" thickBot="1" x14ac:dyDescent="0.3">
      <c r="A1" s="76" t="s">
        <v>1076</v>
      </c>
      <c r="B1" s="460">
        <v>45124</v>
      </c>
      <c r="C1" s="461"/>
      <c r="G1" s="76" t="s">
        <v>60</v>
      </c>
      <c r="H1" s="460">
        <v>45124</v>
      </c>
      <c r="I1" s="461"/>
    </row>
    <row r="2" spans="1:9" ht="21" thickBot="1" x14ac:dyDescent="0.3">
      <c r="A2" s="53" t="s">
        <v>137</v>
      </c>
      <c r="B2" s="53" t="s">
        <v>3</v>
      </c>
      <c r="C2" s="53" t="s">
        <v>138</v>
      </c>
      <c r="G2" s="53" t="s">
        <v>137</v>
      </c>
      <c r="H2" s="53" t="s">
        <v>3</v>
      </c>
      <c r="I2" s="53" t="s">
        <v>138</v>
      </c>
    </row>
    <row r="3" spans="1:9" ht="18" x14ac:dyDescent="0.25">
      <c r="A3" s="55">
        <v>4900</v>
      </c>
      <c r="B3" s="77">
        <v>165</v>
      </c>
      <c r="C3" s="57" t="s">
        <v>1078</v>
      </c>
      <c r="G3" s="55"/>
      <c r="H3" s="77">
        <v>445</v>
      </c>
      <c r="I3" s="57" t="s">
        <v>27</v>
      </c>
    </row>
    <row r="4" spans="1:9" ht="18" x14ac:dyDescent="0.25">
      <c r="A4" s="60">
        <v>325</v>
      </c>
      <c r="B4" s="56">
        <v>125</v>
      </c>
      <c r="C4" s="56" t="s">
        <v>1079</v>
      </c>
      <c r="G4" s="60"/>
      <c r="H4" s="56">
        <v>300</v>
      </c>
      <c r="I4" s="57" t="s">
        <v>27</v>
      </c>
    </row>
    <row r="5" spans="1:9" ht="18" x14ac:dyDescent="0.25">
      <c r="A5" s="60"/>
      <c r="B5" s="77">
        <v>260</v>
      </c>
      <c r="C5" s="77" t="s">
        <v>1080</v>
      </c>
      <c r="G5" s="60"/>
      <c r="H5" s="77">
        <v>1080</v>
      </c>
      <c r="I5" s="77" t="s">
        <v>1115</v>
      </c>
    </row>
    <row r="6" spans="1:9" ht="18" x14ac:dyDescent="0.25">
      <c r="A6" s="60"/>
      <c r="B6" s="56">
        <v>105</v>
      </c>
      <c r="C6" s="77" t="s">
        <v>349</v>
      </c>
      <c r="G6" s="60"/>
      <c r="H6" s="56">
        <v>120</v>
      </c>
      <c r="I6" s="77" t="s">
        <v>38</v>
      </c>
    </row>
    <row r="7" spans="1:9" ht="18" x14ac:dyDescent="0.25">
      <c r="A7" s="60"/>
      <c r="B7" s="77">
        <v>14</v>
      </c>
      <c r="C7" s="56" t="s">
        <v>1081</v>
      </c>
      <c r="G7" s="60"/>
      <c r="H7" s="77">
        <v>75</v>
      </c>
      <c r="I7" s="56" t="s">
        <v>26</v>
      </c>
    </row>
    <row r="8" spans="1:9" ht="18" x14ac:dyDescent="0.25">
      <c r="A8" s="60"/>
      <c r="B8" s="77">
        <v>1920</v>
      </c>
      <c r="C8" s="56" t="s">
        <v>1082</v>
      </c>
      <c r="G8" s="60"/>
      <c r="H8" s="77">
        <v>215</v>
      </c>
      <c r="I8" s="56" t="s">
        <v>1116</v>
      </c>
    </row>
    <row r="9" spans="1:9" ht="18" x14ac:dyDescent="0.25">
      <c r="A9" s="60"/>
      <c r="B9" s="56">
        <v>570</v>
      </c>
      <c r="C9" s="56" t="s">
        <v>1007</v>
      </c>
      <c r="G9" s="60"/>
      <c r="H9" s="56">
        <v>1010</v>
      </c>
      <c r="I9" s="56" t="s">
        <v>1017</v>
      </c>
    </row>
    <row r="10" spans="1:9" ht="18" x14ac:dyDescent="0.25">
      <c r="A10" s="60"/>
      <c r="B10" s="56">
        <v>1625</v>
      </c>
      <c r="C10" s="56" t="s">
        <v>1083</v>
      </c>
      <c r="G10" s="60"/>
      <c r="H10" s="56">
        <v>24</v>
      </c>
      <c r="I10" s="56" t="s">
        <v>1117</v>
      </c>
    </row>
    <row r="11" spans="1:9" ht="18" x14ac:dyDescent="0.25">
      <c r="A11" s="60"/>
      <c r="B11" s="56">
        <v>30</v>
      </c>
      <c r="C11" s="56" t="s">
        <v>1084</v>
      </c>
      <c r="G11" s="60"/>
      <c r="H11" s="56">
        <v>51</v>
      </c>
      <c r="I11" s="56" t="s">
        <v>1118</v>
      </c>
    </row>
    <row r="12" spans="1:9" ht="18" x14ac:dyDescent="0.25">
      <c r="A12" s="60"/>
      <c r="B12" s="56">
        <v>135</v>
      </c>
      <c r="C12" s="56" t="s">
        <v>610</v>
      </c>
      <c r="G12" s="60"/>
      <c r="H12" s="56">
        <v>7</v>
      </c>
      <c r="I12" s="56" t="s">
        <v>73</v>
      </c>
    </row>
    <row r="13" spans="1:9" ht="18" x14ac:dyDescent="0.25">
      <c r="A13" s="60"/>
      <c r="B13" s="56">
        <v>1000</v>
      </c>
      <c r="C13" s="56" t="s">
        <v>1085</v>
      </c>
      <c r="G13" s="60"/>
      <c r="H13" s="56"/>
      <c r="I13" s="56"/>
    </row>
    <row r="14" spans="1:9" ht="18" x14ac:dyDescent="0.25">
      <c r="A14" s="60"/>
      <c r="B14" s="56">
        <v>580</v>
      </c>
      <c r="C14" s="56" t="s">
        <v>1086</v>
      </c>
      <c r="G14" s="60"/>
      <c r="H14" s="56"/>
      <c r="I14" s="56"/>
    </row>
    <row r="15" spans="1:9" ht="18" x14ac:dyDescent="0.25">
      <c r="A15" s="60"/>
      <c r="B15" s="56">
        <v>475</v>
      </c>
      <c r="C15" s="56" t="s">
        <v>1087</v>
      </c>
      <c r="G15" s="60"/>
      <c r="H15" s="56"/>
      <c r="I15" s="56"/>
    </row>
    <row r="16" spans="1:9" ht="18" x14ac:dyDescent="0.25">
      <c r="A16" s="60"/>
      <c r="B16" s="56">
        <v>1605</v>
      </c>
      <c r="C16" s="56" t="s">
        <v>1088</v>
      </c>
      <c r="G16" s="60"/>
      <c r="H16" s="56"/>
      <c r="I16" s="56"/>
    </row>
    <row r="17" spans="1:11" ht="18" x14ac:dyDescent="0.25">
      <c r="A17" s="60"/>
      <c r="B17" s="56">
        <v>805</v>
      </c>
      <c r="C17" s="56" t="s">
        <v>1077</v>
      </c>
      <c r="G17" s="60"/>
      <c r="H17" s="56"/>
      <c r="I17" s="56"/>
    </row>
    <row r="18" spans="1:11" ht="18.75" thickBot="1" x14ac:dyDescent="0.3">
      <c r="A18" s="60"/>
      <c r="B18" s="56"/>
      <c r="C18" s="56"/>
      <c r="G18" s="60"/>
      <c r="H18" s="56"/>
      <c r="I18" s="56"/>
    </row>
    <row r="19" spans="1:11" ht="24" thickBot="1" x14ac:dyDescent="0.3">
      <c r="A19" s="66"/>
      <c r="B19" s="56"/>
      <c r="C19" s="64"/>
      <c r="D19" s="134" t="s">
        <v>43</v>
      </c>
      <c r="E19" s="99"/>
      <c r="G19" s="66"/>
      <c r="H19" s="56"/>
      <c r="I19" s="64"/>
      <c r="J19" s="134" t="s">
        <v>43</v>
      </c>
      <c r="K19" s="99"/>
    </row>
    <row r="20" spans="1:11" ht="24" thickBot="1" x14ac:dyDescent="0.3">
      <c r="A20" s="68">
        <f>SUM(A3:A19)</f>
        <v>5225</v>
      </c>
      <c r="B20" s="69">
        <f>SUM(B3:B19)</f>
        <v>9414</v>
      </c>
      <c r="D20" s="135" t="s">
        <v>94</v>
      </c>
      <c r="E20" s="99"/>
      <c r="G20" s="68">
        <f>SUM(G3:G19)</f>
        <v>0</v>
      </c>
      <c r="H20" s="69">
        <f>SUM(H3:H19)</f>
        <v>3327</v>
      </c>
      <c r="J20" s="135" t="s">
        <v>94</v>
      </c>
      <c r="K20" s="99"/>
    </row>
    <row r="21" spans="1:11" ht="21.75" thickBot="1" x14ac:dyDescent="0.3">
      <c r="A21" s="462" t="s">
        <v>139</v>
      </c>
      <c r="B21" s="463"/>
      <c r="C21" s="71" t="s">
        <v>75</v>
      </c>
      <c r="D21" s="136" t="s">
        <v>65</v>
      </c>
      <c r="E21" s="85"/>
      <c r="G21" s="462" t="s">
        <v>139</v>
      </c>
      <c r="H21" s="463"/>
      <c r="I21" s="71" t="s">
        <v>75</v>
      </c>
      <c r="J21" s="136" t="s">
        <v>65</v>
      </c>
      <c r="K21" s="85"/>
    </row>
    <row r="22" spans="1:11" ht="24" thickBot="1" x14ac:dyDescent="0.3">
      <c r="A22" s="464">
        <f>B20+A20</f>
        <v>14639</v>
      </c>
      <c r="B22" s="465"/>
      <c r="C22" s="313">
        <f>397+30+50+116+34+10</f>
        <v>637</v>
      </c>
      <c r="D22" s="82"/>
      <c r="E22" s="83"/>
      <c r="G22" s="464">
        <f>H20+G20</f>
        <v>3327</v>
      </c>
      <c r="H22" s="465"/>
      <c r="I22" s="313"/>
      <c r="J22" s="82"/>
      <c r="K22" s="83"/>
    </row>
    <row r="23" spans="1:11" ht="24" thickBot="1" x14ac:dyDescent="0.3">
      <c r="A23" s="466" t="s">
        <v>99</v>
      </c>
      <c r="B23" s="467"/>
      <c r="C23" s="78">
        <f>A24-C24</f>
        <v>-27</v>
      </c>
      <c r="D23" s="82"/>
      <c r="E23" s="83"/>
      <c r="G23" s="466" t="s">
        <v>99</v>
      </c>
      <c r="H23" s="467"/>
      <c r="I23" s="78">
        <f>G24-I24</f>
        <v>-109</v>
      </c>
      <c r="J23" s="82"/>
      <c r="K23" s="83"/>
    </row>
    <row r="24" spans="1:11" ht="24" thickBot="1" x14ac:dyDescent="0.3">
      <c r="A24" s="468">
        <f>C22+A22</f>
        <v>15276</v>
      </c>
      <c r="B24" s="469"/>
      <c r="C24" s="121">
        <v>15303</v>
      </c>
      <c r="D24" s="82" t="s">
        <v>164</v>
      </c>
      <c r="E24" s="83">
        <f>SUM(E21:E23)</f>
        <v>0</v>
      </c>
      <c r="G24" s="468">
        <f>I22+G22</f>
        <v>3327</v>
      </c>
      <c r="H24" s="469"/>
      <c r="I24" s="121">
        <v>3436</v>
      </c>
      <c r="J24" s="82" t="s">
        <v>164</v>
      </c>
      <c r="K24" s="83">
        <f>SUM(K21:K23)</f>
        <v>0</v>
      </c>
    </row>
    <row r="25" spans="1:11" ht="24" thickBot="1" x14ac:dyDescent="0.3">
      <c r="C25" s="314" t="str">
        <f>IF(C23&gt;0,"زيادة","عجز")</f>
        <v>عجز</v>
      </c>
      <c r="D25" s="318"/>
      <c r="I25" s="314" t="str">
        <f>IF(I23&gt;0,"زيادة","عجز")</f>
        <v>عجز</v>
      </c>
      <c r="J25" s="318"/>
    </row>
    <row r="28" spans="1:11" ht="15.75" thickBot="1" x14ac:dyDescent="0.3"/>
    <row r="29" spans="1:11" ht="24" thickBot="1" x14ac:dyDescent="0.3">
      <c r="A29" s="76" t="s">
        <v>349</v>
      </c>
      <c r="B29" s="460">
        <v>45124</v>
      </c>
      <c r="C29" s="461"/>
      <c r="G29" s="76" t="s">
        <v>1119</v>
      </c>
      <c r="H29" s="460">
        <v>45124</v>
      </c>
      <c r="I29" s="461"/>
    </row>
    <row r="30" spans="1:11" ht="21" thickBot="1" x14ac:dyDescent="0.3">
      <c r="A30" s="53" t="s">
        <v>137</v>
      </c>
      <c r="B30" s="53" t="s">
        <v>3</v>
      </c>
      <c r="C30" s="53" t="s">
        <v>138</v>
      </c>
      <c r="G30" s="53" t="s">
        <v>137</v>
      </c>
      <c r="H30" s="53" t="s">
        <v>3</v>
      </c>
      <c r="I30" s="53" t="s">
        <v>138</v>
      </c>
    </row>
    <row r="31" spans="1:11" ht="18" x14ac:dyDescent="0.25">
      <c r="A31" s="55">
        <v>13820</v>
      </c>
      <c r="B31" s="57">
        <v>320</v>
      </c>
      <c r="C31" s="56" t="s">
        <v>1089</v>
      </c>
      <c r="G31" s="55">
        <f>1275+5000+500+10</f>
        <v>6785</v>
      </c>
      <c r="H31" s="77">
        <v>245</v>
      </c>
      <c r="I31" s="57" t="s">
        <v>1121</v>
      </c>
    </row>
    <row r="32" spans="1:11" ht="18" x14ac:dyDescent="0.25">
      <c r="A32" s="60"/>
      <c r="B32" s="56">
        <v>170</v>
      </c>
      <c r="C32" s="56" t="s">
        <v>521</v>
      </c>
      <c r="G32" s="60"/>
      <c r="H32" s="56">
        <v>130</v>
      </c>
      <c r="I32" s="57" t="s">
        <v>1120</v>
      </c>
    </row>
    <row r="33" spans="1:11" ht="18" x14ac:dyDescent="0.25">
      <c r="A33" s="60"/>
      <c r="B33" s="77">
        <v>90</v>
      </c>
      <c r="C33" s="56" t="s">
        <v>1090</v>
      </c>
      <c r="G33" s="60"/>
      <c r="H33" s="77">
        <f>139+6</f>
        <v>145</v>
      </c>
      <c r="I33" s="77" t="s">
        <v>73</v>
      </c>
    </row>
    <row r="34" spans="1:11" ht="18" x14ac:dyDescent="0.25">
      <c r="A34" s="60"/>
      <c r="B34" s="77">
        <v>480</v>
      </c>
      <c r="C34" s="56" t="s">
        <v>850</v>
      </c>
      <c r="G34" s="60"/>
      <c r="H34" s="56"/>
      <c r="I34" s="77"/>
    </row>
    <row r="35" spans="1:11" ht="18" x14ac:dyDescent="0.25">
      <c r="A35" s="60"/>
      <c r="B35" s="56">
        <v>290</v>
      </c>
      <c r="C35" s="56" t="s">
        <v>1091</v>
      </c>
      <c r="G35" s="60"/>
      <c r="H35" s="77"/>
      <c r="I35" s="56"/>
    </row>
    <row r="36" spans="1:11" ht="18" x14ac:dyDescent="0.25">
      <c r="A36" s="60"/>
      <c r="B36" s="77"/>
      <c r="C36" s="56"/>
      <c r="G36" s="60"/>
      <c r="H36" s="77"/>
      <c r="I36" s="56"/>
    </row>
    <row r="37" spans="1:11" ht="18" x14ac:dyDescent="0.25">
      <c r="A37" s="60"/>
      <c r="B37" s="56"/>
      <c r="C37" s="56"/>
      <c r="G37" s="60"/>
      <c r="H37" s="56"/>
      <c r="I37" s="56"/>
    </row>
    <row r="38" spans="1:11" ht="18" x14ac:dyDescent="0.25">
      <c r="A38" s="60"/>
      <c r="B38" s="56"/>
      <c r="C38" s="56"/>
      <c r="G38" s="60"/>
      <c r="H38" s="56"/>
      <c r="I38" s="56"/>
    </row>
    <row r="39" spans="1:11" ht="18" x14ac:dyDescent="0.25">
      <c r="A39" s="60"/>
      <c r="B39" s="56"/>
      <c r="C39" s="56"/>
      <c r="G39" s="60"/>
      <c r="H39" s="56"/>
      <c r="I39" s="56"/>
    </row>
    <row r="40" spans="1:11" ht="18" x14ac:dyDescent="0.25">
      <c r="A40" s="60"/>
      <c r="B40" s="56"/>
      <c r="C40" s="56"/>
      <c r="G40" s="60"/>
      <c r="H40" s="56"/>
      <c r="I40" s="56"/>
    </row>
    <row r="41" spans="1:11" ht="18" x14ac:dyDescent="0.25">
      <c r="A41" s="60"/>
      <c r="B41" s="56"/>
      <c r="C41" s="56"/>
      <c r="G41" s="60"/>
      <c r="H41" s="56"/>
      <c r="I41" s="56"/>
    </row>
    <row r="42" spans="1:11" ht="18" x14ac:dyDescent="0.25">
      <c r="A42" s="60"/>
      <c r="B42" s="56"/>
      <c r="C42" s="56"/>
      <c r="G42" s="60"/>
      <c r="H42" s="56"/>
      <c r="I42" s="56"/>
    </row>
    <row r="43" spans="1:11" ht="18" x14ac:dyDescent="0.25">
      <c r="A43" s="60"/>
      <c r="B43" s="56"/>
      <c r="C43" s="56"/>
      <c r="G43" s="60"/>
      <c r="H43" s="56"/>
      <c r="I43" s="56"/>
    </row>
    <row r="44" spans="1:11" ht="18" x14ac:dyDescent="0.25">
      <c r="A44" s="60"/>
      <c r="B44" s="56"/>
      <c r="C44" s="56"/>
      <c r="G44" s="60"/>
      <c r="H44" s="56"/>
      <c r="I44" s="56"/>
    </row>
    <row r="45" spans="1:11" ht="18" x14ac:dyDescent="0.25">
      <c r="A45" s="60"/>
      <c r="B45" s="56"/>
      <c r="C45" s="56"/>
      <c r="G45" s="60"/>
      <c r="H45" s="56"/>
      <c r="I45" s="56"/>
    </row>
    <row r="46" spans="1:11" ht="18.75" thickBot="1" x14ac:dyDescent="0.3">
      <c r="A46" s="60"/>
      <c r="B46" s="56"/>
      <c r="C46" s="56"/>
      <c r="G46" s="60"/>
      <c r="H46" s="56"/>
      <c r="I46" s="56"/>
    </row>
    <row r="47" spans="1:11" ht="24" thickBot="1" x14ac:dyDescent="0.3">
      <c r="A47" s="66"/>
      <c r="B47" s="56"/>
      <c r="C47" s="64"/>
      <c r="D47" s="134" t="s">
        <v>43</v>
      </c>
      <c r="E47" s="99">
        <f>850+200+25</f>
        <v>1075</v>
      </c>
      <c r="G47" s="66"/>
      <c r="H47" s="56"/>
      <c r="I47" s="64"/>
      <c r="J47" s="134" t="s">
        <v>43</v>
      </c>
      <c r="K47" s="99"/>
    </row>
    <row r="48" spans="1:11" ht="24" thickBot="1" x14ac:dyDescent="0.3">
      <c r="A48" s="68">
        <f>SUM(A31:A47)</f>
        <v>13820</v>
      </c>
      <c r="B48" s="69">
        <f>SUM(B31:B47)</f>
        <v>1350</v>
      </c>
      <c r="D48" s="135" t="s">
        <v>94</v>
      </c>
      <c r="E48" s="99"/>
      <c r="G48" s="68">
        <f>SUM(G31:G47)</f>
        <v>6785</v>
      </c>
      <c r="H48" s="69">
        <f>SUM(H31:H47)</f>
        <v>520</v>
      </c>
      <c r="J48" s="135" t="s">
        <v>94</v>
      </c>
      <c r="K48" s="99"/>
    </row>
    <row r="49" spans="1:11" ht="21.75" thickBot="1" x14ac:dyDescent="0.3">
      <c r="A49" s="462" t="s">
        <v>139</v>
      </c>
      <c r="B49" s="463"/>
      <c r="C49" s="71" t="s">
        <v>75</v>
      </c>
      <c r="D49" s="136" t="s">
        <v>65</v>
      </c>
      <c r="E49" s="85"/>
      <c r="G49" s="462" t="s">
        <v>139</v>
      </c>
      <c r="H49" s="463"/>
      <c r="I49" s="71" t="s">
        <v>75</v>
      </c>
      <c r="J49" s="136" t="s">
        <v>65</v>
      </c>
      <c r="K49" s="85"/>
    </row>
    <row r="50" spans="1:11" ht="24" thickBot="1" x14ac:dyDescent="0.3">
      <c r="A50" s="464">
        <f>B48+A48</f>
        <v>15170</v>
      </c>
      <c r="B50" s="465"/>
      <c r="C50" s="313">
        <f>235+83+42</f>
        <v>360</v>
      </c>
      <c r="D50" s="82"/>
      <c r="E50" s="83"/>
      <c r="G50" s="464">
        <f>H48+G48</f>
        <v>7305</v>
      </c>
      <c r="H50" s="465"/>
      <c r="I50" s="313">
        <v>101</v>
      </c>
      <c r="J50" s="82"/>
      <c r="K50" s="83"/>
    </row>
    <row r="51" spans="1:11" ht="24" thickBot="1" x14ac:dyDescent="0.3">
      <c r="A51" s="466" t="s">
        <v>99</v>
      </c>
      <c r="B51" s="467"/>
      <c r="C51" s="78">
        <f>A52-C52</f>
        <v>-47</v>
      </c>
      <c r="D51" s="82"/>
      <c r="E51" s="83"/>
      <c r="G51" s="466" t="s">
        <v>99</v>
      </c>
      <c r="H51" s="467"/>
      <c r="I51" s="78">
        <f>G52-I52</f>
        <v>0</v>
      </c>
      <c r="J51" s="82"/>
      <c r="K51" s="83"/>
    </row>
    <row r="52" spans="1:11" ht="24" thickBot="1" x14ac:dyDescent="0.3">
      <c r="A52" s="468">
        <f>C50+A50</f>
        <v>15530</v>
      </c>
      <c r="B52" s="469"/>
      <c r="C52" s="121">
        <v>15577</v>
      </c>
      <c r="D52" s="82" t="s">
        <v>164</v>
      </c>
      <c r="E52" s="83">
        <f>SUM(E49:E51)</f>
        <v>0</v>
      </c>
      <c r="G52" s="468">
        <f>I50+G50</f>
        <v>7406</v>
      </c>
      <c r="H52" s="469"/>
      <c r="I52" s="121">
        <v>7406</v>
      </c>
      <c r="J52" s="82" t="s">
        <v>164</v>
      </c>
      <c r="K52" s="83">
        <f>SUM(K49:K51)</f>
        <v>0</v>
      </c>
    </row>
    <row r="53" spans="1:11" ht="24" thickBot="1" x14ac:dyDescent="0.3">
      <c r="C53" s="314" t="str">
        <f>IF(C51&gt;0,"زيادة","عجز")</f>
        <v>عجز</v>
      </c>
      <c r="D53" s="318"/>
      <c r="I53" s="314" t="str">
        <f>IF(I51&gt;0,"زيادة","عجز")</f>
        <v>عجز</v>
      </c>
      <c r="J53" s="318"/>
    </row>
    <row r="57" spans="1:11" ht="15.75" thickBot="1" x14ac:dyDescent="0.3"/>
    <row r="58" spans="1:11" ht="24" thickBot="1" x14ac:dyDescent="0.3">
      <c r="A58" s="76" t="s">
        <v>59</v>
      </c>
      <c r="B58" s="460">
        <v>45124</v>
      </c>
      <c r="C58" s="461"/>
      <c r="G58" s="76" t="s">
        <v>88</v>
      </c>
      <c r="H58" s="460">
        <v>45123</v>
      </c>
      <c r="I58" s="461"/>
    </row>
    <row r="59" spans="1:11" ht="21" thickBot="1" x14ac:dyDescent="0.3">
      <c r="A59" s="53" t="s">
        <v>137</v>
      </c>
      <c r="B59" s="53" t="s">
        <v>3</v>
      </c>
      <c r="C59" s="53" t="s">
        <v>138</v>
      </c>
      <c r="G59" s="53" t="s">
        <v>137</v>
      </c>
      <c r="H59" s="53" t="s">
        <v>3</v>
      </c>
      <c r="I59" s="53" t="s">
        <v>138</v>
      </c>
    </row>
    <row r="60" spans="1:11" ht="18" x14ac:dyDescent="0.25">
      <c r="A60" s="55">
        <v>5600</v>
      </c>
      <c r="B60" s="57">
        <v>4400</v>
      </c>
      <c r="C60" s="56" t="s">
        <v>1104</v>
      </c>
      <c r="G60" s="55">
        <v>9600</v>
      </c>
      <c r="H60" s="77">
        <v>225</v>
      </c>
      <c r="I60" s="57" t="s">
        <v>255</v>
      </c>
    </row>
    <row r="61" spans="1:11" ht="18" x14ac:dyDescent="0.25">
      <c r="A61" s="60">
        <v>3950</v>
      </c>
      <c r="B61" s="56">
        <v>126</v>
      </c>
      <c r="C61" s="56" t="s">
        <v>1105</v>
      </c>
      <c r="G61" s="60">
        <v>48</v>
      </c>
      <c r="H61" s="56">
        <v>90</v>
      </c>
      <c r="I61" s="57" t="s">
        <v>9</v>
      </c>
    </row>
    <row r="62" spans="1:11" ht="18" x14ac:dyDescent="0.25">
      <c r="A62" s="60">
        <v>325</v>
      </c>
      <c r="B62" s="77">
        <v>210</v>
      </c>
      <c r="C62" s="56" t="s">
        <v>1106</v>
      </c>
      <c r="G62" s="60"/>
      <c r="H62" s="77">
        <v>50</v>
      </c>
      <c r="I62" s="77" t="s">
        <v>50</v>
      </c>
    </row>
    <row r="63" spans="1:11" ht="18" x14ac:dyDescent="0.25">
      <c r="A63" s="60"/>
      <c r="B63" s="77">
        <v>10</v>
      </c>
      <c r="C63" s="56" t="s">
        <v>1107</v>
      </c>
      <c r="G63" s="60"/>
      <c r="H63" s="56">
        <v>290</v>
      </c>
      <c r="I63" s="77" t="s">
        <v>709</v>
      </c>
    </row>
    <row r="64" spans="1:11" ht="18" x14ac:dyDescent="0.25">
      <c r="A64" s="60"/>
      <c r="B64" s="56">
        <v>1625</v>
      </c>
      <c r="C64" s="56" t="s">
        <v>1108</v>
      </c>
      <c r="G64" s="60"/>
      <c r="H64" s="77">
        <v>304</v>
      </c>
      <c r="I64" s="56" t="s">
        <v>252</v>
      </c>
    </row>
    <row r="65" spans="1:11" ht="18" x14ac:dyDescent="0.25">
      <c r="A65" s="60"/>
      <c r="B65" s="77">
        <v>10</v>
      </c>
      <c r="C65" s="56" t="s">
        <v>1109</v>
      </c>
      <c r="G65" s="60"/>
      <c r="H65" s="77">
        <v>140</v>
      </c>
      <c r="I65" s="56" t="s">
        <v>341</v>
      </c>
    </row>
    <row r="66" spans="1:11" ht="18" x14ac:dyDescent="0.25">
      <c r="A66" s="60"/>
      <c r="B66" s="56">
        <v>500</v>
      </c>
      <c r="C66" s="56" t="s">
        <v>27</v>
      </c>
      <c r="G66" s="60"/>
      <c r="H66" s="56">
        <v>120</v>
      </c>
      <c r="I66" s="56" t="s">
        <v>39</v>
      </c>
    </row>
    <row r="67" spans="1:11" ht="18" x14ac:dyDescent="0.25">
      <c r="A67" s="60"/>
      <c r="B67" s="56">
        <v>38</v>
      </c>
      <c r="C67" s="56" t="s">
        <v>27</v>
      </c>
      <c r="G67" s="60"/>
      <c r="H67" s="56">
        <v>1715</v>
      </c>
      <c r="I67" s="56" t="s">
        <v>12</v>
      </c>
    </row>
    <row r="68" spans="1:11" ht="18" x14ac:dyDescent="0.25">
      <c r="A68" s="60"/>
      <c r="B68" s="56">
        <v>495</v>
      </c>
      <c r="C68" s="56" t="s">
        <v>27</v>
      </c>
      <c r="G68" s="60"/>
      <c r="H68" s="56">
        <v>1073</v>
      </c>
      <c r="I68" s="56" t="s">
        <v>1122</v>
      </c>
    </row>
    <row r="69" spans="1:11" ht="18" x14ac:dyDescent="0.25">
      <c r="A69" s="60"/>
      <c r="B69" s="56"/>
      <c r="C69" s="56"/>
      <c r="G69" s="60"/>
      <c r="H69" s="56">
        <v>390</v>
      </c>
      <c r="I69" s="56" t="s">
        <v>312</v>
      </c>
    </row>
    <row r="70" spans="1:11" ht="18" x14ac:dyDescent="0.25">
      <c r="A70" s="60"/>
      <c r="B70" s="56"/>
      <c r="C70" s="56"/>
      <c r="G70" s="60"/>
      <c r="H70" s="56">
        <v>140</v>
      </c>
      <c r="I70" s="56" t="s">
        <v>656</v>
      </c>
    </row>
    <row r="71" spans="1:11" ht="18" x14ac:dyDescent="0.25">
      <c r="A71" s="60"/>
      <c r="B71" s="56"/>
      <c r="C71" s="56"/>
      <c r="G71" s="60"/>
      <c r="H71" s="56">
        <v>2870</v>
      </c>
      <c r="I71" s="56" t="s">
        <v>14</v>
      </c>
    </row>
    <row r="72" spans="1:11" ht="18" x14ac:dyDescent="0.25">
      <c r="A72" s="60"/>
      <c r="B72" s="56"/>
      <c r="C72" s="56"/>
      <c r="G72" s="60"/>
      <c r="H72" s="56"/>
      <c r="I72" s="56"/>
    </row>
    <row r="73" spans="1:11" ht="18" x14ac:dyDescent="0.25">
      <c r="A73" s="60"/>
      <c r="B73" s="56"/>
      <c r="C73" s="56"/>
      <c r="G73" s="60"/>
      <c r="H73" s="56"/>
      <c r="I73" s="56"/>
    </row>
    <row r="74" spans="1:11" ht="18" x14ac:dyDescent="0.25">
      <c r="A74" s="60"/>
      <c r="B74" s="56"/>
      <c r="C74" s="56"/>
      <c r="G74" s="60"/>
      <c r="H74" s="56"/>
      <c r="I74" s="56"/>
    </row>
    <row r="75" spans="1:11" ht="18.75" thickBot="1" x14ac:dyDescent="0.3">
      <c r="A75" s="60"/>
      <c r="B75" s="56"/>
      <c r="C75" s="56"/>
      <c r="G75" s="60"/>
      <c r="H75" s="56"/>
      <c r="I75" s="56"/>
    </row>
    <row r="76" spans="1:11" ht="24" thickBot="1" x14ac:dyDescent="0.3">
      <c r="A76" s="66"/>
      <c r="B76" s="56"/>
      <c r="C76" s="64"/>
      <c r="D76" s="134" t="s">
        <v>43</v>
      </c>
      <c r="E76" s="99"/>
      <c r="G76" s="66"/>
      <c r="H76" s="56"/>
      <c r="I76" s="64"/>
      <c r="J76" s="134" t="s">
        <v>43</v>
      </c>
      <c r="K76" s="99">
        <f>K78-K77:K77</f>
        <v>12</v>
      </c>
    </row>
    <row r="77" spans="1:11" ht="24" thickBot="1" x14ac:dyDescent="0.3">
      <c r="A77" s="68">
        <f>SUM(A60:A76)</f>
        <v>9875</v>
      </c>
      <c r="B77" s="69">
        <f>SUM(B60:B76)</f>
        <v>7414</v>
      </c>
      <c r="D77" s="135" t="s">
        <v>94</v>
      </c>
      <c r="E77" s="99"/>
      <c r="G77" s="68">
        <f>SUM(G60:G76)</f>
        <v>9648</v>
      </c>
      <c r="H77" s="69">
        <f>SUM(H60:H76)</f>
        <v>7407</v>
      </c>
      <c r="J77" s="135" t="s">
        <v>94</v>
      </c>
      <c r="K77" s="99">
        <v>628</v>
      </c>
    </row>
    <row r="78" spans="1:11" ht="21.75" thickBot="1" x14ac:dyDescent="0.3">
      <c r="A78" s="462" t="s">
        <v>139</v>
      </c>
      <c r="B78" s="463"/>
      <c r="C78" s="71" t="s">
        <v>75</v>
      </c>
      <c r="D78" s="136" t="s">
        <v>65</v>
      </c>
      <c r="E78" s="85"/>
      <c r="G78" s="462" t="s">
        <v>139</v>
      </c>
      <c r="H78" s="463"/>
      <c r="I78" s="71" t="s">
        <v>75</v>
      </c>
      <c r="J78" s="136" t="s">
        <v>65</v>
      </c>
      <c r="K78" s="85">
        <v>640</v>
      </c>
    </row>
    <row r="79" spans="1:11" ht="24" thickBot="1" x14ac:dyDescent="0.3">
      <c r="A79" s="464">
        <f>B77+A77</f>
        <v>17289</v>
      </c>
      <c r="B79" s="465"/>
      <c r="C79" s="313">
        <f>41</f>
        <v>41</v>
      </c>
      <c r="D79" s="82"/>
      <c r="E79" s="83"/>
      <c r="G79" s="464">
        <f>H77+G77</f>
        <v>17055</v>
      </c>
      <c r="H79" s="465"/>
      <c r="I79" s="313">
        <v>323</v>
      </c>
      <c r="J79" s="82"/>
      <c r="K79" s="83"/>
    </row>
    <row r="80" spans="1:11" ht="24" thickBot="1" x14ac:dyDescent="0.3">
      <c r="A80" s="466" t="s">
        <v>99</v>
      </c>
      <c r="B80" s="467"/>
      <c r="C80" s="78">
        <f>A81-C81</f>
        <v>-162</v>
      </c>
      <c r="D80" s="82"/>
      <c r="E80" s="83"/>
      <c r="G80" s="466" t="s">
        <v>99</v>
      </c>
      <c r="H80" s="467"/>
      <c r="I80" s="78">
        <f>G81-I81</f>
        <v>323</v>
      </c>
      <c r="J80" s="82"/>
      <c r="K80" s="83"/>
    </row>
    <row r="81" spans="1:11" ht="24" thickBot="1" x14ac:dyDescent="0.3">
      <c r="A81" s="468">
        <f>C79+A79</f>
        <v>17330</v>
      </c>
      <c r="B81" s="469"/>
      <c r="C81" s="121">
        <v>17492</v>
      </c>
      <c r="D81" s="82" t="s">
        <v>164</v>
      </c>
      <c r="E81" s="83">
        <f>SUM(E78:E80)</f>
        <v>0</v>
      </c>
      <c r="G81" s="468">
        <f>I79+G79</f>
        <v>17378</v>
      </c>
      <c r="H81" s="469"/>
      <c r="I81" s="121">
        <v>17055</v>
      </c>
      <c r="J81" s="82" t="s">
        <v>164</v>
      </c>
      <c r="K81" s="83">
        <f>SUM(K78:K80)</f>
        <v>640</v>
      </c>
    </row>
    <row r="82" spans="1:11" ht="24" thickBot="1" x14ac:dyDescent="0.3">
      <c r="C82" s="314" t="str">
        <f>IF(C80&gt;0,"زيادة","عجز")</f>
        <v>عجز</v>
      </c>
      <c r="D82" s="318"/>
      <c r="I82" s="314" t="str">
        <f>IF(I80&gt;0,"زيادة","عجز")</f>
        <v>زيادة</v>
      </c>
      <c r="J82" s="318"/>
    </row>
    <row r="88" spans="1:11" ht="15.75" thickBot="1" x14ac:dyDescent="0.3"/>
    <row r="89" spans="1:11" ht="24" thickBot="1" x14ac:dyDescent="0.3">
      <c r="A89" s="76" t="s">
        <v>85</v>
      </c>
      <c r="B89" s="460">
        <v>45123</v>
      </c>
      <c r="C89" s="461"/>
      <c r="G89" s="76" t="s">
        <v>6</v>
      </c>
      <c r="H89" s="460">
        <v>45123</v>
      </c>
      <c r="I89" s="461"/>
    </row>
    <row r="90" spans="1:11" ht="21" thickBot="1" x14ac:dyDescent="0.3">
      <c r="A90" s="53" t="s">
        <v>137</v>
      </c>
      <c r="B90" s="53" t="s">
        <v>3</v>
      </c>
      <c r="C90" s="53" t="s">
        <v>138</v>
      </c>
      <c r="G90" s="53" t="s">
        <v>137</v>
      </c>
      <c r="H90" s="53" t="s">
        <v>3</v>
      </c>
      <c r="I90" s="53" t="s">
        <v>138</v>
      </c>
    </row>
    <row r="91" spans="1:11" ht="18" x14ac:dyDescent="0.25">
      <c r="A91" s="55">
        <f>10000+1050+345</f>
        <v>11395</v>
      </c>
      <c r="B91" s="77">
        <v>40</v>
      </c>
      <c r="C91" s="57" t="s">
        <v>119</v>
      </c>
      <c r="G91" s="55">
        <f>7680</f>
        <v>7680</v>
      </c>
      <c r="H91" s="77">
        <v>16</v>
      </c>
      <c r="I91" s="57" t="s">
        <v>1123</v>
      </c>
    </row>
    <row r="92" spans="1:11" ht="18" x14ac:dyDescent="0.25">
      <c r="A92" s="60"/>
      <c r="B92" s="56">
        <v>60</v>
      </c>
      <c r="C92" s="57" t="s">
        <v>72</v>
      </c>
      <c r="G92" s="60"/>
      <c r="H92" s="56"/>
      <c r="I92" s="57"/>
    </row>
    <row r="93" spans="1:11" ht="18" x14ac:dyDescent="0.25">
      <c r="A93" s="60"/>
      <c r="B93" s="77">
        <v>95</v>
      </c>
      <c r="C93" s="77" t="s">
        <v>32</v>
      </c>
      <c r="G93" s="60"/>
      <c r="H93" s="77"/>
      <c r="I93" s="77"/>
    </row>
    <row r="94" spans="1:11" ht="18" x14ac:dyDescent="0.25">
      <c r="A94" s="60"/>
      <c r="B94" s="56">
        <v>160</v>
      </c>
      <c r="C94" s="77" t="s">
        <v>15</v>
      </c>
      <c r="G94" s="60"/>
      <c r="H94" s="56"/>
      <c r="I94" s="77"/>
    </row>
    <row r="95" spans="1:11" ht="18" x14ac:dyDescent="0.25">
      <c r="A95" s="60"/>
      <c r="B95" s="77">
        <v>90</v>
      </c>
      <c r="C95" s="56" t="s">
        <v>970</v>
      </c>
      <c r="G95" s="60"/>
      <c r="H95" s="77"/>
      <c r="I95" s="56"/>
    </row>
    <row r="96" spans="1:11" ht="18" x14ac:dyDescent="0.25">
      <c r="A96" s="60"/>
      <c r="B96" s="77">
        <v>225</v>
      </c>
      <c r="C96" s="56" t="s">
        <v>86</v>
      </c>
      <c r="G96" s="60"/>
      <c r="H96" s="77"/>
      <c r="I96" s="56"/>
    </row>
    <row r="97" spans="1:11" ht="18" x14ac:dyDescent="0.25">
      <c r="A97" s="60"/>
      <c r="B97" s="56"/>
      <c r="C97" s="56"/>
      <c r="G97" s="60"/>
      <c r="H97" s="56"/>
      <c r="I97" s="56"/>
    </row>
    <row r="98" spans="1:11" ht="18" x14ac:dyDescent="0.25">
      <c r="A98" s="60"/>
      <c r="B98" s="56"/>
      <c r="C98" s="56"/>
      <c r="G98" s="60"/>
      <c r="H98" s="56"/>
      <c r="I98" s="56"/>
    </row>
    <row r="99" spans="1:11" ht="18" x14ac:dyDescent="0.25">
      <c r="A99" s="60"/>
      <c r="B99" s="56"/>
      <c r="C99" s="56"/>
      <c r="G99" s="60"/>
      <c r="H99" s="56"/>
      <c r="I99" s="56"/>
    </row>
    <row r="100" spans="1:11" ht="18" x14ac:dyDescent="0.25">
      <c r="A100" s="60"/>
      <c r="B100" s="56"/>
      <c r="C100" s="56"/>
      <c r="G100" s="60"/>
      <c r="H100" s="56"/>
      <c r="I100" s="56"/>
    </row>
    <row r="101" spans="1:11" ht="18" x14ac:dyDescent="0.25">
      <c r="A101" s="60"/>
      <c r="B101" s="56"/>
      <c r="C101" s="56"/>
      <c r="G101" s="60"/>
      <c r="H101" s="56"/>
      <c r="I101" s="56"/>
    </row>
    <row r="102" spans="1:11" ht="18" x14ac:dyDescent="0.25">
      <c r="A102" s="60"/>
      <c r="B102" s="56"/>
      <c r="C102" s="56"/>
      <c r="G102" s="60"/>
      <c r="H102" s="56"/>
      <c r="I102" s="56"/>
    </row>
    <row r="103" spans="1:11" ht="18" x14ac:dyDescent="0.25">
      <c r="A103" s="60"/>
      <c r="B103" s="56"/>
      <c r="C103" s="56"/>
      <c r="G103" s="60"/>
      <c r="H103" s="56"/>
      <c r="I103" s="56"/>
    </row>
    <row r="104" spans="1:11" ht="18" x14ac:dyDescent="0.25">
      <c r="A104" s="60"/>
      <c r="B104" s="56"/>
      <c r="C104" s="56"/>
      <c r="G104" s="60"/>
      <c r="H104" s="56"/>
      <c r="I104" s="56"/>
    </row>
    <row r="105" spans="1:11" ht="18" x14ac:dyDescent="0.25">
      <c r="A105" s="60"/>
      <c r="B105" s="56"/>
      <c r="C105" s="56"/>
      <c r="G105" s="60"/>
      <c r="H105" s="56"/>
      <c r="I105" s="56"/>
    </row>
    <row r="106" spans="1:11" ht="18.75" thickBot="1" x14ac:dyDescent="0.3">
      <c r="A106" s="60"/>
      <c r="B106" s="56"/>
      <c r="C106" s="56"/>
      <c r="G106" s="60"/>
      <c r="H106" s="56"/>
      <c r="I106" s="56"/>
    </row>
    <row r="107" spans="1:11" ht="24" thickBot="1" x14ac:dyDescent="0.3">
      <c r="A107" s="66"/>
      <c r="B107" s="56"/>
      <c r="C107" s="64"/>
      <c r="D107" s="134" t="s">
        <v>43</v>
      </c>
      <c r="E107" s="99">
        <f>E109-E108:E108</f>
        <v>23</v>
      </c>
      <c r="G107" s="66"/>
      <c r="H107" s="56"/>
      <c r="I107" s="64"/>
      <c r="J107" s="134" t="s">
        <v>43</v>
      </c>
      <c r="K107" s="99">
        <f>K109-K108:K108</f>
        <v>12</v>
      </c>
    </row>
    <row r="108" spans="1:11" ht="24" thickBot="1" x14ac:dyDescent="0.3">
      <c r="A108" s="68">
        <f>SUM(A91:A107)</f>
        <v>11395</v>
      </c>
      <c r="B108" s="69">
        <f>SUM(B91:B107)</f>
        <v>670</v>
      </c>
      <c r="D108" s="135" t="s">
        <v>94</v>
      </c>
      <c r="E108" s="99">
        <v>559</v>
      </c>
      <c r="G108" s="68">
        <f>SUM(G91:G107)</f>
        <v>7680</v>
      </c>
      <c r="H108" s="69">
        <f>SUM(H91:H107)</f>
        <v>16</v>
      </c>
      <c r="J108" s="135" t="s">
        <v>94</v>
      </c>
      <c r="K108" s="99">
        <v>628</v>
      </c>
    </row>
    <row r="109" spans="1:11" ht="21.75" thickBot="1" x14ac:dyDescent="0.3">
      <c r="A109" s="462" t="s">
        <v>139</v>
      </c>
      <c r="B109" s="463"/>
      <c r="C109" s="71" t="s">
        <v>75</v>
      </c>
      <c r="D109" s="136" t="s">
        <v>65</v>
      </c>
      <c r="E109" s="85">
        <v>582</v>
      </c>
      <c r="G109" s="462" t="s">
        <v>139</v>
      </c>
      <c r="H109" s="463"/>
      <c r="I109" s="71" t="s">
        <v>75</v>
      </c>
      <c r="J109" s="136" t="s">
        <v>65</v>
      </c>
      <c r="K109" s="85">
        <v>640</v>
      </c>
    </row>
    <row r="110" spans="1:11" ht="24" thickBot="1" x14ac:dyDescent="0.3">
      <c r="A110" s="464">
        <f>B108+A108</f>
        <v>12065</v>
      </c>
      <c r="B110" s="465"/>
      <c r="C110" s="313">
        <v>228</v>
      </c>
      <c r="D110" s="82"/>
      <c r="E110" s="83"/>
      <c r="G110" s="464">
        <f>H108+G108</f>
        <v>7696</v>
      </c>
      <c r="H110" s="465"/>
      <c r="I110" s="313">
        <v>208</v>
      </c>
      <c r="J110" s="82"/>
      <c r="K110" s="83"/>
    </row>
    <row r="111" spans="1:11" ht="24" thickBot="1" x14ac:dyDescent="0.3">
      <c r="A111" s="466" t="s">
        <v>99</v>
      </c>
      <c r="B111" s="467"/>
      <c r="C111" s="78">
        <f>A112-C112</f>
        <v>16</v>
      </c>
      <c r="D111" s="82"/>
      <c r="E111" s="83"/>
      <c r="G111" s="466" t="s">
        <v>99</v>
      </c>
      <c r="H111" s="467"/>
      <c r="I111" s="78">
        <f>G112-I112</f>
        <v>31</v>
      </c>
      <c r="J111" s="82"/>
      <c r="K111" s="83"/>
    </row>
    <row r="112" spans="1:11" ht="24" thickBot="1" x14ac:dyDescent="0.3">
      <c r="A112" s="468">
        <f>C110+A110</f>
        <v>12293</v>
      </c>
      <c r="B112" s="469"/>
      <c r="C112" s="121">
        <v>12277</v>
      </c>
      <c r="D112" s="82" t="s">
        <v>164</v>
      </c>
      <c r="E112" s="83">
        <f>SUM(E109:E111)</f>
        <v>582</v>
      </c>
      <c r="G112" s="468">
        <f>I110+G110</f>
        <v>7904</v>
      </c>
      <c r="H112" s="469"/>
      <c r="I112" s="121">
        <v>7873</v>
      </c>
      <c r="J112" s="82" t="s">
        <v>164</v>
      </c>
      <c r="K112" s="83">
        <f>SUM(K109:K111)</f>
        <v>640</v>
      </c>
    </row>
    <row r="113" spans="3:10" ht="24" thickBot="1" x14ac:dyDescent="0.3">
      <c r="C113" s="314" t="str">
        <f>IF(C111&gt;0,"زيادة","عجز")</f>
        <v>زيادة</v>
      </c>
      <c r="D113" s="318"/>
      <c r="I113" s="314" t="str">
        <f>IF(I111&gt;0,"زيادة","عجز")</f>
        <v>زيادة</v>
      </c>
      <c r="J113" s="318"/>
    </row>
    <row r="115" spans="3:10" ht="15.75" thickBot="1" x14ac:dyDescent="0.3"/>
    <row r="116" spans="3:10" ht="24" thickBot="1" x14ac:dyDescent="0.3">
      <c r="G116" s="76" t="s">
        <v>15</v>
      </c>
      <c r="H116" s="460">
        <v>45123</v>
      </c>
      <c r="I116" s="461"/>
    </row>
    <row r="117" spans="3:10" ht="21" thickBot="1" x14ac:dyDescent="0.3">
      <c r="G117" s="53" t="s">
        <v>137</v>
      </c>
      <c r="H117" s="53" t="s">
        <v>3</v>
      </c>
      <c r="I117" s="53" t="s">
        <v>138</v>
      </c>
    </row>
    <row r="118" spans="3:10" ht="18" x14ac:dyDescent="0.25">
      <c r="G118" s="55">
        <v>12670</v>
      </c>
      <c r="H118" s="77">
        <v>180</v>
      </c>
      <c r="I118" s="57" t="s">
        <v>1124</v>
      </c>
    </row>
    <row r="119" spans="3:10" ht="18" x14ac:dyDescent="0.25">
      <c r="G119" s="60"/>
      <c r="H119" s="56">
        <v>540</v>
      </c>
      <c r="I119" s="57" t="s">
        <v>1125</v>
      </c>
    </row>
    <row r="120" spans="3:10" ht="18" x14ac:dyDescent="0.25">
      <c r="G120" s="60"/>
      <c r="H120" s="77">
        <v>100</v>
      </c>
      <c r="I120" s="77" t="s">
        <v>1126</v>
      </c>
    </row>
    <row r="121" spans="3:10" ht="18" x14ac:dyDescent="0.25">
      <c r="G121" s="60"/>
      <c r="H121" s="56">
        <v>150</v>
      </c>
      <c r="I121" s="77" t="s">
        <v>708</v>
      </c>
    </row>
    <row r="122" spans="3:10" ht="18" x14ac:dyDescent="0.25">
      <c r="G122" s="60"/>
      <c r="H122" s="77">
        <v>520</v>
      </c>
      <c r="I122" s="56" t="s">
        <v>1127</v>
      </c>
    </row>
    <row r="123" spans="3:10" ht="18" x14ac:dyDescent="0.25">
      <c r="G123" s="60"/>
      <c r="H123" s="77">
        <v>185</v>
      </c>
      <c r="I123" s="56" t="s">
        <v>498</v>
      </c>
    </row>
    <row r="124" spans="3:10" ht="18" x14ac:dyDescent="0.25">
      <c r="G124" s="60"/>
      <c r="H124" s="56">
        <v>650</v>
      </c>
      <c r="I124" s="56" t="s">
        <v>1128</v>
      </c>
    </row>
    <row r="125" spans="3:10" ht="18" x14ac:dyDescent="0.25">
      <c r="G125" s="60"/>
      <c r="H125" s="56">
        <v>120</v>
      </c>
      <c r="I125" s="56" t="s">
        <v>1129</v>
      </c>
    </row>
    <row r="126" spans="3:10" ht="18" x14ac:dyDescent="0.25">
      <c r="G126" s="60"/>
      <c r="H126" s="56"/>
      <c r="I126" s="56"/>
    </row>
    <row r="127" spans="3:10" ht="18" x14ac:dyDescent="0.25">
      <c r="G127" s="60"/>
      <c r="H127" s="56"/>
      <c r="I127" s="56"/>
    </row>
    <row r="128" spans="3:10" ht="18" x14ac:dyDescent="0.25">
      <c r="G128" s="60"/>
      <c r="H128" s="56"/>
      <c r="I128" s="56"/>
    </row>
    <row r="129" spans="7:11" ht="18" x14ac:dyDescent="0.25">
      <c r="G129" s="60"/>
      <c r="H129" s="56"/>
      <c r="I129" s="56"/>
    </row>
    <row r="130" spans="7:11" ht="18" x14ac:dyDescent="0.25">
      <c r="G130" s="60"/>
      <c r="H130" s="56"/>
      <c r="I130" s="56"/>
    </row>
    <row r="131" spans="7:11" ht="18" x14ac:dyDescent="0.25">
      <c r="G131" s="60"/>
      <c r="H131" s="56"/>
      <c r="I131" s="56"/>
    </row>
    <row r="132" spans="7:11" ht="18" x14ac:dyDescent="0.25">
      <c r="G132" s="60"/>
      <c r="H132" s="56"/>
      <c r="I132" s="56"/>
    </row>
    <row r="133" spans="7:11" ht="18.75" thickBot="1" x14ac:dyDescent="0.3">
      <c r="G133" s="60"/>
      <c r="H133" s="56"/>
      <c r="I133" s="56"/>
    </row>
    <row r="134" spans="7:11" ht="24" thickBot="1" x14ac:dyDescent="0.3">
      <c r="G134" s="66"/>
      <c r="H134" s="56"/>
      <c r="I134" s="64"/>
      <c r="J134" s="134" t="s">
        <v>43</v>
      </c>
      <c r="K134" s="99">
        <f>K136-K135:K135</f>
        <v>12</v>
      </c>
    </row>
    <row r="135" spans="7:11" ht="24" thickBot="1" x14ac:dyDescent="0.3">
      <c r="G135" s="68">
        <f>SUM(G118:G134)</f>
        <v>12670</v>
      </c>
      <c r="H135" s="69">
        <f>SUM(H118:H134)</f>
        <v>2445</v>
      </c>
      <c r="J135" s="135" t="s">
        <v>94</v>
      </c>
      <c r="K135" s="99">
        <v>123</v>
      </c>
    </row>
    <row r="136" spans="7:11" ht="21.75" thickBot="1" x14ac:dyDescent="0.3">
      <c r="G136" s="462" t="s">
        <v>139</v>
      </c>
      <c r="H136" s="463"/>
      <c r="I136" s="71" t="s">
        <v>75</v>
      </c>
      <c r="J136" s="136" t="s">
        <v>65</v>
      </c>
      <c r="K136" s="85">
        <v>135</v>
      </c>
    </row>
    <row r="137" spans="7:11" ht="24" thickBot="1" x14ac:dyDescent="0.3">
      <c r="G137" s="464">
        <f>H135+G135</f>
        <v>15115</v>
      </c>
      <c r="H137" s="465"/>
      <c r="I137" s="313">
        <v>643</v>
      </c>
      <c r="J137" s="82"/>
      <c r="K137" s="83"/>
    </row>
    <row r="138" spans="7:11" ht="24" thickBot="1" x14ac:dyDescent="0.3">
      <c r="G138" s="466" t="s">
        <v>99</v>
      </c>
      <c r="H138" s="467"/>
      <c r="I138" s="78">
        <f>G139-I139</f>
        <v>-5</v>
      </c>
      <c r="J138" s="82"/>
      <c r="K138" s="83"/>
    </row>
    <row r="139" spans="7:11" ht="24" thickBot="1" x14ac:dyDescent="0.3">
      <c r="G139" s="468">
        <f>I137+G137</f>
        <v>15758</v>
      </c>
      <c r="H139" s="469"/>
      <c r="I139" s="121">
        <v>15763</v>
      </c>
      <c r="J139" s="82" t="s">
        <v>164</v>
      </c>
      <c r="K139" s="83">
        <f>SUM(K136:K138)</f>
        <v>135</v>
      </c>
    </row>
    <row r="140" spans="7:11" ht="24" thickBot="1" x14ac:dyDescent="0.3">
      <c r="I140" s="314" t="str">
        <f>IF(I138&gt;0,"زيادة","عجز")</f>
        <v>عجز</v>
      </c>
      <c r="J140" s="318"/>
    </row>
  </sheetData>
  <mergeCells count="45">
    <mergeCell ref="A49:B49"/>
    <mergeCell ref="A50:B50"/>
    <mergeCell ref="A51:B51"/>
    <mergeCell ref="A52:B52"/>
    <mergeCell ref="B1:C1"/>
    <mergeCell ref="A21:B21"/>
    <mergeCell ref="A22:B22"/>
    <mergeCell ref="A23:B23"/>
    <mergeCell ref="A24:B24"/>
    <mergeCell ref="B29:C29"/>
    <mergeCell ref="B58:C58"/>
    <mergeCell ref="A78:B78"/>
    <mergeCell ref="A79:B79"/>
    <mergeCell ref="A80:B80"/>
    <mergeCell ref="A81:B81"/>
    <mergeCell ref="H1:I1"/>
    <mergeCell ref="G21:H21"/>
    <mergeCell ref="G22:H22"/>
    <mergeCell ref="H29:I29"/>
    <mergeCell ref="G49:H49"/>
    <mergeCell ref="G23:H23"/>
    <mergeCell ref="G24:H24"/>
    <mergeCell ref="G79:H79"/>
    <mergeCell ref="G80:H80"/>
    <mergeCell ref="G81:H81"/>
    <mergeCell ref="G50:H50"/>
    <mergeCell ref="G51:H51"/>
    <mergeCell ref="G52:H52"/>
    <mergeCell ref="H58:I58"/>
    <mergeCell ref="G78:H78"/>
    <mergeCell ref="G138:H138"/>
    <mergeCell ref="G139:H139"/>
    <mergeCell ref="B89:C89"/>
    <mergeCell ref="A109:B109"/>
    <mergeCell ref="A110:B110"/>
    <mergeCell ref="A111:B111"/>
    <mergeCell ref="A112:B112"/>
    <mergeCell ref="G111:H111"/>
    <mergeCell ref="G112:H112"/>
    <mergeCell ref="H116:I116"/>
    <mergeCell ref="G136:H136"/>
    <mergeCell ref="G137:H137"/>
    <mergeCell ref="H89:I89"/>
    <mergeCell ref="G109:H109"/>
    <mergeCell ref="G110:H110"/>
  </mergeCells>
  <conditionalFormatting sqref="C25">
    <cfRule type="expression" dxfId="239" priority="27">
      <formula>$C$77="عجز"</formula>
    </cfRule>
    <cfRule type="expression" dxfId="238" priority="28">
      <formula>$C$77="زيادة"</formula>
    </cfRule>
  </conditionalFormatting>
  <conditionalFormatting sqref="C53">
    <cfRule type="expression" dxfId="237" priority="25">
      <formula>$C$77="عجز"</formula>
    </cfRule>
    <cfRule type="expression" dxfId="236" priority="26">
      <formula>$C$77="زيادة"</formula>
    </cfRule>
  </conditionalFormatting>
  <conditionalFormatting sqref="C82">
    <cfRule type="expression" dxfId="235" priority="23">
      <formula>$C$77="عجز"</formula>
    </cfRule>
    <cfRule type="expression" dxfId="234" priority="24">
      <formula>$C$77="زيادة"</formula>
    </cfRule>
  </conditionalFormatting>
  <conditionalFormatting sqref="C113">
    <cfRule type="expression" dxfId="233" priority="1">
      <formula>$C$77="عجز"</formula>
    </cfRule>
    <cfRule type="expression" dxfId="232" priority="2">
      <formula>$C$77="زيادة"</formula>
    </cfRule>
  </conditionalFormatting>
  <conditionalFormatting sqref="I25">
    <cfRule type="expression" dxfId="231" priority="15">
      <formula>$C$77="عجز"</formula>
    </cfRule>
    <cfRule type="expression" dxfId="230" priority="16">
      <formula>$C$77="زيادة"</formula>
    </cfRule>
  </conditionalFormatting>
  <conditionalFormatting sqref="I53">
    <cfRule type="expression" dxfId="229" priority="13">
      <formula>$C$77="عجز"</formula>
    </cfRule>
    <cfRule type="expression" dxfId="228" priority="14">
      <formula>$C$77="زيادة"</formula>
    </cfRule>
  </conditionalFormatting>
  <conditionalFormatting sqref="I82">
    <cfRule type="expression" dxfId="227" priority="7">
      <formula>$C$77="عجز"</formula>
    </cfRule>
    <cfRule type="expression" dxfId="226" priority="8">
      <formula>$C$77="زيادة"</formula>
    </cfRule>
  </conditionalFormatting>
  <conditionalFormatting sqref="I113">
    <cfRule type="expression" dxfId="225" priority="5">
      <formula>$C$77="عجز"</formula>
    </cfRule>
    <cfRule type="expression" dxfId="224" priority="6">
      <formula>$C$77="زيادة"</formula>
    </cfRule>
  </conditionalFormatting>
  <conditionalFormatting sqref="I140">
    <cfRule type="expression" dxfId="223" priority="3">
      <formula>$C$77="عجز"</formula>
    </cfRule>
    <cfRule type="expression" dxfId="222" priority="4">
      <formula>$C$77="زيادة"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BC40B-0A04-4C21-BFFB-C7CB919C5CA8}">
  <sheetPr codeName="Sheet11"/>
  <dimension ref="A1:G411"/>
  <sheetViews>
    <sheetView rightToLeft="1" topLeftCell="A49" zoomScale="115" zoomScaleNormal="115" workbookViewId="0">
      <selection activeCell="B205" sqref="A203:E222"/>
    </sheetView>
  </sheetViews>
  <sheetFormatPr defaultRowHeight="15" x14ac:dyDescent="0.25"/>
  <cols>
    <col min="1" max="1" width="32.85546875" style="9" bestFit="1" customWidth="1"/>
    <col min="2" max="2" width="23.42578125" style="10" customWidth="1"/>
    <col min="3" max="3" width="21.42578125" customWidth="1"/>
    <col min="4" max="4" width="21" customWidth="1"/>
    <col min="5" max="5" width="24.140625" customWidth="1"/>
    <col min="6" max="6" width="6.7109375" bestFit="1" customWidth="1"/>
    <col min="7" max="7" width="45.85546875" customWidth="1"/>
    <col min="8" max="8" width="14.5703125" customWidth="1"/>
    <col min="9" max="9" width="10.7109375" customWidth="1"/>
  </cols>
  <sheetData>
    <row r="1" spans="1:5" ht="18.75" x14ac:dyDescent="0.3">
      <c r="A1" s="1" t="s">
        <v>0</v>
      </c>
      <c r="B1" s="2">
        <v>45115</v>
      </c>
      <c r="C1" s="3"/>
      <c r="D1" s="3"/>
    </row>
    <row r="2" spans="1:5" x14ac:dyDescent="0.25">
      <c r="A2" s="4" t="s">
        <v>1</v>
      </c>
      <c r="B2" s="5" t="s">
        <v>2</v>
      </c>
      <c r="C2" s="5" t="s">
        <v>3</v>
      </c>
      <c r="D2" s="6" t="s">
        <v>4</v>
      </c>
      <c r="E2" s="5" t="s">
        <v>5</v>
      </c>
    </row>
    <row r="3" spans="1:5" x14ac:dyDescent="0.25">
      <c r="A3" s="19"/>
      <c r="B3" s="31"/>
      <c r="C3" s="90"/>
      <c r="D3" s="21"/>
      <c r="E3" s="122"/>
    </row>
    <row r="4" spans="1:5" x14ac:dyDescent="0.25">
      <c r="A4" s="20"/>
      <c r="B4" s="22"/>
      <c r="C4" s="90"/>
      <c r="D4" s="21"/>
      <c r="E4" s="123"/>
    </row>
    <row r="5" spans="1:5" x14ac:dyDescent="0.25">
      <c r="A5" s="20"/>
      <c r="B5" s="22"/>
      <c r="C5" s="90"/>
      <c r="D5" s="21"/>
      <c r="E5" s="123"/>
    </row>
    <row r="6" spans="1:5" x14ac:dyDescent="0.25">
      <c r="A6" s="20"/>
      <c r="B6" s="22"/>
      <c r="C6" s="90"/>
      <c r="D6" s="21"/>
      <c r="E6" s="123"/>
    </row>
    <row r="7" spans="1:5" x14ac:dyDescent="0.25">
      <c r="A7" s="20"/>
      <c r="B7" s="22"/>
      <c r="C7" s="20"/>
      <c r="D7" s="21"/>
      <c r="E7" s="123"/>
    </row>
    <row r="8" spans="1:5" x14ac:dyDescent="0.25">
      <c r="A8" s="20"/>
      <c r="B8" s="21"/>
      <c r="C8" s="20"/>
      <c r="D8" s="91"/>
      <c r="E8" s="123"/>
    </row>
    <row r="9" spans="1:5" x14ac:dyDescent="0.25">
      <c r="A9" s="20"/>
      <c r="B9" s="21"/>
      <c r="C9" s="90"/>
      <c r="D9" s="96"/>
      <c r="E9" s="124"/>
    </row>
    <row r="10" spans="1:5" x14ac:dyDescent="0.25">
      <c r="A10" s="20"/>
      <c r="B10" s="21"/>
      <c r="C10" s="90"/>
      <c r="D10" s="96"/>
      <c r="E10" s="124"/>
    </row>
    <row r="11" spans="1:5" x14ac:dyDescent="0.25">
      <c r="A11" s="20"/>
      <c r="B11" s="21"/>
      <c r="C11" s="90"/>
      <c r="D11" s="96"/>
      <c r="E11" s="124"/>
    </row>
    <row r="12" spans="1:5" x14ac:dyDescent="0.25">
      <c r="A12" s="20"/>
      <c r="B12" s="21"/>
      <c r="C12" s="20"/>
      <c r="D12" s="96"/>
      <c r="E12" s="125"/>
    </row>
    <row r="13" spans="1:5" ht="18" x14ac:dyDescent="0.25">
      <c r="A13" s="20"/>
      <c r="B13" s="96"/>
      <c r="C13" s="90"/>
      <c r="D13" s="96"/>
      <c r="E13" s="77"/>
    </row>
    <row r="14" spans="1:5" ht="18" x14ac:dyDescent="0.25">
      <c r="A14" s="20"/>
      <c r="B14" s="96"/>
      <c r="C14" s="90"/>
      <c r="D14" s="96"/>
      <c r="E14" s="77"/>
    </row>
    <row r="15" spans="1:5" ht="18" x14ac:dyDescent="0.25">
      <c r="A15" s="20"/>
      <c r="B15" s="96"/>
      <c r="C15" s="20"/>
      <c r="D15" s="96"/>
      <c r="E15" s="56"/>
    </row>
    <row r="16" spans="1:5" ht="18" x14ac:dyDescent="0.25">
      <c r="A16" s="20"/>
      <c r="B16" s="96"/>
      <c r="C16" s="20"/>
      <c r="D16" s="117"/>
      <c r="E16" s="56"/>
    </row>
    <row r="17" spans="1:7" ht="18" x14ac:dyDescent="0.25">
      <c r="A17" s="20"/>
      <c r="B17" s="96"/>
      <c r="C17" s="90"/>
      <c r="D17" s="117"/>
      <c r="E17" s="56"/>
    </row>
    <row r="18" spans="1:7" ht="18" x14ac:dyDescent="0.25">
      <c r="A18" s="20"/>
      <c r="B18" s="96"/>
      <c r="C18" s="90"/>
      <c r="D18" s="117"/>
      <c r="E18" s="56"/>
      <c r="G18" s="97"/>
    </row>
    <row r="19" spans="1:7" x14ac:dyDescent="0.25">
      <c r="A19" s="20"/>
      <c r="B19" s="96"/>
      <c r="C19" s="90"/>
      <c r="D19" s="117"/>
      <c r="E19" s="124"/>
      <c r="G19" s="97"/>
    </row>
    <row r="20" spans="1:7" x14ac:dyDescent="0.25">
      <c r="A20" s="20"/>
      <c r="B20" s="96"/>
      <c r="C20" s="90"/>
      <c r="D20" s="117"/>
      <c r="E20" s="124"/>
      <c r="G20" s="97"/>
    </row>
    <row r="21" spans="1:7" x14ac:dyDescent="0.25">
      <c r="A21" s="20"/>
      <c r="B21" s="96"/>
      <c r="C21" s="20"/>
      <c r="D21" s="117"/>
      <c r="E21" s="124"/>
      <c r="G21" s="97"/>
    </row>
    <row r="22" spans="1:7" ht="15.75" x14ac:dyDescent="0.25">
      <c r="A22" s="20"/>
      <c r="B22" s="20"/>
      <c r="C22" s="20"/>
      <c r="D22" s="91"/>
      <c r="E22" s="124"/>
      <c r="F22" s="15"/>
      <c r="G22" s="97"/>
    </row>
    <row r="23" spans="1:7" ht="15.75" x14ac:dyDescent="0.25">
      <c r="A23" s="20"/>
      <c r="B23" s="117"/>
      <c r="C23" s="20"/>
      <c r="D23" s="96"/>
      <c r="E23" s="128"/>
      <c r="F23" s="15"/>
      <c r="G23" s="97"/>
    </row>
    <row r="24" spans="1:7" ht="15.75" x14ac:dyDescent="0.25">
      <c r="A24" s="20"/>
      <c r="B24" s="117"/>
      <c r="C24" s="20"/>
      <c r="D24" s="96"/>
      <c r="E24" s="128"/>
      <c r="F24" s="15"/>
    </row>
    <row r="25" spans="1:7" ht="15.75" x14ac:dyDescent="0.25">
      <c r="A25" s="20"/>
      <c r="B25" s="117"/>
      <c r="C25" s="20"/>
      <c r="D25" s="96"/>
      <c r="E25" s="128"/>
      <c r="F25" s="15"/>
      <c r="G25" s="97"/>
    </row>
    <row r="26" spans="1:7" ht="15.75" x14ac:dyDescent="0.25">
      <c r="A26" s="20"/>
      <c r="B26" s="22"/>
      <c r="C26" s="41"/>
      <c r="D26" s="32"/>
      <c r="E26" s="128"/>
      <c r="F26" s="15"/>
      <c r="G26" s="97"/>
    </row>
    <row r="27" spans="1:7" ht="15.75" x14ac:dyDescent="0.25">
      <c r="A27" s="20"/>
      <c r="B27" s="117"/>
      <c r="C27" s="41"/>
      <c r="D27" s="21"/>
      <c r="E27" s="124"/>
      <c r="F27" s="15"/>
      <c r="G27" s="97"/>
    </row>
    <row r="28" spans="1:7" ht="15.75" x14ac:dyDescent="0.25">
      <c r="A28" s="20"/>
      <c r="B28" s="117"/>
      <c r="C28" s="41"/>
      <c r="D28" s="21"/>
      <c r="E28" s="124"/>
      <c r="F28" s="15"/>
      <c r="G28" s="97"/>
    </row>
    <row r="29" spans="1:7" ht="15.75" x14ac:dyDescent="0.25">
      <c r="A29" s="20"/>
      <c r="B29" s="117"/>
      <c r="C29" s="41"/>
      <c r="D29" s="21"/>
      <c r="E29" s="124"/>
      <c r="F29" s="15"/>
      <c r="G29" s="97"/>
    </row>
    <row r="30" spans="1:7" ht="15.75" x14ac:dyDescent="0.25">
      <c r="A30" s="20"/>
      <c r="B30" s="22"/>
      <c r="C30" s="20"/>
      <c r="D30" s="21"/>
      <c r="E30" s="124"/>
      <c r="F30" s="15"/>
      <c r="G30" s="97"/>
    </row>
    <row r="31" spans="1:7" ht="15.75" x14ac:dyDescent="0.25">
      <c r="A31" s="20"/>
      <c r="B31" s="22"/>
      <c r="C31" s="20"/>
      <c r="D31" s="21"/>
      <c r="E31" s="124"/>
      <c r="F31" s="15"/>
      <c r="G31" s="97"/>
    </row>
    <row r="32" spans="1:7" ht="15.75" x14ac:dyDescent="0.25">
      <c r="A32" s="20"/>
      <c r="B32" s="22"/>
      <c r="C32" s="20"/>
      <c r="D32" s="21"/>
      <c r="E32" s="124"/>
      <c r="F32" s="15"/>
      <c r="G32" s="97"/>
    </row>
    <row r="33" spans="1:7" ht="15.75" x14ac:dyDescent="0.25">
      <c r="A33" s="20"/>
      <c r="B33" s="22"/>
      <c r="C33" s="41"/>
      <c r="D33" s="21"/>
      <c r="E33" s="124"/>
      <c r="F33" s="15"/>
      <c r="G33" s="97"/>
    </row>
    <row r="34" spans="1:7" ht="15.75" x14ac:dyDescent="0.25">
      <c r="A34" s="20"/>
      <c r="B34" s="22"/>
      <c r="C34" s="41"/>
      <c r="D34" s="21"/>
      <c r="E34" s="124"/>
      <c r="F34" s="15"/>
      <c r="G34" s="97"/>
    </row>
    <row r="35" spans="1:7" ht="15.75" x14ac:dyDescent="0.25">
      <c r="A35" s="20"/>
      <c r="B35" s="22"/>
      <c r="C35" s="20"/>
      <c r="D35" s="21"/>
      <c r="E35" s="124"/>
      <c r="F35" s="15"/>
    </row>
    <row r="36" spans="1:7" ht="15.75" x14ac:dyDescent="0.25">
      <c r="A36" s="20"/>
      <c r="B36" s="22"/>
      <c r="C36" s="20"/>
      <c r="D36" s="21"/>
      <c r="E36" s="124"/>
      <c r="F36" s="15"/>
    </row>
    <row r="37" spans="1:7" ht="15.75" x14ac:dyDescent="0.25">
      <c r="A37" s="20"/>
      <c r="B37" s="22"/>
      <c r="C37" s="20"/>
      <c r="D37" s="22"/>
      <c r="E37" s="124"/>
      <c r="F37" s="15"/>
    </row>
    <row r="38" spans="1:7" ht="15.75" x14ac:dyDescent="0.25">
      <c r="A38" s="20"/>
      <c r="B38" s="22"/>
      <c r="C38" s="20"/>
      <c r="D38" s="22"/>
      <c r="E38" s="124"/>
      <c r="F38" s="15"/>
    </row>
    <row r="39" spans="1:7" ht="15.75" x14ac:dyDescent="0.25">
      <c r="A39" s="20"/>
      <c r="B39" s="22"/>
      <c r="C39" s="20"/>
      <c r="D39" s="22"/>
      <c r="E39" s="124"/>
      <c r="F39" s="15"/>
    </row>
    <row r="40" spans="1:7" ht="15.75" x14ac:dyDescent="0.25">
      <c r="A40" s="20"/>
      <c r="B40" s="22"/>
      <c r="C40" s="20"/>
      <c r="D40" s="22"/>
      <c r="E40" s="124"/>
      <c r="F40" s="15"/>
    </row>
    <row r="41" spans="1:7" ht="15.75" x14ac:dyDescent="0.25">
      <c r="A41" s="20"/>
      <c r="B41" s="22"/>
      <c r="C41" s="20"/>
      <c r="D41" s="117"/>
      <c r="E41" s="124"/>
      <c r="F41" s="15"/>
    </row>
    <row r="42" spans="1:7" ht="15.75" x14ac:dyDescent="0.25">
      <c r="A42" s="20"/>
      <c r="B42" s="22"/>
      <c r="C42" s="20"/>
      <c r="D42" s="22"/>
      <c r="E42" s="124"/>
      <c r="F42" s="15"/>
    </row>
    <row r="43" spans="1:7" ht="15.75" x14ac:dyDescent="0.25">
      <c r="A43" s="20"/>
      <c r="B43" s="22"/>
      <c r="C43" s="20"/>
      <c r="D43" s="22"/>
      <c r="E43" s="124"/>
      <c r="F43" s="15"/>
    </row>
    <row r="44" spans="1:7" ht="15.75" x14ac:dyDescent="0.25">
      <c r="A44" s="20"/>
      <c r="B44" s="22"/>
      <c r="C44" s="20"/>
      <c r="D44" s="22"/>
      <c r="E44" s="124"/>
      <c r="F44" s="15"/>
    </row>
    <row r="45" spans="1:7" ht="15.75" x14ac:dyDescent="0.25">
      <c r="A45" s="20"/>
      <c r="B45" s="22"/>
      <c r="C45" s="20"/>
      <c r="D45" s="22"/>
      <c r="E45" s="124"/>
      <c r="F45" s="15"/>
    </row>
    <row r="46" spans="1:7" ht="15.75" x14ac:dyDescent="0.25">
      <c r="A46" s="20"/>
      <c r="B46" s="22"/>
      <c r="C46" s="212"/>
      <c r="D46" s="209"/>
      <c r="E46" s="124"/>
      <c r="F46" s="15"/>
    </row>
    <row r="47" spans="1:7" ht="15.75" x14ac:dyDescent="0.25">
      <c r="A47" s="20"/>
      <c r="B47" s="22"/>
      <c r="C47" s="212"/>
      <c r="D47" s="209"/>
      <c r="E47" s="124"/>
      <c r="F47" s="15"/>
    </row>
    <row r="48" spans="1:7" ht="15.75" x14ac:dyDescent="0.25">
      <c r="A48" s="20"/>
      <c r="B48" s="117"/>
      <c r="C48" s="212"/>
      <c r="D48" s="209"/>
      <c r="E48" s="124"/>
      <c r="F48" s="15"/>
    </row>
    <row r="49" spans="1:6" ht="15.75" x14ac:dyDescent="0.25">
      <c r="A49" s="20"/>
      <c r="B49" s="117"/>
      <c r="C49" s="212"/>
      <c r="D49" s="209"/>
      <c r="E49" s="124"/>
      <c r="F49" s="15"/>
    </row>
    <row r="50" spans="1:6" ht="15.75" x14ac:dyDescent="0.25">
      <c r="A50" s="20"/>
      <c r="B50" s="21"/>
      <c r="C50" s="212"/>
      <c r="D50" s="209"/>
      <c r="E50" s="126"/>
      <c r="F50" s="15"/>
    </row>
    <row r="51" spans="1:6" ht="15.75" x14ac:dyDescent="0.25">
      <c r="A51" s="20"/>
      <c r="B51" s="21"/>
      <c r="C51" s="212"/>
      <c r="D51" s="209"/>
      <c r="E51" s="126"/>
      <c r="F51" s="15"/>
    </row>
    <row r="52" spans="1:6" ht="15.75" x14ac:dyDescent="0.25">
      <c r="A52" s="20"/>
      <c r="B52" s="21"/>
      <c r="C52" s="205"/>
      <c r="D52" s="210"/>
      <c r="E52" s="126"/>
      <c r="F52" s="15"/>
    </row>
    <row r="53" spans="1:6" ht="21.75" thickBot="1" x14ac:dyDescent="0.4">
      <c r="A53" s="130"/>
      <c r="B53" s="131">
        <f>SUBTOTAL(109,Table1672023[Column1])</f>
        <v>0</v>
      </c>
      <c r="C53" s="132"/>
      <c r="D53" s="133">
        <f>SUBTOTAL(109,Table1672023[Column2])</f>
        <v>0</v>
      </c>
      <c r="E53" s="133"/>
    </row>
    <row r="54" spans="1:6" ht="27" thickTop="1" x14ac:dyDescent="0.25">
      <c r="D54" s="16">
        <f>Table1672023[[#Totals],[Column1]]-Table1672023[[#Totals],[Column2]]</f>
        <v>0</v>
      </c>
    </row>
    <row r="55" spans="1:6" ht="15.75" thickBot="1" x14ac:dyDescent="0.3"/>
    <row r="56" spans="1:6" ht="24" thickBot="1" x14ac:dyDescent="0.3">
      <c r="A56" s="76" t="s">
        <v>19</v>
      </c>
      <c r="B56" s="460">
        <v>45123</v>
      </c>
      <c r="C56" s="461"/>
    </row>
    <row r="57" spans="1:6" ht="21" thickBot="1" x14ac:dyDescent="0.3">
      <c r="A57" s="53" t="s">
        <v>137</v>
      </c>
      <c r="B57" s="53" t="s">
        <v>3</v>
      </c>
      <c r="C57" s="53" t="s">
        <v>138</v>
      </c>
    </row>
    <row r="58" spans="1:6" ht="21" x14ac:dyDescent="0.35">
      <c r="A58" s="55">
        <v>6000</v>
      </c>
      <c r="B58" s="77">
        <v>4745</v>
      </c>
      <c r="C58" s="57" t="s">
        <v>1027</v>
      </c>
      <c r="F58" s="133"/>
    </row>
    <row r="59" spans="1:6" ht="18" x14ac:dyDescent="0.25">
      <c r="A59" s="60">
        <v>255</v>
      </c>
      <c r="B59" s="56">
        <v>3015</v>
      </c>
      <c r="C59" s="56" t="s">
        <v>1024</v>
      </c>
    </row>
    <row r="60" spans="1:6" ht="18" x14ac:dyDescent="0.25">
      <c r="A60" s="60"/>
      <c r="B60" s="77">
        <v>950</v>
      </c>
      <c r="C60" s="77" t="s">
        <v>263</v>
      </c>
    </row>
    <row r="61" spans="1:6" ht="18" x14ac:dyDescent="0.25">
      <c r="A61" s="60"/>
      <c r="B61" s="56">
        <v>200</v>
      </c>
      <c r="C61" s="77" t="s">
        <v>27</v>
      </c>
    </row>
    <row r="62" spans="1:6" ht="18" x14ac:dyDescent="0.25">
      <c r="A62" s="60"/>
      <c r="B62" s="77">
        <v>65</v>
      </c>
      <c r="C62" s="56" t="s">
        <v>33</v>
      </c>
    </row>
    <row r="63" spans="1:6" ht="18" x14ac:dyDescent="0.25">
      <c r="A63" s="60"/>
      <c r="B63" s="77">
        <v>80</v>
      </c>
      <c r="C63" s="56" t="s">
        <v>373</v>
      </c>
    </row>
    <row r="64" spans="1:6" ht="18" x14ac:dyDescent="0.25">
      <c r="A64" s="60"/>
      <c r="B64" s="56">
        <v>13</v>
      </c>
      <c r="C64" s="56" t="s">
        <v>73</v>
      </c>
    </row>
    <row r="65" spans="1:5" ht="18.75" thickBot="1" x14ac:dyDescent="0.3">
      <c r="A65" s="60"/>
      <c r="B65" s="56"/>
      <c r="C65" s="56"/>
    </row>
    <row r="66" spans="1:5" ht="24" thickBot="1" x14ac:dyDescent="0.3">
      <c r="A66" s="66"/>
      <c r="B66" s="56"/>
      <c r="C66" s="64"/>
      <c r="D66" s="134" t="s">
        <v>43</v>
      </c>
      <c r="E66" s="319">
        <f>E71-E67</f>
        <v>-80</v>
      </c>
    </row>
    <row r="67" spans="1:5" ht="23.25" customHeight="1" thickBot="1" x14ac:dyDescent="0.3">
      <c r="A67" s="68">
        <f>SUM(A58:A66)</f>
        <v>6255</v>
      </c>
      <c r="B67" s="69">
        <f>SUM(B58:B66)</f>
        <v>9068</v>
      </c>
      <c r="D67" s="135" t="s">
        <v>94</v>
      </c>
      <c r="E67" s="85">
        <f>7355-5741</f>
        <v>1614</v>
      </c>
    </row>
    <row r="68" spans="1:5" ht="21.75" thickBot="1" x14ac:dyDescent="0.3">
      <c r="A68" s="462" t="s">
        <v>139</v>
      </c>
      <c r="B68" s="463"/>
      <c r="C68" s="71" t="s">
        <v>75</v>
      </c>
      <c r="D68" s="136" t="s">
        <v>65</v>
      </c>
      <c r="E68" s="83">
        <f>9+5+1300+200</f>
        <v>1514</v>
      </c>
    </row>
    <row r="69" spans="1:5" ht="24" thickBot="1" x14ac:dyDescent="0.3">
      <c r="A69" s="464">
        <f>B67+A67</f>
        <v>15323</v>
      </c>
      <c r="B69" s="465"/>
      <c r="C69" s="313">
        <f>118+79+160</f>
        <v>357</v>
      </c>
      <c r="D69" s="82" t="s">
        <v>25</v>
      </c>
      <c r="E69" s="83">
        <v>20</v>
      </c>
    </row>
    <row r="70" spans="1:5" ht="24" thickBot="1" x14ac:dyDescent="0.3">
      <c r="A70" s="466" t="s">
        <v>99</v>
      </c>
      <c r="B70" s="467"/>
      <c r="C70" s="78">
        <f>A71-C71</f>
        <v>148</v>
      </c>
      <c r="D70" s="82"/>
      <c r="E70" s="83"/>
    </row>
    <row r="71" spans="1:5" ht="24" thickBot="1" x14ac:dyDescent="0.3">
      <c r="A71" s="468">
        <f>C69+A69</f>
        <v>15680</v>
      </c>
      <c r="B71" s="469"/>
      <c r="C71" s="121">
        <v>15532</v>
      </c>
      <c r="D71" s="82" t="s">
        <v>164</v>
      </c>
      <c r="E71" s="83">
        <f>SUM(E68:E70)</f>
        <v>1534</v>
      </c>
    </row>
    <row r="72" spans="1:5" ht="24" thickBot="1" x14ac:dyDescent="0.3">
      <c r="A72"/>
      <c r="B72"/>
      <c r="C72" s="314" t="str">
        <f>IF(C70&gt;0,"زيادة","عجز")</f>
        <v>زيادة</v>
      </c>
    </row>
    <row r="73" spans="1:5" x14ac:dyDescent="0.25">
      <c r="A73"/>
      <c r="B73"/>
    </row>
    <row r="74" spans="1:5" x14ac:dyDescent="0.25">
      <c r="A74"/>
      <c r="B74"/>
    </row>
    <row r="75" spans="1:5" ht="15.75" thickBot="1" x14ac:dyDescent="0.3">
      <c r="A75"/>
      <c r="B75"/>
    </row>
    <row r="76" spans="1:5" ht="24.75" customHeight="1" thickBot="1" x14ac:dyDescent="0.3">
      <c r="A76" s="76" t="s">
        <v>80</v>
      </c>
      <c r="B76" s="460">
        <v>45123</v>
      </c>
      <c r="C76" s="461"/>
    </row>
    <row r="77" spans="1:5" ht="21" thickBot="1" x14ac:dyDescent="0.3">
      <c r="A77" s="53" t="s">
        <v>137</v>
      </c>
      <c r="B77" s="53" t="s">
        <v>3</v>
      </c>
      <c r="C77" s="53" t="s">
        <v>138</v>
      </c>
    </row>
    <row r="78" spans="1:5" ht="18" x14ac:dyDescent="0.25">
      <c r="A78" s="55">
        <f>5000+2550+340</f>
        <v>7890</v>
      </c>
      <c r="B78" s="77">
        <v>180</v>
      </c>
      <c r="C78" s="57" t="s">
        <v>399</v>
      </c>
    </row>
    <row r="79" spans="1:5" ht="18" x14ac:dyDescent="0.25">
      <c r="A79" s="60"/>
      <c r="B79" s="56">
        <v>115</v>
      </c>
      <c r="C79" s="56" t="s">
        <v>393</v>
      </c>
    </row>
    <row r="80" spans="1:5" ht="18" x14ac:dyDescent="0.25">
      <c r="A80" s="60"/>
      <c r="B80" s="77">
        <v>105</v>
      </c>
      <c r="C80" s="77" t="s">
        <v>19</v>
      </c>
    </row>
    <row r="81" spans="1:6" ht="18" x14ac:dyDescent="0.25">
      <c r="A81" s="60"/>
      <c r="B81" s="56">
        <v>250</v>
      </c>
      <c r="C81" s="77" t="s">
        <v>8</v>
      </c>
    </row>
    <row r="82" spans="1:6" ht="18" x14ac:dyDescent="0.25">
      <c r="A82" s="60"/>
      <c r="B82" s="77">
        <v>575</v>
      </c>
      <c r="C82" s="56" t="s">
        <v>11</v>
      </c>
    </row>
    <row r="83" spans="1:6" ht="18" x14ac:dyDescent="0.25">
      <c r="A83" s="60"/>
      <c r="B83" s="77">
        <v>605</v>
      </c>
      <c r="C83" s="56" t="s">
        <v>656</v>
      </c>
    </row>
    <row r="84" spans="1:6" ht="18" x14ac:dyDescent="0.25">
      <c r="A84" s="60"/>
      <c r="B84" s="56">
        <v>270</v>
      </c>
      <c r="C84" s="56" t="s">
        <v>1032</v>
      </c>
    </row>
    <row r="85" spans="1:6" ht="18" x14ac:dyDescent="0.25">
      <c r="A85" s="60"/>
      <c r="B85" s="56">
        <v>2155</v>
      </c>
      <c r="C85" s="56" t="s">
        <v>12</v>
      </c>
    </row>
    <row r="86" spans="1:6" ht="18" x14ac:dyDescent="0.25">
      <c r="A86" s="60"/>
      <c r="B86" s="56">
        <v>450</v>
      </c>
      <c r="C86" s="56" t="s">
        <v>252</v>
      </c>
    </row>
    <row r="87" spans="1:6" ht="18" x14ac:dyDescent="0.25">
      <c r="A87" s="60"/>
      <c r="B87" s="56">
        <v>500</v>
      </c>
      <c r="C87" s="56" t="s">
        <v>610</v>
      </c>
    </row>
    <row r="88" spans="1:6" ht="18.75" thickBot="1" x14ac:dyDescent="0.3">
      <c r="A88" s="60"/>
      <c r="B88" s="56"/>
      <c r="C88" s="56"/>
    </row>
    <row r="89" spans="1:6" ht="24" thickBot="1" x14ac:dyDescent="0.3">
      <c r="A89" s="66"/>
      <c r="B89" s="56"/>
      <c r="C89" s="64"/>
      <c r="D89" s="134" t="s">
        <v>43</v>
      </c>
      <c r="E89" s="99">
        <f>E94-E90</f>
        <v>-5032</v>
      </c>
    </row>
    <row r="90" spans="1:6" ht="21.75" thickBot="1" x14ac:dyDescent="0.3">
      <c r="A90" s="68">
        <f>SUM(A78:A89)</f>
        <v>7890</v>
      </c>
      <c r="B90" s="69">
        <f>SUM(B78:B89)</f>
        <v>5205</v>
      </c>
      <c r="D90" s="135" t="s">
        <v>94</v>
      </c>
      <c r="E90">
        <v>5352</v>
      </c>
      <c r="F90" t="s">
        <v>1033</v>
      </c>
    </row>
    <row r="91" spans="1:6" ht="21.75" thickBot="1" x14ac:dyDescent="0.3">
      <c r="A91" s="462" t="s">
        <v>139</v>
      </c>
      <c r="B91" s="463"/>
      <c r="C91" s="71" t="s">
        <v>75</v>
      </c>
      <c r="D91" s="136" t="s">
        <v>65</v>
      </c>
      <c r="E91" s="85">
        <f>250+70</f>
        <v>320</v>
      </c>
    </row>
    <row r="92" spans="1:6" ht="24" thickBot="1" x14ac:dyDescent="0.3">
      <c r="A92" s="464">
        <f>B90+A90</f>
        <v>13095</v>
      </c>
      <c r="B92" s="465"/>
      <c r="C92" s="313">
        <v>160</v>
      </c>
      <c r="D92" s="82"/>
      <c r="E92" s="83"/>
    </row>
    <row r="93" spans="1:6" ht="24" thickBot="1" x14ac:dyDescent="0.3">
      <c r="A93" s="466" t="s">
        <v>99</v>
      </c>
      <c r="B93" s="467"/>
      <c r="C93" s="78">
        <f>A94-C94</f>
        <v>48</v>
      </c>
      <c r="D93" s="82"/>
      <c r="E93" s="83"/>
    </row>
    <row r="94" spans="1:6" ht="24" thickBot="1" x14ac:dyDescent="0.3">
      <c r="A94" s="468">
        <f>C92+A92</f>
        <v>13255</v>
      </c>
      <c r="B94" s="469"/>
      <c r="C94" s="121">
        <v>13207</v>
      </c>
      <c r="D94" s="82" t="s">
        <v>164</v>
      </c>
      <c r="E94" s="83">
        <f>SUM(E91:E93)</f>
        <v>320</v>
      </c>
    </row>
    <row r="95" spans="1:6" ht="24" thickBot="1" x14ac:dyDescent="0.3">
      <c r="A95"/>
      <c r="B95"/>
      <c r="C95" s="314" t="str">
        <f>IF(C93&gt;0,"زيادة","عجز")</f>
        <v>زيادة</v>
      </c>
    </row>
    <row r="96" spans="1:6" ht="15.75" thickBot="1" x14ac:dyDescent="0.3">
      <c r="A96"/>
      <c r="B96"/>
    </row>
    <row r="97" spans="1:5" ht="24" thickBot="1" x14ac:dyDescent="0.3">
      <c r="A97" s="76" t="s">
        <v>29</v>
      </c>
      <c r="B97" s="460">
        <v>45123</v>
      </c>
      <c r="C97" s="461"/>
    </row>
    <row r="98" spans="1:5" ht="21" thickBot="1" x14ac:dyDescent="0.3">
      <c r="A98" s="53" t="s">
        <v>137</v>
      </c>
      <c r="B98" s="53" t="s">
        <v>3</v>
      </c>
      <c r="C98" s="53" t="s">
        <v>138</v>
      </c>
    </row>
    <row r="99" spans="1:5" ht="18" x14ac:dyDescent="0.25">
      <c r="A99" s="55">
        <f>10000+3110-1548-5</f>
        <v>11557</v>
      </c>
      <c r="B99" s="77">
        <v>50</v>
      </c>
      <c r="C99" s="57" t="s">
        <v>373</v>
      </c>
    </row>
    <row r="100" spans="1:5" ht="18" x14ac:dyDescent="0.25">
      <c r="A100" s="60"/>
      <c r="B100" s="56">
        <v>185</v>
      </c>
      <c r="C100" s="56" t="s">
        <v>1054</v>
      </c>
    </row>
    <row r="101" spans="1:5" ht="18" x14ac:dyDescent="0.25">
      <c r="A101" s="60"/>
      <c r="B101" s="77">
        <v>1548</v>
      </c>
      <c r="C101" s="77" t="s">
        <v>45</v>
      </c>
    </row>
    <row r="102" spans="1:5" ht="18" x14ac:dyDescent="0.25">
      <c r="A102" s="60"/>
      <c r="B102" s="56">
        <v>10000</v>
      </c>
      <c r="C102" s="77" t="s">
        <v>27</v>
      </c>
    </row>
    <row r="103" spans="1:5" ht="18" x14ac:dyDescent="0.25">
      <c r="A103" s="60"/>
      <c r="B103" s="77"/>
      <c r="C103" s="56"/>
    </row>
    <row r="104" spans="1:5" ht="18" x14ac:dyDescent="0.25">
      <c r="A104" s="60"/>
      <c r="B104" s="77"/>
      <c r="C104" s="56"/>
    </row>
    <row r="105" spans="1:5" ht="18" x14ac:dyDescent="0.25">
      <c r="A105" s="60"/>
      <c r="B105" s="56"/>
      <c r="C105" s="56"/>
    </row>
    <row r="106" spans="1:5" ht="18" x14ac:dyDescent="0.25">
      <c r="A106" s="60"/>
      <c r="B106" s="56"/>
      <c r="C106" s="56"/>
    </row>
    <row r="107" spans="1:5" ht="18" x14ac:dyDescent="0.25">
      <c r="A107" s="60"/>
      <c r="B107" s="56"/>
      <c r="C107" s="56"/>
    </row>
    <row r="108" spans="1:5" ht="18" x14ac:dyDescent="0.25">
      <c r="A108" s="60"/>
      <c r="B108" s="56"/>
      <c r="C108" s="56"/>
    </row>
    <row r="109" spans="1:5" ht="18.75" thickBot="1" x14ac:dyDescent="0.3">
      <c r="A109" s="60"/>
      <c r="B109" s="56"/>
      <c r="C109" s="56"/>
    </row>
    <row r="110" spans="1:5" ht="24" thickBot="1" x14ac:dyDescent="0.3">
      <c r="A110" s="66"/>
      <c r="B110" s="56"/>
      <c r="C110" s="64"/>
      <c r="D110" s="134" t="s">
        <v>43</v>
      </c>
      <c r="E110" s="99">
        <f>E115-E111</f>
        <v>152</v>
      </c>
    </row>
    <row r="111" spans="1:5" ht="24" thickBot="1" x14ac:dyDescent="0.3">
      <c r="A111" s="68">
        <f>SUM(A99:A110)</f>
        <v>11557</v>
      </c>
      <c r="B111" s="69">
        <f>SUM(B99:B110)</f>
        <v>11783</v>
      </c>
      <c r="D111" s="135" t="s">
        <v>94</v>
      </c>
      <c r="E111" s="99">
        <f>5352-3944</f>
        <v>1408</v>
      </c>
    </row>
    <row r="112" spans="1:5" ht="21.75" thickBot="1" x14ac:dyDescent="0.3">
      <c r="A112" s="462" t="s">
        <v>139</v>
      </c>
      <c r="B112" s="463"/>
      <c r="C112" s="71" t="s">
        <v>75</v>
      </c>
      <c r="D112" s="136" t="s">
        <v>65</v>
      </c>
      <c r="E112" s="85">
        <f>850+500+190</f>
        <v>1540</v>
      </c>
    </row>
    <row r="113" spans="1:5" ht="24" customHeight="1" thickBot="1" x14ac:dyDescent="0.3">
      <c r="A113" s="464">
        <f>B111+A111</f>
        <v>23340</v>
      </c>
      <c r="B113" s="465"/>
      <c r="C113" s="313">
        <f>320+15+202+205+74+35+121</f>
        <v>972</v>
      </c>
      <c r="D113" s="82" t="s">
        <v>373</v>
      </c>
      <c r="E113" s="83">
        <v>20</v>
      </c>
    </row>
    <row r="114" spans="1:5" ht="24" thickBot="1" x14ac:dyDescent="0.3">
      <c r="A114" s="466" t="s">
        <v>99</v>
      </c>
      <c r="B114" s="467"/>
      <c r="C114" s="78">
        <f>A115-C115</f>
        <v>-54</v>
      </c>
      <c r="D114" s="82"/>
      <c r="E114" s="83"/>
    </row>
    <row r="115" spans="1:5" ht="24" thickBot="1" x14ac:dyDescent="0.3">
      <c r="A115" s="468">
        <f>C113+A113</f>
        <v>24312</v>
      </c>
      <c r="B115" s="469"/>
      <c r="C115" s="121">
        <v>24366</v>
      </c>
      <c r="D115" s="82" t="s">
        <v>164</v>
      </c>
      <c r="E115" s="83">
        <f>SUM(E112:E114)</f>
        <v>1560</v>
      </c>
    </row>
    <row r="116" spans="1:5" ht="24" thickBot="1" x14ac:dyDescent="0.3">
      <c r="A116"/>
      <c r="B116"/>
      <c r="C116" s="314" t="str">
        <f>IF(C114&gt;0,"زيادة","عجز")</f>
        <v>عجز</v>
      </c>
      <c r="D116" s="317" t="s">
        <v>1055</v>
      </c>
    </row>
    <row r="117" spans="1:5" ht="15.75" thickBot="1" x14ac:dyDescent="0.3">
      <c r="A117"/>
      <c r="B117"/>
    </row>
    <row r="118" spans="1:5" ht="24" thickBot="1" x14ac:dyDescent="0.3">
      <c r="A118" s="76" t="s">
        <v>60</v>
      </c>
      <c r="B118" s="460">
        <v>45123</v>
      </c>
      <c r="C118" s="461"/>
    </row>
    <row r="119" spans="1:5" ht="21" thickBot="1" x14ac:dyDescent="0.3">
      <c r="A119" s="53" t="s">
        <v>137</v>
      </c>
      <c r="B119" s="53" t="s">
        <v>3</v>
      </c>
      <c r="C119" s="53" t="s">
        <v>138</v>
      </c>
    </row>
    <row r="120" spans="1:5" ht="18" x14ac:dyDescent="0.25">
      <c r="A120" s="55">
        <f>4000+500+148-240-15</f>
        <v>4393</v>
      </c>
      <c r="B120" s="77">
        <v>120</v>
      </c>
      <c r="C120" s="57" t="s">
        <v>376</v>
      </c>
    </row>
    <row r="121" spans="1:5" ht="18" x14ac:dyDescent="0.25">
      <c r="A121" s="60"/>
      <c r="B121" s="56"/>
      <c r="C121" s="56"/>
    </row>
    <row r="122" spans="1:5" ht="18" x14ac:dyDescent="0.25">
      <c r="A122" s="60"/>
      <c r="B122" s="77"/>
      <c r="C122" s="77"/>
    </row>
    <row r="123" spans="1:5" ht="18" x14ac:dyDescent="0.25">
      <c r="A123" s="60"/>
      <c r="B123" s="56"/>
      <c r="C123" s="77"/>
    </row>
    <row r="124" spans="1:5" ht="18" x14ac:dyDescent="0.25">
      <c r="A124" s="60"/>
      <c r="B124" s="77"/>
      <c r="C124" s="56"/>
    </row>
    <row r="125" spans="1:5" ht="18" x14ac:dyDescent="0.25">
      <c r="A125" s="60"/>
      <c r="B125" s="77"/>
      <c r="C125" s="56"/>
    </row>
    <row r="126" spans="1:5" ht="18" x14ac:dyDescent="0.25">
      <c r="A126" s="60"/>
      <c r="B126" s="56"/>
      <c r="C126" s="56"/>
    </row>
    <row r="127" spans="1:5" ht="18" x14ac:dyDescent="0.25">
      <c r="A127" s="60"/>
      <c r="B127" s="56"/>
      <c r="C127" s="56"/>
    </row>
    <row r="128" spans="1:5" ht="18" x14ac:dyDescent="0.25">
      <c r="A128" s="60"/>
      <c r="B128" s="56"/>
      <c r="C128" s="56"/>
    </row>
    <row r="129" spans="1:5" ht="18" x14ac:dyDescent="0.25">
      <c r="A129" s="60"/>
      <c r="B129" s="56"/>
      <c r="C129" s="56"/>
    </row>
    <row r="130" spans="1:5" ht="18.75" thickBot="1" x14ac:dyDescent="0.3">
      <c r="A130" s="60"/>
      <c r="B130" s="56"/>
      <c r="C130" s="56"/>
    </row>
    <row r="131" spans="1:5" ht="24" thickBot="1" x14ac:dyDescent="0.3">
      <c r="A131" s="66"/>
      <c r="B131" s="56"/>
      <c r="C131" s="64"/>
      <c r="D131" s="134" t="s">
        <v>43</v>
      </c>
      <c r="E131" s="99">
        <f>E136-E132</f>
        <v>0</v>
      </c>
    </row>
    <row r="132" spans="1:5" ht="24" thickBot="1" x14ac:dyDescent="0.3">
      <c r="A132" s="68">
        <f>SUM(A120:A131)</f>
        <v>4393</v>
      </c>
      <c r="B132" s="69">
        <f>SUM(B120:B131)</f>
        <v>120</v>
      </c>
      <c r="D132" s="135" t="s">
        <v>94</v>
      </c>
      <c r="E132" s="99"/>
    </row>
    <row r="133" spans="1:5" ht="21.75" thickBot="1" x14ac:dyDescent="0.3">
      <c r="A133" s="462" t="s">
        <v>139</v>
      </c>
      <c r="B133" s="463"/>
      <c r="C133" s="71" t="s">
        <v>75</v>
      </c>
      <c r="D133" s="136" t="s">
        <v>65</v>
      </c>
      <c r="E133" s="85"/>
    </row>
    <row r="134" spans="1:5" ht="24" thickBot="1" x14ac:dyDescent="0.3">
      <c r="A134" s="464">
        <f>B132+A132</f>
        <v>4513</v>
      </c>
      <c r="B134" s="465"/>
      <c r="C134" s="313">
        <v>140</v>
      </c>
      <c r="D134" s="82"/>
      <c r="E134" s="83"/>
    </row>
    <row r="135" spans="1:5" ht="24" thickBot="1" x14ac:dyDescent="0.3">
      <c r="A135" s="466" t="s">
        <v>99</v>
      </c>
      <c r="B135" s="467"/>
      <c r="C135" s="78">
        <f>A136-C136</f>
        <v>222</v>
      </c>
      <c r="D135" s="82"/>
      <c r="E135" s="83"/>
    </row>
    <row r="136" spans="1:5" ht="24" thickBot="1" x14ac:dyDescent="0.3">
      <c r="A136" s="468">
        <f>C134+A134</f>
        <v>4653</v>
      </c>
      <c r="B136" s="469"/>
      <c r="C136" s="121">
        <v>4431</v>
      </c>
      <c r="D136" s="82" t="s">
        <v>164</v>
      </c>
      <c r="E136" s="83">
        <f>SUM(E133:E135)</f>
        <v>0</v>
      </c>
    </row>
    <row r="137" spans="1:5" ht="24" thickBot="1" x14ac:dyDescent="0.3">
      <c r="A137"/>
      <c r="B137"/>
      <c r="C137" s="314" t="str">
        <f>IF(C135&gt;0,"زيادة","عجز")</f>
        <v>زيادة</v>
      </c>
      <c r="D137" s="318"/>
    </row>
    <row r="138" spans="1:5" ht="15.75" thickBot="1" x14ac:dyDescent="0.3">
      <c r="A138"/>
      <c r="B138"/>
    </row>
    <row r="139" spans="1:5" ht="24" thickBot="1" x14ac:dyDescent="0.3">
      <c r="A139" s="76" t="s">
        <v>88</v>
      </c>
      <c r="B139" s="460">
        <v>45123</v>
      </c>
      <c r="C139" s="461"/>
    </row>
    <row r="140" spans="1:5" ht="21" thickBot="1" x14ac:dyDescent="0.3">
      <c r="A140" s="53" t="s">
        <v>137</v>
      </c>
      <c r="B140" s="53" t="s">
        <v>3</v>
      </c>
      <c r="C140" s="53" t="s">
        <v>138</v>
      </c>
    </row>
    <row r="141" spans="1:5" ht="24" customHeight="1" x14ac:dyDescent="0.25">
      <c r="A141" s="55">
        <v>280</v>
      </c>
      <c r="B141" s="77">
        <v>190</v>
      </c>
      <c r="C141" s="57" t="s">
        <v>255</v>
      </c>
    </row>
    <row r="142" spans="1:5" ht="18" x14ac:dyDescent="0.25">
      <c r="A142" s="60"/>
      <c r="B142" s="56">
        <v>27</v>
      </c>
      <c r="C142" s="56" t="s">
        <v>212</v>
      </c>
    </row>
    <row r="143" spans="1:5" ht="18" x14ac:dyDescent="0.25">
      <c r="A143" s="60"/>
      <c r="B143" s="77">
        <v>13480</v>
      </c>
      <c r="C143" s="77" t="s">
        <v>358</v>
      </c>
    </row>
    <row r="144" spans="1:5" ht="18" x14ac:dyDescent="0.25">
      <c r="A144" s="60"/>
      <c r="B144" s="56">
        <v>260</v>
      </c>
      <c r="C144" s="77" t="s">
        <v>709</v>
      </c>
    </row>
    <row r="145" spans="1:5" ht="18" x14ac:dyDescent="0.25">
      <c r="A145" s="60"/>
      <c r="B145" s="77">
        <v>100</v>
      </c>
      <c r="C145" s="56" t="s">
        <v>9</v>
      </c>
    </row>
    <row r="146" spans="1:5" ht="18" customHeight="1" x14ac:dyDescent="0.25">
      <c r="A146" s="60"/>
      <c r="B146" s="77">
        <v>120</v>
      </c>
      <c r="C146" s="56" t="s">
        <v>39</v>
      </c>
    </row>
    <row r="147" spans="1:5" ht="18" customHeight="1" x14ac:dyDescent="0.25">
      <c r="A147" s="60"/>
      <c r="B147" s="56">
        <v>140</v>
      </c>
      <c r="C147" s="56" t="s">
        <v>341</v>
      </c>
    </row>
    <row r="148" spans="1:5" ht="18" x14ac:dyDescent="0.25">
      <c r="A148" s="60"/>
      <c r="B148" s="56">
        <v>205</v>
      </c>
      <c r="C148" s="56" t="s">
        <v>1059</v>
      </c>
    </row>
    <row r="149" spans="1:5" ht="18" x14ac:dyDescent="0.25">
      <c r="A149" s="60"/>
      <c r="B149" s="56">
        <v>250</v>
      </c>
      <c r="C149" s="56" t="s">
        <v>11</v>
      </c>
    </row>
    <row r="150" spans="1:5" ht="18" x14ac:dyDescent="0.25">
      <c r="A150" s="60"/>
      <c r="B150" s="56">
        <v>175</v>
      </c>
      <c r="C150" s="56" t="s">
        <v>265</v>
      </c>
    </row>
    <row r="151" spans="1:5" ht="18.75" thickBot="1" x14ac:dyDescent="0.3">
      <c r="A151" s="60"/>
      <c r="B151" s="56">
        <v>735</v>
      </c>
      <c r="C151" s="56" t="s">
        <v>1060</v>
      </c>
    </row>
    <row r="152" spans="1:5" ht="24" thickBot="1" x14ac:dyDescent="0.3">
      <c r="A152" s="66"/>
      <c r="B152" s="56">
        <v>545</v>
      </c>
      <c r="C152" s="64" t="s">
        <v>215</v>
      </c>
      <c r="D152" s="134" t="s">
        <v>43</v>
      </c>
      <c r="E152" s="99">
        <f>E157-E153</f>
        <v>38</v>
      </c>
    </row>
    <row r="153" spans="1:5" ht="24" thickBot="1" x14ac:dyDescent="0.3">
      <c r="A153" s="68">
        <f>SUM(A141:A152)</f>
        <v>280</v>
      </c>
      <c r="B153" s="69">
        <f>SUM(B141:B152)</f>
        <v>16227</v>
      </c>
      <c r="D153" s="135" t="s">
        <v>94</v>
      </c>
      <c r="E153" s="99">
        <f>4206-3984</f>
        <v>222</v>
      </c>
    </row>
    <row r="154" spans="1:5" ht="21.75" customHeight="1" thickBot="1" x14ac:dyDescent="0.3">
      <c r="A154" s="462" t="s">
        <v>139</v>
      </c>
      <c r="B154" s="463"/>
      <c r="C154" s="71" t="s">
        <v>75</v>
      </c>
      <c r="D154" s="136" t="s">
        <v>65</v>
      </c>
      <c r="E154" s="85">
        <v>160</v>
      </c>
    </row>
    <row r="155" spans="1:5" ht="24" thickBot="1" x14ac:dyDescent="0.3">
      <c r="A155" s="464">
        <f>B153+A153</f>
        <v>16507</v>
      </c>
      <c r="B155" s="465"/>
      <c r="C155" s="313">
        <f>540+422+900+216</f>
        <v>2078</v>
      </c>
      <c r="D155" s="82" t="s">
        <v>350</v>
      </c>
      <c r="E155" s="83">
        <v>100</v>
      </c>
    </row>
    <row r="156" spans="1:5" ht="18" customHeight="1" thickBot="1" x14ac:dyDescent="0.3">
      <c r="A156" s="466" t="s">
        <v>99</v>
      </c>
      <c r="B156" s="467"/>
      <c r="C156" s="78">
        <f>A157-C157</f>
        <v>18585</v>
      </c>
      <c r="D156" s="82"/>
      <c r="E156" s="83"/>
    </row>
    <row r="157" spans="1:5" ht="24" thickBot="1" x14ac:dyDescent="0.3">
      <c r="A157" s="468">
        <f>C155+A155</f>
        <v>18585</v>
      </c>
      <c r="B157" s="469"/>
      <c r="C157" s="121"/>
      <c r="D157" s="82" t="s">
        <v>164</v>
      </c>
      <c r="E157" s="83">
        <f>SUM(E154:E156)</f>
        <v>260</v>
      </c>
    </row>
    <row r="158" spans="1:5" ht="24" thickBot="1" x14ac:dyDescent="0.3">
      <c r="A158"/>
      <c r="B158"/>
      <c r="C158" s="314" t="str">
        <f>IF(C156&gt;0,"زيادة","عجز")</f>
        <v>زيادة</v>
      </c>
      <c r="D158" s="318"/>
    </row>
    <row r="159" spans="1:5" ht="18" customHeight="1" x14ac:dyDescent="0.25">
      <c r="A159"/>
      <c r="B159"/>
    </row>
    <row r="160" spans="1:5" ht="15.75" thickBot="1" x14ac:dyDescent="0.3">
      <c r="A160"/>
      <c r="B160"/>
    </row>
    <row r="161" spans="1:5" ht="24" thickBot="1" x14ac:dyDescent="0.3">
      <c r="A161" s="76" t="s">
        <v>6</v>
      </c>
      <c r="B161" s="460">
        <v>45123</v>
      </c>
      <c r="C161" s="461"/>
    </row>
    <row r="162" spans="1:5" ht="21" thickBot="1" x14ac:dyDescent="0.3">
      <c r="A162" s="53" t="s">
        <v>137</v>
      </c>
      <c r="B162" s="53" t="s">
        <v>3</v>
      </c>
      <c r="C162" s="53" t="s">
        <v>138</v>
      </c>
    </row>
    <row r="163" spans="1:5" ht="18" x14ac:dyDescent="0.25">
      <c r="A163" s="55">
        <f>5000+865</f>
        <v>5865</v>
      </c>
      <c r="B163" s="77">
        <v>2040</v>
      </c>
      <c r="C163" s="57" t="s">
        <v>12</v>
      </c>
    </row>
    <row r="164" spans="1:5" ht="18" x14ac:dyDescent="0.25">
      <c r="A164" s="60"/>
      <c r="B164" s="56">
        <v>5</v>
      </c>
      <c r="C164" s="56" t="s">
        <v>954</v>
      </c>
    </row>
    <row r="165" spans="1:5" ht="18" x14ac:dyDescent="0.25">
      <c r="A165" s="60"/>
      <c r="B165" s="77"/>
      <c r="C165" s="77"/>
    </row>
    <row r="166" spans="1:5" ht="18" x14ac:dyDescent="0.25">
      <c r="A166" s="60"/>
      <c r="B166" s="56"/>
      <c r="C166" s="77"/>
    </row>
    <row r="167" spans="1:5" ht="18" x14ac:dyDescent="0.25">
      <c r="A167" s="60"/>
      <c r="B167" s="77"/>
      <c r="C167" s="56"/>
    </row>
    <row r="168" spans="1:5" ht="18" x14ac:dyDescent="0.25">
      <c r="A168" s="60"/>
      <c r="B168" s="77"/>
      <c r="C168" s="56"/>
    </row>
    <row r="169" spans="1:5" ht="23.25" customHeight="1" x14ac:dyDescent="0.25">
      <c r="A169" s="60"/>
      <c r="B169" s="56"/>
      <c r="C169" s="56"/>
    </row>
    <row r="170" spans="1:5" ht="21.75" customHeight="1" x14ac:dyDescent="0.25">
      <c r="A170" s="60"/>
      <c r="B170" s="56"/>
      <c r="C170" s="56"/>
    </row>
    <row r="171" spans="1:5" ht="18" customHeight="1" x14ac:dyDescent="0.25">
      <c r="A171" s="60"/>
      <c r="B171" s="56"/>
      <c r="C171" s="56"/>
    </row>
    <row r="172" spans="1:5" ht="18" x14ac:dyDescent="0.25">
      <c r="A172" s="60"/>
      <c r="B172" s="56"/>
      <c r="C172" s="56"/>
    </row>
    <row r="173" spans="1:5" ht="18.75" thickBot="1" x14ac:dyDescent="0.3">
      <c r="A173" s="60"/>
      <c r="B173" s="56"/>
      <c r="C173" s="56"/>
    </row>
    <row r="174" spans="1:5" ht="24" thickBot="1" x14ac:dyDescent="0.3">
      <c r="A174" s="66"/>
      <c r="B174" s="56"/>
      <c r="C174" s="64"/>
      <c r="D174" s="134" t="s">
        <v>43</v>
      </c>
      <c r="E174" s="99">
        <f>E179-E175</f>
        <v>23</v>
      </c>
    </row>
    <row r="175" spans="1:5" ht="24" thickBot="1" x14ac:dyDescent="0.3">
      <c r="A175" s="68">
        <f>SUM(A163:A174)</f>
        <v>5865</v>
      </c>
      <c r="B175" s="69">
        <f>SUM(B163:B174)</f>
        <v>2045</v>
      </c>
      <c r="D175" s="135" t="s">
        <v>94</v>
      </c>
      <c r="E175" s="99">
        <f>3984-3562</f>
        <v>422</v>
      </c>
    </row>
    <row r="176" spans="1:5" ht="21.75" thickBot="1" x14ac:dyDescent="0.3">
      <c r="A176" s="462" t="s">
        <v>139</v>
      </c>
      <c r="B176" s="463"/>
      <c r="C176" s="71" t="s">
        <v>75</v>
      </c>
      <c r="D176" s="136" t="s">
        <v>65</v>
      </c>
      <c r="E176" s="85">
        <v>445</v>
      </c>
    </row>
    <row r="177" spans="1:5" ht="24" thickBot="1" x14ac:dyDescent="0.3">
      <c r="A177" s="464">
        <f>B175+A175</f>
        <v>7910</v>
      </c>
      <c r="B177" s="465"/>
      <c r="C177" s="313">
        <f>175+346</f>
        <v>521</v>
      </c>
      <c r="D177" s="82"/>
      <c r="E177" s="83"/>
    </row>
    <row r="178" spans="1:5" ht="24" thickBot="1" x14ac:dyDescent="0.3">
      <c r="A178" s="466" t="s">
        <v>99</v>
      </c>
      <c r="B178" s="467"/>
      <c r="C178" s="78">
        <f>A179-C179</f>
        <v>44</v>
      </c>
      <c r="D178" s="82"/>
      <c r="E178" s="83"/>
    </row>
    <row r="179" spans="1:5" ht="24" thickBot="1" x14ac:dyDescent="0.3">
      <c r="A179" s="468">
        <f>C177+A177</f>
        <v>8431</v>
      </c>
      <c r="B179" s="469"/>
      <c r="C179" s="121">
        <v>8387</v>
      </c>
      <c r="D179" s="82" t="s">
        <v>164</v>
      </c>
      <c r="E179" s="83">
        <f>SUM(E176:E178)</f>
        <v>445</v>
      </c>
    </row>
    <row r="180" spans="1:5" ht="24" thickBot="1" x14ac:dyDescent="0.3">
      <c r="A180"/>
      <c r="B180"/>
      <c r="C180" s="314" t="str">
        <f>IF(C178&gt;0,"زيادة","عجز")</f>
        <v>زيادة</v>
      </c>
      <c r="D180" s="318"/>
    </row>
    <row r="181" spans="1:5" ht="15.75" thickBot="1" x14ac:dyDescent="0.3">
      <c r="A181"/>
      <c r="B181"/>
    </row>
    <row r="182" spans="1:5" ht="24" thickBot="1" x14ac:dyDescent="0.3">
      <c r="A182" s="76" t="s">
        <v>85</v>
      </c>
      <c r="B182" s="460">
        <v>45123</v>
      </c>
      <c r="C182" s="461"/>
    </row>
    <row r="183" spans="1:5" ht="21" thickBot="1" x14ac:dyDescent="0.3">
      <c r="A183" s="53" t="s">
        <v>137</v>
      </c>
      <c r="B183" s="53" t="s">
        <v>3</v>
      </c>
      <c r="C183" s="53" t="s">
        <v>138</v>
      </c>
    </row>
    <row r="184" spans="1:5" ht="18" x14ac:dyDescent="0.25">
      <c r="A184" s="55">
        <f>10000+1650+45</f>
        <v>11695</v>
      </c>
      <c r="B184" s="77">
        <v>32</v>
      </c>
      <c r="C184" s="57" t="s">
        <v>358</v>
      </c>
    </row>
    <row r="185" spans="1:5" ht="18" x14ac:dyDescent="0.25">
      <c r="A185" s="60"/>
      <c r="B185" s="56">
        <v>5</v>
      </c>
      <c r="C185" s="56" t="s">
        <v>1063</v>
      </c>
    </row>
    <row r="186" spans="1:5" ht="18" x14ac:dyDescent="0.25">
      <c r="A186" s="60"/>
      <c r="B186" s="77">
        <v>120</v>
      </c>
      <c r="C186" s="77" t="s">
        <v>382</v>
      </c>
    </row>
    <row r="187" spans="1:5" ht="18" x14ac:dyDescent="0.25">
      <c r="A187" s="60"/>
      <c r="B187" s="56">
        <v>105</v>
      </c>
      <c r="C187" s="77" t="s">
        <v>381</v>
      </c>
    </row>
    <row r="188" spans="1:5" ht="18" x14ac:dyDescent="0.25">
      <c r="A188" s="60"/>
      <c r="B188" s="77">
        <v>240</v>
      </c>
      <c r="C188" s="56" t="s">
        <v>1064</v>
      </c>
    </row>
    <row r="189" spans="1:5" ht="18" x14ac:dyDescent="0.25">
      <c r="A189" s="60"/>
      <c r="B189" s="77">
        <v>130</v>
      </c>
      <c r="C189" s="56" t="s">
        <v>1065</v>
      </c>
    </row>
    <row r="190" spans="1:5" ht="18" x14ac:dyDescent="0.25">
      <c r="A190" s="60"/>
      <c r="B190" s="56">
        <v>85</v>
      </c>
      <c r="C190" s="56" t="s">
        <v>1066</v>
      </c>
    </row>
    <row r="191" spans="1:5" ht="18" x14ac:dyDescent="0.25">
      <c r="A191" s="60"/>
      <c r="B191" s="56">
        <v>170</v>
      </c>
      <c r="C191" s="56" t="s">
        <v>1067</v>
      </c>
    </row>
    <row r="192" spans="1:5" ht="18" x14ac:dyDescent="0.25">
      <c r="A192" s="60"/>
      <c r="B192" s="56"/>
      <c r="C192" s="56"/>
    </row>
    <row r="193" spans="1:5" ht="23.25" customHeight="1" x14ac:dyDescent="0.25">
      <c r="A193" s="60"/>
      <c r="B193" s="56"/>
      <c r="C193" s="56"/>
    </row>
    <row r="194" spans="1:5" ht="18.75" thickBot="1" x14ac:dyDescent="0.3">
      <c r="A194" s="60"/>
      <c r="B194" s="56"/>
      <c r="C194" s="56"/>
    </row>
    <row r="195" spans="1:5" ht="24" thickBot="1" x14ac:dyDescent="0.3">
      <c r="A195" s="66"/>
      <c r="B195" s="56"/>
      <c r="C195" s="64"/>
      <c r="D195" s="134" t="s">
        <v>43</v>
      </c>
      <c r="E195" s="99">
        <f>E200-E196</f>
        <v>0</v>
      </c>
    </row>
    <row r="196" spans="1:5" ht="24" thickBot="1" x14ac:dyDescent="0.3">
      <c r="A196" s="68">
        <f>SUM(A184:A195)</f>
        <v>11695</v>
      </c>
      <c r="B196" s="69">
        <f>SUM(B184:B195)</f>
        <v>887</v>
      </c>
      <c r="D196" s="135" t="s">
        <v>94</v>
      </c>
      <c r="E196" s="99"/>
    </row>
    <row r="197" spans="1:5" ht="21.75" thickBot="1" x14ac:dyDescent="0.3">
      <c r="A197" s="462" t="s">
        <v>139</v>
      </c>
      <c r="B197" s="463"/>
      <c r="C197" s="71" t="s">
        <v>75</v>
      </c>
      <c r="D197" s="136" t="s">
        <v>65</v>
      </c>
      <c r="E197" s="85"/>
    </row>
    <row r="198" spans="1:5" ht="24" thickBot="1" x14ac:dyDescent="0.3">
      <c r="A198" s="464">
        <f>B196+A196</f>
        <v>12582</v>
      </c>
      <c r="B198" s="465"/>
      <c r="C198" s="313"/>
      <c r="D198" s="82"/>
      <c r="E198" s="83"/>
    </row>
    <row r="199" spans="1:5" ht="24" thickBot="1" x14ac:dyDescent="0.3">
      <c r="A199" s="466" t="s">
        <v>99</v>
      </c>
      <c r="B199" s="467"/>
      <c r="C199" s="78">
        <f>A200-C200</f>
        <v>195</v>
      </c>
      <c r="D199" s="82"/>
      <c r="E199" s="83"/>
    </row>
    <row r="200" spans="1:5" ht="24" thickBot="1" x14ac:dyDescent="0.3">
      <c r="A200" s="468">
        <f>C198+A198</f>
        <v>12582</v>
      </c>
      <c r="B200" s="469"/>
      <c r="C200" s="121">
        <v>12387</v>
      </c>
      <c r="D200" s="82" t="s">
        <v>164</v>
      </c>
      <c r="E200" s="83">
        <f>SUM(E197:E199)</f>
        <v>0</v>
      </c>
    </row>
    <row r="201" spans="1:5" ht="24" thickBot="1" x14ac:dyDescent="0.3">
      <c r="A201"/>
      <c r="B201"/>
      <c r="C201" s="314" t="str">
        <f>IF(C199&gt;0,"زيادة","عجز")</f>
        <v>زيادة</v>
      </c>
      <c r="D201" s="318"/>
    </row>
    <row r="202" spans="1:5" ht="15.75" thickBot="1" x14ac:dyDescent="0.3">
      <c r="A202"/>
      <c r="B202"/>
    </row>
    <row r="203" spans="1:5" ht="24" thickBot="1" x14ac:dyDescent="0.3">
      <c r="A203" s="76" t="s">
        <v>15</v>
      </c>
      <c r="B203" s="460">
        <v>45123</v>
      </c>
      <c r="C203" s="461"/>
    </row>
    <row r="204" spans="1:5" ht="21" thickBot="1" x14ac:dyDescent="0.3">
      <c r="A204" s="53" t="s">
        <v>137</v>
      </c>
      <c r="B204" s="53" t="s">
        <v>3</v>
      </c>
      <c r="C204" s="53" t="s">
        <v>138</v>
      </c>
    </row>
    <row r="205" spans="1:5" ht="18" x14ac:dyDescent="0.25">
      <c r="A205" s="55">
        <f>10000+900+500+45</f>
        <v>11445</v>
      </c>
      <c r="B205" s="77">
        <f>15+5+68+25</f>
        <v>113</v>
      </c>
      <c r="C205" s="57" t="s">
        <v>954</v>
      </c>
    </row>
    <row r="206" spans="1:5" ht="18" x14ac:dyDescent="0.25">
      <c r="A206" s="60"/>
      <c r="B206" s="56">
        <v>180</v>
      </c>
      <c r="C206" s="56" t="s">
        <v>1068</v>
      </c>
    </row>
    <row r="207" spans="1:5" ht="21.75" customHeight="1" x14ac:dyDescent="0.25">
      <c r="A207" s="60"/>
      <c r="B207" s="77">
        <v>793</v>
      </c>
      <c r="C207" s="77" t="s">
        <v>1069</v>
      </c>
    </row>
    <row r="208" spans="1:5" ht="21" customHeight="1" x14ac:dyDescent="0.25">
      <c r="A208" s="60"/>
      <c r="B208" s="56">
        <v>2390</v>
      </c>
      <c r="C208" s="77" t="s">
        <v>222</v>
      </c>
    </row>
    <row r="209" spans="1:5" ht="18" x14ac:dyDescent="0.25">
      <c r="A209" s="60"/>
      <c r="B209" s="77">
        <v>10</v>
      </c>
      <c r="C209" s="56" t="s">
        <v>552</v>
      </c>
    </row>
    <row r="210" spans="1:5" ht="19.5" customHeight="1" x14ac:dyDescent="0.25">
      <c r="A210" s="60"/>
      <c r="B210" s="77">
        <v>100</v>
      </c>
      <c r="C210" s="56" t="s">
        <v>29</v>
      </c>
    </row>
    <row r="211" spans="1:5" ht="19.5" customHeight="1" x14ac:dyDescent="0.25">
      <c r="A211" s="60"/>
      <c r="B211" s="56">
        <v>350</v>
      </c>
      <c r="C211" s="56" t="s">
        <v>708</v>
      </c>
    </row>
    <row r="212" spans="1:5" ht="18" x14ac:dyDescent="0.25">
      <c r="A212" s="60"/>
      <c r="B212" s="56">
        <v>90</v>
      </c>
      <c r="C212" s="56" t="s">
        <v>494</v>
      </c>
    </row>
    <row r="213" spans="1:5" ht="18" x14ac:dyDescent="0.25">
      <c r="A213" s="60"/>
      <c r="B213" s="56">
        <v>2000</v>
      </c>
      <c r="C213" s="56" t="s">
        <v>1072</v>
      </c>
    </row>
    <row r="214" spans="1:5" ht="18" x14ac:dyDescent="0.25">
      <c r="A214" s="60"/>
      <c r="B214" s="56">
        <v>345</v>
      </c>
      <c r="C214" s="56" t="s">
        <v>83</v>
      </c>
    </row>
    <row r="215" spans="1:5" ht="18.75" thickBot="1" x14ac:dyDescent="0.3">
      <c r="A215" s="60"/>
      <c r="B215" s="56">
        <v>145</v>
      </c>
      <c r="C215" s="56" t="s">
        <v>1073</v>
      </c>
    </row>
    <row r="216" spans="1:5" ht="24" thickBot="1" x14ac:dyDescent="0.3">
      <c r="A216" s="66"/>
      <c r="B216" s="56"/>
      <c r="C216" s="64"/>
      <c r="D216" s="134" t="s">
        <v>43</v>
      </c>
      <c r="E216" s="99">
        <f>E221-E217</f>
        <v>5</v>
      </c>
    </row>
    <row r="217" spans="1:5" ht="24" thickBot="1" x14ac:dyDescent="0.3">
      <c r="A217" s="68">
        <f>SUM(A205:A216)</f>
        <v>11445</v>
      </c>
      <c r="B217" s="69">
        <f>SUM(B205:B216)</f>
        <v>6516</v>
      </c>
      <c r="D217" s="135" t="s">
        <v>94</v>
      </c>
      <c r="E217" s="99">
        <f>3562-3396</f>
        <v>166</v>
      </c>
    </row>
    <row r="218" spans="1:5" ht="21.75" thickBot="1" x14ac:dyDescent="0.3">
      <c r="A218" s="462" t="s">
        <v>139</v>
      </c>
      <c r="B218" s="463"/>
      <c r="C218" s="71" t="s">
        <v>75</v>
      </c>
      <c r="D218" s="136" t="s">
        <v>65</v>
      </c>
      <c r="E218" s="85">
        <v>171</v>
      </c>
    </row>
    <row r="219" spans="1:5" ht="24" thickBot="1" x14ac:dyDescent="0.3">
      <c r="A219" s="464">
        <f>B217+A217</f>
        <v>17961</v>
      </c>
      <c r="B219" s="465"/>
      <c r="C219" s="313">
        <v>100</v>
      </c>
      <c r="D219" s="82"/>
      <c r="E219" s="83"/>
    </row>
    <row r="220" spans="1:5" ht="24" thickBot="1" x14ac:dyDescent="0.3">
      <c r="A220" s="466" t="s">
        <v>99</v>
      </c>
      <c r="B220" s="467"/>
      <c r="C220" s="78">
        <f>A221-C221</f>
        <v>18</v>
      </c>
      <c r="D220" s="82"/>
      <c r="E220" s="83"/>
    </row>
    <row r="221" spans="1:5" ht="24" thickBot="1" x14ac:dyDescent="0.3">
      <c r="A221" s="468">
        <f>C219+A219</f>
        <v>18061</v>
      </c>
      <c r="B221" s="469"/>
      <c r="C221" s="121">
        <v>18043</v>
      </c>
      <c r="D221" s="82" t="s">
        <v>164</v>
      </c>
      <c r="E221" s="83">
        <f>SUM(E218:E220)</f>
        <v>171</v>
      </c>
    </row>
    <row r="222" spans="1:5" ht="24" thickBot="1" x14ac:dyDescent="0.3">
      <c r="A222"/>
      <c r="B222"/>
      <c r="C222" s="314" t="str">
        <f>IF(C220&gt;0,"زيادة","عجز")</f>
        <v>زيادة</v>
      </c>
      <c r="D222" s="318"/>
    </row>
    <row r="223" spans="1:5" x14ac:dyDescent="0.25">
      <c r="A223"/>
      <c r="B223"/>
    </row>
    <row r="224" spans="1:5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6" x14ac:dyDescent="0.25">
      <c r="A321"/>
      <c r="B321"/>
    </row>
    <row r="322" spans="1:6" x14ac:dyDescent="0.25">
      <c r="A322"/>
      <c r="B322"/>
    </row>
    <row r="323" spans="1:6" x14ac:dyDescent="0.25">
      <c r="A323"/>
      <c r="B323"/>
    </row>
    <row r="324" spans="1:6" x14ac:dyDescent="0.25">
      <c r="A324"/>
      <c r="B324"/>
    </row>
    <row r="325" spans="1:6" x14ac:dyDescent="0.25">
      <c r="A325"/>
      <c r="B325"/>
    </row>
    <row r="326" spans="1:6" x14ac:dyDescent="0.25">
      <c r="A326"/>
      <c r="B326"/>
    </row>
    <row r="327" spans="1:6" x14ac:dyDescent="0.25">
      <c r="A327"/>
      <c r="B327"/>
    </row>
    <row r="328" spans="1:6" x14ac:dyDescent="0.25">
      <c r="A328"/>
      <c r="B328"/>
    </row>
    <row r="329" spans="1:6" x14ac:dyDescent="0.25">
      <c r="A329"/>
      <c r="B329"/>
      <c r="F329">
        <f>2778+2841-2043-2544</f>
        <v>1032</v>
      </c>
    </row>
    <row r="330" spans="1:6" x14ac:dyDescent="0.25">
      <c r="A330"/>
      <c r="B330"/>
      <c r="F330">
        <v>920</v>
      </c>
    </row>
    <row r="331" spans="1:6" x14ac:dyDescent="0.25">
      <c r="A331"/>
      <c r="B331"/>
    </row>
    <row r="332" spans="1:6" x14ac:dyDescent="0.25">
      <c r="A332"/>
      <c r="B332"/>
    </row>
    <row r="333" spans="1:6" x14ac:dyDescent="0.25">
      <c r="A333"/>
      <c r="B333"/>
    </row>
    <row r="334" spans="1:6" x14ac:dyDescent="0.25">
      <c r="A334"/>
      <c r="B334"/>
    </row>
    <row r="335" spans="1:6" x14ac:dyDescent="0.25">
      <c r="A335"/>
      <c r="B335"/>
    </row>
    <row r="336" spans="1:6" x14ac:dyDescent="0.25">
      <c r="A336"/>
      <c r="B336"/>
    </row>
    <row r="337" spans="1:7" x14ac:dyDescent="0.25">
      <c r="A337"/>
      <c r="B337"/>
    </row>
    <row r="338" spans="1:7" x14ac:dyDescent="0.25">
      <c r="A338"/>
      <c r="B338"/>
    </row>
    <row r="339" spans="1:7" x14ac:dyDescent="0.25">
      <c r="A339"/>
      <c r="B339"/>
    </row>
    <row r="340" spans="1:7" x14ac:dyDescent="0.25">
      <c r="A340"/>
      <c r="B340"/>
    </row>
    <row r="341" spans="1:7" x14ac:dyDescent="0.25">
      <c r="A341"/>
      <c r="B341"/>
    </row>
    <row r="342" spans="1:7" x14ac:dyDescent="0.25">
      <c r="A342"/>
      <c r="B342"/>
    </row>
    <row r="343" spans="1:7" x14ac:dyDescent="0.25">
      <c r="A343"/>
      <c r="B343"/>
    </row>
    <row r="344" spans="1:7" x14ac:dyDescent="0.25">
      <c r="A344"/>
      <c r="B344"/>
    </row>
    <row r="345" spans="1:7" x14ac:dyDescent="0.25">
      <c r="A345"/>
      <c r="B345"/>
    </row>
    <row r="346" spans="1:7" x14ac:dyDescent="0.25">
      <c r="A346"/>
      <c r="B346"/>
    </row>
    <row r="347" spans="1:7" x14ac:dyDescent="0.25">
      <c r="A347"/>
      <c r="B347"/>
    </row>
    <row r="348" spans="1:7" x14ac:dyDescent="0.25">
      <c r="A348"/>
      <c r="B348"/>
    </row>
    <row r="349" spans="1:7" x14ac:dyDescent="0.25">
      <c r="A349"/>
      <c r="B349"/>
      <c r="G349" t="e">
        <f>#REF!-#REF!</f>
        <v>#REF!</v>
      </c>
    </row>
    <row r="350" spans="1:7" x14ac:dyDescent="0.25">
      <c r="A350"/>
      <c r="B350"/>
    </row>
    <row r="351" spans="1:7" x14ac:dyDescent="0.25">
      <c r="A351"/>
      <c r="B351"/>
    </row>
    <row r="352" spans="1:7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</sheetData>
  <mergeCells count="40">
    <mergeCell ref="B203:C203"/>
    <mergeCell ref="A218:B218"/>
    <mergeCell ref="A219:B219"/>
    <mergeCell ref="A220:B220"/>
    <mergeCell ref="A221:B221"/>
    <mergeCell ref="B182:C182"/>
    <mergeCell ref="A197:B197"/>
    <mergeCell ref="A198:B198"/>
    <mergeCell ref="A199:B199"/>
    <mergeCell ref="A200:B200"/>
    <mergeCell ref="B161:C161"/>
    <mergeCell ref="A176:B176"/>
    <mergeCell ref="A177:B177"/>
    <mergeCell ref="A178:B178"/>
    <mergeCell ref="A179:B179"/>
    <mergeCell ref="B139:C139"/>
    <mergeCell ref="A154:B154"/>
    <mergeCell ref="A155:B155"/>
    <mergeCell ref="A156:B156"/>
    <mergeCell ref="A157:B157"/>
    <mergeCell ref="B118:C118"/>
    <mergeCell ref="A133:B133"/>
    <mergeCell ref="A134:B134"/>
    <mergeCell ref="A135:B135"/>
    <mergeCell ref="A136:B136"/>
    <mergeCell ref="B76:C76"/>
    <mergeCell ref="A91:B91"/>
    <mergeCell ref="A92:B92"/>
    <mergeCell ref="A93:B93"/>
    <mergeCell ref="A94:B94"/>
    <mergeCell ref="B56:C56"/>
    <mergeCell ref="A68:B68"/>
    <mergeCell ref="A69:B69"/>
    <mergeCell ref="A70:B70"/>
    <mergeCell ref="A71:B71"/>
    <mergeCell ref="B97:C97"/>
    <mergeCell ref="A112:B112"/>
    <mergeCell ref="A113:B113"/>
    <mergeCell ref="A114:B114"/>
    <mergeCell ref="A115:B115"/>
  </mergeCells>
  <conditionalFormatting sqref="C72">
    <cfRule type="expression" dxfId="221" priority="17">
      <formula>$C$72="عجز"</formula>
    </cfRule>
    <cfRule type="expression" dxfId="220" priority="18">
      <formula>$C$72="زيادة"</formula>
    </cfRule>
  </conditionalFormatting>
  <conditionalFormatting sqref="C95">
    <cfRule type="expression" dxfId="219" priority="15">
      <formula>$C$72="عجز"</formula>
    </cfRule>
    <cfRule type="expression" dxfId="218" priority="16">
      <formula>$C$72="زيادة"</formula>
    </cfRule>
  </conditionalFormatting>
  <conditionalFormatting sqref="C116">
    <cfRule type="expression" dxfId="217" priority="13">
      <formula>$C$116="عجز"</formula>
    </cfRule>
    <cfRule type="expression" dxfId="216" priority="14">
      <formula>$C$72="زيادة"</formula>
    </cfRule>
  </conditionalFormatting>
  <conditionalFormatting sqref="C137">
    <cfRule type="expression" dxfId="215" priority="9">
      <formula>$C$72="عجز"</formula>
    </cfRule>
    <cfRule type="expression" dxfId="214" priority="10">
      <formula>$C$72="زيادة"</formula>
    </cfRule>
  </conditionalFormatting>
  <conditionalFormatting sqref="C158">
    <cfRule type="expression" dxfId="213" priority="7">
      <formula>$C$72="عجز"</formula>
    </cfRule>
    <cfRule type="expression" dxfId="212" priority="8">
      <formula>$C$72="زيادة"</formula>
    </cfRule>
  </conditionalFormatting>
  <conditionalFormatting sqref="C180">
    <cfRule type="expression" dxfId="211" priority="5">
      <formula>$C$72="عجز"</formula>
    </cfRule>
    <cfRule type="expression" dxfId="210" priority="6">
      <formula>$C$72="زيادة"</formula>
    </cfRule>
  </conditionalFormatting>
  <conditionalFormatting sqref="C201">
    <cfRule type="expression" dxfId="209" priority="3">
      <formula>$C$72="عجز"</formula>
    </cfRule>
    <cfRule type="expression" dxfId="208" priority="4">
      <formula>$C$72="زيادة"</formula>
    </cfRule>
  </conditionalFormatting>
  <conditionalFormatting sqref="C222">
    <cfRule type="expression" dxfId="207" priority="1">
      <formula>$C$72="عجز"</formula>
    </cfRule>
    <cfRule type="expression" dxfId="206" priority="2">
      <formula>$C$72="زيادة"</formula>
    </cfRule>
  </conditionalFormatting>
  <pageMargins left="0.7" right="0.7" top="0.75" bottom="0.75" header="0.3" footer="0.3"/>
  <pageSetup paperSize="260" orientation="portrait" horizontalDpi="203" verticalDpi="20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74A2D2-71BC-411A-AF02-20AC6D9560A3}">
          <x14:formula1>
            <xm:f>data!$A$57:$A$70</xm:f>
          </x14:formula1>
          <xm:sqref>C46:C52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J191"/>
  <sheetViews>
    <sheetView rightToLeft="1" topLeftCell="A68" zoomScale="115" zoomScaleNormal="115" workbookViewId="0">
      <selection activeCell="A96" sqref="A96"/>
    </sheetView>
  </sheetViews>
  <sheetFormatPr defaultRowHeight="15" x14ac:dyDescent="0.25"/>
  <cols>
    <col min="1" max="1" width="39.140625" style="9" bestFit="1" customWidth="1"/>
    <col min="2" max="2" width="15" style="10" bestFit="1" customWidth="1"/>
    <col min="3" max="3" width="35.85546875" bestFit="1" customWidth="1"/>
    <col min="4" max="4" width="20.28515625" bestFit="1" customWidth="1"/>
    <col min="5" max="5" width="14.7109375" customWidth="1"/>
    <col min="6" max="6" width="6.7109375" bestFit="1" customWidth="1"/>
    <col min="7" max="7" width="14.28515625" customWidth="1"/>
    <col min="8" max="8" width="14.5703125" customWidth="1"/>
    <col min="9" max="9" width="10.7109375" customWidth="1"/>
  </cols>
  <sheetData>
    <row r="1" spans="1:5" ht="18.75" x14ac:dyDescent="0.3">
      <c r="A1" s="1" t="s">
        <v>0</v>
      </c>
      <c r="B1" s="2">
        <v>45108</v>
      </c>
      <c r="C1" s="3"/>
      <c r="D1" s="3"/>
    </row>
    <row r="2" spans="1:5" x14ac:dyDescent="0.25">
      <c r="A2" s="4" t="s">
        <v>1</v>
      </c>
      <c r="B2" s="5" t="s">
        <v>2</v>
      </c>
      <c r="C2" s="5" t="s">
        <v>3</v>
      </c>
      <c r="D2" s="6" t="s">
        <v>4</v>
      </c>
      <c r="E2" s="5" t="s">
        <v>5</v>
      </c>
    </row>
    <row r="3" spans="1:5" x14ac:dyDescent="0.25">
      <c r="A3" s="19"/>
      <c r="B3" s="31"/>
      <c r="C3" s="20" t="s">
        <v>95</v>
      </c>
      <c r="D3" s="21">
        <v>9630</v>
      </c>
      <c r="E3" s="35"/>
    </row>
    <row r="4" spans="1:5" x14ac:dyDescent="0.25">
      <c r="A4" s="20" t="s">
        <v>9</v>
      </c>
      <c r="B4" s="31">
        <v>14870</v>
      </c>
      <c r="C4" s="20" t="s">
        <v>19</v>
      </c>
      <c r="D4" s="21">
        <v>145</v>
      </c>
      <c r="E4" s="35"/>
    </row>
    <row r="5" spans="1:5" x14ac:dyDescent="0.25">
      <c r="A5" s="20" t="s">
        <v>28</v>
      </c>
      <c r="B5" s="22">
        <v>1532</v>
      </c>
      <c r="C5" s="20" t="s">
        <v>29</v>
      </c>
      <c r="D5" s="32">
        <v>140</v>
      </c>
      <c r="E5" s="35"/>
    </row>
    <row r="6" spans="1:5" x14ac:dyDescent="0.25">
      <c r="A6" s="20" t="s">
        <v>24</v>
      </c>
      <c r="B6" s="22">
        <v>2135</v>
      </c>
      <c r="C6" s="20" t="s">
        <v>68</v>
      </c>
      <c r="D6" s="32">
        <v>1855</v>
      </c>
      <c r="E6" s="35"/>
    </row>
    <row r="7" spans="1:5" x14ac:dyDescent="0.25">
      <c r="A7" s="20" t="s">
        <v>15</v>
      </c>
      <c r="B7" s="22">
        <v>17812</v>
      </c>
      <c r="C7" s="20" t="s">
        <v>69</v>
      </c>
      <c r="D7" s="32">
        <v>1345</v>
      </c>
      <c r="E7" s="35"/>
    </row>
    <row r="8" spans="1:5" x14ac:dyDescent="0.25">
      <c r="A8" s="20" t="s">
        <v>64</v>
      </c>
      <c r="B8" s="22">
        <v>259</v>
      </c>
      <c r="C8" s="20" t="s">
        <v>10</v>
      </c>
      <c r="D8" s="32">
        <v>75</v>
      </c>
      <c r="E8" s="35"/>
    </row>
    <row r="9" spans="1:5" x14ac:dyDescent="0.25">
      <c r="A9" s="20" t="s">
        <v>21</v>
      </c>
      <c r="B9" s="22">
        <v>5</v>
      </c>
      <c r="C9" s="20" t="s">
        <v>98</v>
      </c>
      <c r="D9" s="32">
        <v>50</v>
      </c>
      <c r="E9" s="35"/>
    </row>
    <row r="10" spans="1:5" x14ac:dyDescent="0.25">
      <c r="A10" s="20" t="s">
        <v>80</v>
      </c>
      <c r="B10" s="22">
        <v>15015</v>
      </c>
      <c r="C10" s="20" t="s">
        <v>73</v>
      </c>
      <c r="D10" s="21">
        <v>147</v>
      </c>
      <c r="E10" s="35"/>
    </row>
    <row r="11" spans="1:5" x14ac:dyDescent="0.25">
      <c r="A11" s="20" t="s">
        <v>81</v>
      </c>
      <c r="B11" s="22">
        <v>1962</v>
      </c>
      <c r="C11" s="20" t="s">
        <v>101</v>
      </c>
      <c r="D11" s="21">
        <v>55</v>
      </c>
      <c r="E11" s="35"/>
    </row>
    <row r="12" spans="1:5" x14ac:dyDescent="0.25">
      <c r="A12" s="20" t="s">
        <v>85</v>
      </c>
      <c r="B12" s="22">
        <v>11275</v>
      </c>
      <c r="C12" s="20" t="s">
        <v>87</v>
      </c>
      <c r="D12" s="21">
        <v>100</v>
      </c>
      <c r="E12" s="35"/>
    </row>
    <row r="13" spans="1:5" x14ac:dyDescent="0.25">
      <c r="A13" s="20" t="s">
        <v>121</v>
      </c>
      <c r="B13" s="22">
        <v>13221</v>
      </c>
      <c r="C13" s="20" t="s">
        <v>102</v>
      </c>
      <c r="D13" s="21">
        <v>100</v>
      </c>
      <c r="E13" s="36"/>
    </row>
    <row r="14" spans="1:5" x14ac:dyDescent="0.25">
      <c r="A14" s="20" t="s">
        <v>93</v>
      </c>
      <c r="B14" s="22">
        <v>1080</v>
      </c>
      <c r="C14" s="20" t="s">
        <v>72</v>
      </c>
      <c r="D14" s="32">
        <v>440</v>
      </c>
      <c r="E14" s="36"/>
    </row>
    <row r="15" spans="1:5" x14ac:dyDescent="0.25">
      <c r="A15" s="20" t="s">
        <v>129</v>
      </c>
      <c r="B15" s="22">
        <v>5300</v>
      </c>
      <c r="C15" s="20" t="s">
        <v>103</v>
      </c>
      <c r="D15" s="32">
        <v>100</v>
      </c>
      <c r="E15" s="36"/>
    </row>
    <row r="16" spans="1:5" x14ac:dyDescent="0.25">
      <c r="A16" s="20" t="s">
        <v>88</v>
      </c>
      <c r="B16" s="22">
        <v>26376</v>
      </c>
      <c r="C16" s="20" t="s">
        <v>104</v>
      </c>
      <c r="D16" s="32">
        <v>20</v>
      </c>
      <c r="E16" s="37"/>
    </row>
    <row r="17" spans="1:7" x14ac:dyDescent="0.25">
      <c r="A17" s="20" t="s">
        <v>131</v>
      </c>
      <c r="B17" s="22">
        <v>150</v>
      </c>
      <c r="C17" s="20" t="s">
        <v>105</v>
      </c>
      <c r="D17" s="32">
        <v>5</v>
      </c>
      <c r="E17" s="37"/>
    </row>
    <row r="18" spans="1:7" x14ac:dyDescent="0.25">
      <c r="A18" s="20" t="s">
        <v>22</v>
      </c>
      <c r="B18" s="22">
        <v>405</v>
      </c>
      <c r="C18" s="20" t="s">
        <v>106</v>
      </c>
      <c r="D18" s="32">
        <v>10</v>
      </c>
      <c r="E18" s="37"/>
    </row>
    <row r="19" spans="1:7" x14ac:dyDescent="0.25">
      <c r="A19" s="20" t="s">
        <v>136</v>
      </c>
      <c r="B19" s="22"/>
      <c r="C19" s="20" t="s">
        <v>107</v>
      </c>
      <c r="D19" s="32">
        <v>155</v>
      </c>
      <c r="E19" s="37"/>
    </row>
    <row r="20" spans="1:7" x14ac:dyDescent="0.25">
      <c r="A20" s="20" t="s">
        <v>22</v>
      </c>
      <c r="B20" s="22">
        <v>200</v>
      </c>
      <c r="C20" s="39" t="s">
        <v>109</v>
      </c>
      <c r="D20" s="32"/>
      <c r="E20" s="37"/>
    </row>
    <row r="21" spans="1:7" x14ac:dyDescent="0.25">
      <c r="A21" s="20" t="s">
        <v>141</v>
      </c>
      <c r="B21" s="22"/>
      <c r="C21" s="39" t="s">
        <v>110</v>
      </c>
      <c r="D21" s="32"/>
      <c r="E21" s="37"/>
    </row>
    <row r="22" spans="1:7" ht="15.75" x14ac:dyDescent="0.25">
      <c r="A22" s="20" t="s">
        <v>141</v>
      </c>
      <c r="B22" s="22"/>
      <c r="C22" s="20" t="s">
        <v>34</v>
      </c>
      <c r="D22" s="32">
        <v>745</v>
      </c>
      <c r="E22" s="37"/>
      <c r="F22" s="15"/>
    </row>
    <row r="23" spans="1:7" ht="15.75" x14ac:dyDescent="0.25">
      <c r="A23" s="20" t="s">
        <v>52</v>
      </c>
      <c r="B23" s="22">
        <v>200</v>
      </c>
      <c r="C23" s="20" t="s">
        <v>8</v>
      </c>
      <c r="D23" s="32">
        <v>265</v>
      </c>
      <c r="E23" s="37"/>
      <c r="F23" s="15"/>
    </row>
    <row r="24" spans="1:7" ht="15.75" x14ac:dyDescent="0.25">
      <c r="A24" s="20" t="s">
        <v>60</v>
      </c>
      <c r="B24" s="22">
        <v>23574</v>
      </c>
      <c r="C24" s="20"/>
      <c r="D24" s="32"/>
      <c r="E24" s="37"/>
      <c r="F24" s="15"/>
      <c r="G24">
        <f>8500+550+75+5300</f>
        <v>14425</v>
      </c>
    </row>
    <row r="25" spans="1:7" ht="15.75" x14ac:dyDescent="0.25">
      <c r="A25" s="20" t="s">
        <v>62</v>
      </c>
      <c r="B25" s="22">
        <v>1425</v>
      </c>
      <c r="C25" s="20" t="s">
        <v>112</v>
      </c>
      <c r="D25" s="32">
        <v>1417</v>
      </c>
      <c r="E25" s="37"/>
      <c r="F25" s="15"/>
      <c r="G25">
        <f>500+1800+2000</f>
        <v>4300</v>
      </c>
    </row>
    <row r="26" spans="1:7" ht="15.75" x14ac:dyDescent="0.25">
      <c r="A26" s="20" t="s">
        <v>145</v>
      </c>
      <c r="B26" s="22">
        <v>6000</v>
      </c>
      <c r="C26" s="20" t="s">
        <v>73</v>
      </c>
      <c r="D26" s="32">
        <v>33.5</v>
      </c>
      <c r="E26" s="37"/>
      <c r="F26" s="15"/>
      <c r="G26">
        <f>4300+125</f>
        <v>4425</v>
      </c>
    </row>
    <row r="27" spans="1:7" ht="15.75" x14ac:dyDescent="0.25">
      <c r="A27" s="20" t="s">
        <v>146</v>
      </c>
      <c r="B27" s="22"/>
      <c r="C27" s="20" t="s">
        <v>49</v>
      </c>
      <c r="D27" s="32">
        <v>10175</v>
      </c>
      <c r="E27" s="37"/>
      <c r="F27" s="15"/>
    </row>
    <row r="28" spans="1:7" ht="15.75" x14ac:dyDescent="0.25">
      <c r="A28" s="20" t="s">
        <v>147</v>
      </c>
      <c r="B28" s="22">
        <v>4955</v>
      </c>
      <c r="C28" s="20" t="s">
        <v>37</v>
      </c>
      <c r="D28" s="32">
        <v>485</v>
      </c>
      <c r="E28" s="37"/>
      <c r="F28" s="15"/>
    </row>
    <row r="29" spans="1:7" ht="15.75" x14ac:dyDescent="0.25">
      <c r="A29" s="20"/>
      <c r="B29" s="22"/>
      <c r="C29" s="20" t="s">
        <v>117</v>
      </c>
      <c r="D29" s="32">
        <v>1300</v>
      </c>
      <c r="E29" s="37"/>
      <c r="F29" s="15"/>
    </row>
    <row r="30" spans="1:7" ht="15.75" x14ac:dyDescent="0.25">
      <c r="A30" s="20"/>
      <c r="B30" s="21"/>
      <c r="C30" s="20" t="s">
        <v>116</v>
      </c>
      <c r="D30" s="21">
        <v>500</v>
      </c>
      <c r="E30" s="42"/>
      <c r="F30" s="15"/>
    </row>
    <row r="31" spans="1:7" ht="15.75" x14ac:dyDescent="0.25">
      <c r="A31" s="20"/>
      <c r="B31" s="21"/>
      <c r="C31" s="20" t="s">
        <v>73</v>
      </c>
      <c r="D31" s="21">
        <v>40</v>
      </c>
      <c r="E31" s="42"/>
      <c r="F31" s="15"/>
    </row>
    <row r="32" spans="1:7" ht="15.75" x14ac:dyDescent="0.25">
      <c r="A32" s="20"/>
      <c r="B32" s="21"/>
      <c r="C32" s="20" t="s">
        <v>71</v>
      </c>
      <c r="D32" s="21">
        <v>50</v>
      </c>
      <c r="E32" s="42"/>
      <c r="F32" s="15"/>
    </row>
    <row r="33" spans="1:6" ht="15.75" x14ac:dyDescent="0.25">
      <c r="A33" s="20"/>
      <c r="B33" s="21"/>
      <c r="C33" s="20" t="s">
        <v>123</v>
      </c>
      <c r="D33" s="32">
        <v>72</v>
      </c>
      <c r="E33" s="42"/>
      <c r="F33" s="15"/>
    </row>
    <row r="34" spans="1:6" ht="15.75" x14ac:dyDescent="0.25">
      <c r="A34" s="20"/>
      <c r="B34" s="21"/>
      <c r="C34" s="20" t="s">
        <v>124</v>
      </c>
      <c r="D34" s="21">
        <v>174.5</v>
      </c>
      <c r="E34" s="42"/>
      <c r="F34" s="15"/>
    </row>
    <row r="35" spans="1:6" ht="15.75" x14ac:dyDescent="0.25">
      <c r="A35" s="20"/>
      <c r="B35" s="21"/>
      <c r="C35" s="20" t="s">
        <v>30</v>
      </c>
      <c r="D35" s="21">
        <v>50</v>
      </c>
      <c r="E35" s="42"/>
      <c r="F35" s="15"/>
    </row>
    <row r="36" spans="1:6" ht="15.75" x14ac:dyDescent="0.25">
      <c r="A36" s="20"/>
      <c r="B36" s="21"/>
      <c r="C36" s="39" t="s">
        <v>120</v>
      </c>
      <c r="D36" s="40">
        <v>1000</v>
      </c>
      <c r="E36" s="42"/>
      <c r="F36" s="15"/>
    </row>
    <row r="37" spans="1:6" ht="15.75" x14ac:dyDescent="0.25">
      <c r="A37" s="20"/>
      <c r="B37" s="21"/>
      <c r="C37" s="39" t="s">
        <v>122</v>
      </c>
      <c r="D37" s="40">
        <v>1000</v>
      </c>
      <c r="E37" s="42"/>
      <c r="F37" s="15"/>
    </row>
    <row r="38" spans="1:6" ht="15.75" x14ac:dyDescent="0.25">
      <c r="A38" s="20"/>
      <c r="B38" s="22"/>
      <c r="C38" s="20" t="s">
        <v>43</v>
      </c>
      <c r="D38" s="21">
        <v>6000</v>
      </c>
      <c r="E38" s="37"/>
      <c r="F38" s="15"/>
    </row>
    <row r="39" spans="1:6" ht="15.75" x14ac:dyDescent="0.25">
      <c r="A39" s="20"/>
      <c r="B39" s="22"/>
      <c r="C39" s="20" t="s">
        <v>32</v>
      </c>
      <c r="D39" s="32">
        <v>105</v>
      </c>
      <c r="E39" s="37"/>
      <c r="F39" s="15"/>
    </row>
    <row r="40" spans="1:6" ht="15.75" x14ac:dyDescent="0.25">
      <c r="A40" s="20"/>
      <c r="B40" s="22"/>
      <c r="C40" s="20" t="s">
        <v>59</v>
      </c>
      <c r="D40" s="21">
        <v>215</v>
      </c>
      <c r="E40" s="37"/>
      <c r="F40" s="15"/>
    </row>
    <row r="41" spans="1:6" ht="15.75" x14ac:dyDescent="0.25">
      <c r="A41" s="20"/>
      <c r="B41" s="22"/>
      <c r="C41" s="20" t="s">
        <v>89</v>
      </c>
      <c r="D41" s="32">
        <v>100</v>
      </c>
      <c r="E41" s="37"/>
      <c r="F41" s="15"/>
    </row>
    <row r="42" spans="1:6" ht="15.75" x14ac:dyDescent="0.25">
      <c r="A42" s="20"/>
      <c r="B42" s="22"/>
      <c r="C42" s="20" t="s">
        <v>125</v>
      </c>
      <c r="D42" s="21">
        <v>155</v>
      </c>
      <c r="E42" s="37"/>
      <c r="F42" s="15"/>
    </row>
    <row r="43" spans="1:6" ht="15.75" x14ac:dyDescent="0.25">
      <c r="A43" s="20"/>
      <c r="B43" s="22"/>
      <c r="C43" s="20" t="s">
        <v>40</v>
      </c>
      <c r="D43" s="32">
        <v>240</v>
      </c>
      <c r="E43" s="37"/>
      <c r="F43" s="15"/>
    </row>
    <row r="44" spans="1:6" ht="15.75" x14ac:dyDescent="0.25">
      <c r="A44" s="41"/>
      <c r="B44" s="22"/>
      <c r="C44" s="20" t="s">
        <v>126</v>
      </c>
      <c r="D44" s="21">
        <v>170</v>
      </c>
      <c r="E44" s="42"/>
      <c r="F44" s="15"/>
    </row>
    <row r="45" spans="1:6" ht="15.75" x14ac:dyDescent="0.25">
      <c r="A45" s="41"/>
      <c r="B45" s="22"/>
      <c r="C45" s="20" t="s">
        <v>127</v>
      </c>
      <c r="D45" s="32">
        <v>61</v>
      </c>
      <c r="E45" s="42"/>
      <c r="F45" s="15"/>
    </row>
    <row r="46" spans="1:6" ht="15.75" x14ac:dyDescent="0.25">
      <c r="A46" s="20"/>
      <c r="B46" s="22"/>
      <c r="C46" s="20" t="s">
        <v>127</v>
      </c>
      <c r="D46" s="21">
        <v>20000</v>
      </c>
      <c r="E46" s="37"/>
      <c r="F46" s="15"/>
    </row>
    <row r="47" spans="1:6" ht="15.75" x14ac:dyDescent="0.25">
      <c r="A47" s="41"/>
      <c r="B47" s="22"/>
      <c r="C47" s="20" t="s">
        <v>120</v>
      </c>
      <c r="D47" s="21">
        <v>1000</v>
      </c>
      <c r="E47" s="42"/>
      <c r="F47" s="15"/>
    </row>
    <row r="48" spans="1:6" ht="15.75" x14ac:dyDescent="0.25">
      <c r="A48" s="20"/>
      <c r="B48" s="22"/>
      <c r="C48" s="20" t="s">
        <v>134</v>
      </c>
      <c r="D48" s="32">
        <v>130</v>
      </c>
      <c r="E48" s="37"/>
      <c r="F48" s="15"/>
    </row>
    <row r="49" spans="1:7" ht="15.75" x14ac:dyDescent="0.25">
      <c r="A49" s="20"/>
      <c r="B49" s="22"/>
      <c r="C49" s="20" t="s">
        <v>133</v>
      </c>
      <c r="D49" s="21">
        <v>225</v>
      </c>
      <c r="E49" s="37"/>
      <c r="F49" s="15"/>
    </row>
    <row r="50" spans="1:7" ht="15.75" x14ac:dyDescent="0.25">
      <c r="A50" s="20"/>
      <c r="B50" s="22"/>
      <c r="C50" s="20" t="s">
        <v>132</v>
      </c>
      <c r="D50" s="32">
        <v>2050</v>
      </c>
      <c r="E50" s="37"/>
      <c r="F50" s="15"/>
    </row>
    <row r="51" spans="1:7" ht="15.75" x14ac:dyDescent="0.25">
      <c r="A51" s="41"/>
      <c r="B51" s="22"/>
      <c r="C51" s="20" t="s">
        <v>135</v>
      </c>
      <c r="D51" s="32"/>
      <c r="E51" s="42"/>
      <c r="F51" s="15"/>
      <c r="G51">
        <f>14*5.8+25</f>
        <v>106.2</v>
      </c>
    </row>
    <row r="52" spans="1:7" ht="15.75" x14ac:dyDescent="0.25">
      <c r="A52" s="41"/>
      <c r="B52" s="22"/>
      <c r="C52" s="20" t="s">
        <v>20</v>
      </c>
      <c r="D52" s="32">
        <v>3155</v>
      </c>
      <c r="E52" s="42"/>
      <c r="F52" s="15"/>
    </row>
    <row r="53" spans="1:7" ht="15.75" x14ac:dyDescent="0.25">
      <c r="A53" s="41"/>
      <c r="B53" s="22"/>
      <c r="C53" s="20" t="s">
        <v>140</v>
      </c>
      <c r="D53" s="32">
        <v>2185</v>
      </c>
      <c r="E53" s="42"/>
      <c r="F53" s="15"/>
    </row>
    <row r="54" spans="1:7" ht="15.75" x14ac:dyDescent="0.25">
      <c r="A54" s="41"/>
      <c r="B54" s="22"/>
      <c r="C54" s="20" t="s">
        <v>14</v>
      </c>
      <c r="D54" s="32">
        <f>6*115+70+7*115+140</f>
        <v>1705</v>
      </c>
      <c r="E54" s="42"/>
      <c r="F54" s="15"/>
    </row>
    <row r="55" spans="1:7" ht="15.75" x14ac:dyDescent="0.25">
      <c r="A55" s="41"/>
      <c r="B55" s="22"/>
      <c r="C55" s="20" t="s">
        <v>16</v>
      </c>
      <c r="D55" s="32">
        <v>4285</v>
      </c>
      <c r="E55" s="42"/>
      <c r="F55" s="15"/>
    </row>
    <row r="56" spans="1:7" ht="15.75" x14ac:dyDescent="0.25">
      <c r="A56" s="41"/>
      <c r="B56" s="22"/>
      <c r="C56" s="20" t="s">
        <v>82</v>
      </c>
      <c r="D56" s="32">
        <v>105</v>
      </c>
      <c r="E56" s="42"/>
      <c r="F56" s="15"/>
    </row>
    <row r="57" spans="1:7" ht="15.75" x14ac:dyDescent="0.25">
      <c r="A57" s="41"/>
      <c r="B57" s="22"/>
      <c r="C57" s="20" t="s">
        <v>60</v>
      </c>
      <c r="D57" s="32">
        <v>145</v>
      </c>
      <c r="E57" s="42"/>
      <c r="F57" s="15"/>
    </row>
    <row r="58" spans="1:7" ht="15.75" x14ac:dyDescent="0.25">
      <c r="A58" s="41"/>
      <c r="B58" s="22"/>
      <c r="C58" s="32" t="s">
        <v>67</v>
      </c>
      <c r="D58" s="21">
        <v>39</v>
      </c>
      <c r="E58" s="42"/>
      <c r="F58" s="15"/>
    </row>
    <row r="59" spans="1:7" ht="15.75" x14ac:dyDescent="0.25">
      <c r="A59" s="41"/>
      <c r="B59" s="22"/>
      <c r="C59" s="32" t="s">
        <v>142</v>
      </c>
      <c r="D59" s="21">
        <v>40</v>
      </c>
      <c r="E59" s="42"/>
      <c r="F59" s="15"/>
    </row>
    <row r="60" spans="1:7" ht="15.75" x14ac:dyDescent="0.25">
      <c r="A60" s="41"/>
      <c r="B60" s="22"/>
      <c r="C60" s="32" t="s">
        <v>67</v>
      </c>
      <c r="D60" s="21">
        <v>20</v>
      </c>
      <c r="E60" s="42"/>
      <c r="F60" s="15"/>
      <c r="G60">
        <v>7307</v>
      </c>
    </row>
    <row r="61" spans="1:7" x14ac:dyDescent="0.25">
      <c r="A61" s="41"/>
      <c r="B61" s="22"/>
      <c r="C61" s="20" t="s">
        <v>144</v>
      </c>
      <c r="D61" s="32">
        <v>11</v>
      </c>
      <c r="E61" s="42"/>
    </row>
    <row r="62" spans="1:7" x14ac:dyDescent="0.25">
      <c r="A62" s="41"/>
      <c r="B62" s="22"/>
      <c r="C62" s="20"/>
      <c r="D62" s="32"/>
      <c r="E62" s="42"/>
    </row>
    <row r="63" spans="1:7" x14ac:dyDescent="0.25">
      <c r="A63" s="41"/>
      <c r="B63" s="22"/>
      <c r="C63" s="41" t="s">
        <v>350</v>
      </c>
      <c r="D63" s="32">
        <v>100</v>
      </c>
      <c r="E63" s="42"/>
    </row>
    <row r="64" spans="1:7" x14ac:dyDescent="0.25">
      <c r="A64" s="41"/>
      <c r="B64" s="22"/>
      <c r="C64" s="41" t="s">
        <v>22</v>
      </c>
      <c r="D64" s="32">
        <v>875</v>
      </c>
      <c r="E64" s="42"/>
    </row>
    <row r="65" spans="1:7" x14ac:dyDescent="0.25">
      <c r="A65" s="41"/>
      <c r="B65" s="22"/>
      <c r="C65" s="41" t="s">
        <v>22</v>
      </c>
      <c r="D65" s="32">
        <v>200</v>
      </c>
      <c r="E65" s="42"/>
    </row>
    <row r="66" spans="1:7" x14ac:dyDescent="0.25">
      <c r="A66" s="41"/>
      <c r="B66" s="22"/>
      <c r="C66" s="20" t="s">
        <v>130</v>
      </c>
      <c r="D66" s="21">
        <v>360</v>
      </c>
      <c r="E66" s="42"/>
    </row>
    <row r="67" spans="1:7" x14ac:dyDescent="0.25">
      <c r="A67" s="41"/>
      <c r="B67" s="22"/>
      <c r="C67" s="20" t="s">
        <v>48</v>
      </c>
      <c r="D67" s="21">
        <v>32140</v>
      </c>
      <c r="E67" s="42"/>
    </row>
    <row r="68" spans="1:7" x14ac:dyDescent="0.25">
      <c r="A68" s="41"/>
      <c r="B68" s="22"/>
      <c r="C68" s="20" t="s">
        <v>118</v>
      </c>
      <c r="D68" s="21">
        <v>50</v>
      </c>
      <c r="E68" s="42"/>
    </row>
    <row r="69" spans="1:7" x14ac:dyDescent="0.25">
      <c r="A69" s="41"/>
      <c r="B69" s="22"/>
      <c r="C69" s="41" t="s">
        <v>114</v>
      </c>
      <c r="D69" s="32">
        <v>20</v>
      </c>
      <c r="E69" s="42"/>
    </row>
    <row r="70" spans="1:7" x14ac:dyDescent="0.25">
      <c r="A70" s="41"/>
      <c r="B70" s="22"/>
      <c r="C70" s="41" t="s">
        <v>108</v>
      </c>
      <c r="D70" s="32">
        <v>3000</v>
      </c>
      <c r="E70" s="42"/>
    </row>
    <row r="71" spans="1:7" x14ac:dyDescent="0.25">
      <c r="A71" s="41"/>
      <c r="B71" s="22"/>
      <c r="C71" s="41" t="s">
        <v>97</v>
      </c>
      <c r="D71" s="32">
        <v>370</v>
      </c>
      <c r="E71" s="42"/>
    </row>
    <row r="72" spans="1:7" x14ac:dyDescent="0.25">
      <c r="A72" s="20"/>
      <c r="B72" s="22"/>
      <c r="C72" s="41" t="s">
        <v>97</v>
      </c>
      <c r="D72" s="32">
        <v>380</v>
      </c>
      <c r="E72" s="37"/>
    </row>
    <row r="73" spans="1:7" x14ac:dyDescent="0.25">
      <c r="A73" s="20"/>
      <c r="B73" s="22"/>
      <c r="C73" s="41" t="s">
        <v>115</v>
      </c>
      <c r="D73" s="32">
        <v>20</v>
      </c>
      <c r="E73" s="37"/>
    </row>
    <row r="74" spans="1:7" x14ac:dyDescent="0.25">
      <c r="A74" s="20"/>
      <c r="B74" s="22"/>
      <c r="C74" s="41" t="s">
        <v>50</v>
      </c>
      <c r="D74" s="32">
        <v>200</v>
      </c>
      <c r="E74" s="37"/>
    </row>
    <row r="75" spans="1:7" x14ac:dyDescent="0.25">
      <c r="A75" s="20"/>
      <c r="B75" s="22"/>
      <c r="C75" s="41" t="s">
        <v>447</v>
      </c>
      <c r="D75" s="32">
        <v>35</v>
      </c>
      <c r="E75" s="37"/>
    </row>
    <row r="76" spans="1:7" x14ac:dyDescent="0.25">
      <c r="A76" s="20"/>
      <c r="B76" s="22"/>
      <c r="C76" s="41"/>
      <c r="D76" s="32"/>
      <c r="E76" s="37"/>
    </row>
    <row r="77" spans="1:7" x14ac:dyDescent="0.25">
      <c r="A77" s="20"/>
      <c r="B77" s="22"/>
      <c r="C77" s="41"/>
      <c r="D77" s="32"/>
      <c r="E77" s="37"/>
    </row>
    <row r="78" spans="1:7" x14ac:dyDescent="0.25">
      <c r="A78" s="20"/>
      <c r="B78" s="22"/>
      <c r="C78" s="41"/>
      <c r="D78" s="32"/>
      <c r="E78" s="37"/>
    </row>
    <row r="79" spans="1:7" x14ac:dyDescent="0.25">
      <c r="A79" s="20"/>
      <c r="B79" s="22"/>
      <c r="C79" s="41"/>
      <c r="D79" s="32"/>
      <c r="E79" s="37"/>
    </row>
    <row r="80" spans="1:7" x14ac:dyDescent="0.25">
      <c r="A80" s="20"/>
      <c r="B80" s="22"/>
      <c r="C80" s="41"/>
      <c r="D80" s="32"/>
      <c r="E80" s="37"/>
      <c r="G80">
        <v>100</v>
      </c>
    </row>
    <row r="81" spans="1:7" x14ac:dyDescent="0.25">
      <c r="A81" s="20"/>
      <c r="B81" s="22"/>
      <c r="C81" s="203"/>
      <c r="D81" s="150"/>
      <c r="E81" s="37"/>
      <c r="G81">
        <v>50</v>
      </c>
    </row>
    <row r="82" spans="1:7" x14ac:dyDescent="0.25">
      <c r="A82" s="20"/>
      <c r="B82" s="22"/>
      <c r="C82" s="212"/>
      <c r="D82" s="209"/>
      <c r="E82" s="37"/>
      <c r="G82">
        <v>5</v>
      </c>
    </row>
    <row r="83" spans="1:7" x14ac:dyDescent="0.25">
      <c r="A83" s="20"/>
      <c r="B83" s="22"/>
      <c r="C83" s="212"/>
      <c r="D83" s="209"/>
      <c r="E83" s="37"/>
    </row>
    <row r="84" spans="1:7" x14ac:dyDescent="0.25">
      <c r="A84" s="20"/>
      <c r="B84" s="21"/>
      <c r="C84" s="212"/>
      <c r="D84" s="209"/>
      <c r="E84" s="37"/>
    </row>
    <row r="85" spans="1:7" x14ac:dyDescent="0.25">
      <c r="A85" s="20"/>
      <c r="B85" s="22"/>
      <c r="C85" s="212"/>
      <c r="D85" s="209"/>
      <c r="E85" s="37"/>
    </row>
    <row r="86" spans="1:7" x14ac:dyDescent="0.25">
      <c r="A86" s="20"/>
      <c r="B86" s="21"/>
      <c r="C86" s="212"/>
      <c r="D86" s="209"/>
      <c r="E86" s="38"/>
    </row>
    <row r="87" spans="1:7" x14ac:dyDescent="0.25">
      <c r="A87" s="20"/>
      <c r="B87" s="21"/>
      <c r="C87" s="212"/>
      <c r="D87" s="209"/>
      <c r="E87" s="38"/>
    </row>
    <row r="88" spans="1:7" x14ac:dyDescent="0.25">
      <c r="A88" s="20"/>
      <c r="B88" s="21"/>
      <c r="C88" s="205"/>
      <c r="D88" s="210"/>
      <c r="E88" s="38"/>
    </row>
    <row r="89" spans="1:7" ht="19.5" thickBot="1" x14ac:dyDescent="0.35">
      <c r="A89" s="17"/>
      <c r="B89" s="12">
        <f>SUBTOTAL(109,Table172023[Column1])</f>
        <v>147751</v>
      </c>
      <c r="C89" s="13"/>
      <c r="D89" s="14">
        <f>SUBTOTAL(109,Table172023[Column2])</f>
        <v>111570</v>
      </c>
      <c r="E89" s="14"/>
    </row>
    <row r="90" spans="1:7" ht="27" thickTop="1" x14ac:dyDescent="0.25">
      <c r="D90" s="16">
        <f>Table172023[[#Totals],[Column1]]-Table172023[[#Totals],[Column2]]</f>
        <v>36181</v>
      </c>
    </row>
    <row r="92" spans="1:7" x14ac:dyDescent="0.25">
      <c r="E92">
        <f>5300-3155</f>
        <v>2145</v>
      </c>
    </row>
    <row r="94" spans="1:7" ht="15.75" x14ac:dyDescent="0.25">
      <c r="A94" s="49" t="s">
        <v>9</v>
      </c>
      <c r="B94"/>
      <c r="E94">
        <f>500+1000+1800</f>
        <v>3300</v>
      </c>
    </row>
    <row r="95" spans="1:7" x14ac:dyDescent="0.25">
      <c r="A95" s="9" t="s">
        <v>65</v>
      </c>
      <c r="B95" s="10">
        <f>3350+295</f>
        <v>3645</v>
      </c>
      <c r="C95" t="s">
        <v>43</v>
      </c>
    </row>
    <row r="96" spans="1:7" x14ac:dyDescent="0.25">
      <c r="A96" t="s">
        <v>95</v>
      </c>
      <c r="B96" s="10">
        <v>9630</v>
      </c>
      <c r="C96" t="s">
        <v>65</v>
      </c>
      <c r="D96">
        <f>2+1250+200+60</f>
        <v>1512</v>
      </c>
    </row>
    <row r="97" spans="1:9" x14ac:dyDescent="0.25">
      <c r="A97" s="9" t="s">
        <v>84</v>
      </c>
      <c r="B97">
        <v>1000</v>
      </c>
      <c r="C97" t="s">
        <v>25</v>
      </c>
      <c r="D97">
        <v>20</v>
      </c>
    </row>
    <row r="98" spans="1:9" x14ac:dyDescent="0.25">
      <c r="A98" s="9" t="s">
        <v>19</v>
      </c>
      <c r="B98" s="10">
        <v>145</v>
      </c>
      <c r="D98">
        <f>SUM(D96:D97)</f>
        <v>1532</v>
      </c>
    </row>
    <row r="99" spans="1:9" ht="18.75" x14ac:dyDescent="0.25">
      <c r="A99" s="11" t="s">
        <v>29</v>
      </c>
      <c r="B99" s="10">
        <v>140</v>
      </c>
    </row>
    <row r="100" spans="1:9" ht="18.75" x14ac:dyDescent="0.25">
      <c r="A100" s="11" t="s">
        <v>78</v>
      </c>
      <c r="B100" s="10">
        <v>200</v>
      </c>
    </row>
    <row r="101" spans="1:9" ht="18.75" x14ac:dyDescent="0.25">
      <c r="A101" s="11" t="s">
        <v>96</v>
      </c>
      <c r="B101" s="10">
        <v>35</v>
      </c>
    </row>
    <row r="102" spans="1:9" ht="18.75" x14ac:dyDescent="0.25">
      <c r="A102" s="11" t="s">
        <v>10</v>
      </c>
      <c r="B102" s="10">
        <v>75</v>
      </c>
    </row>
    <row r="103" spans="1:9" ht="18.75" x14ac:dyDescent="0.25">
      <c r="A103" s="11"/>
      <c r="B103" s="33">
        <f>SUM(B95:B102)</f>
        <v>14870</v>
      </c>
    </row>
    <row r="104" spans="1:9" ht="18.75" x14ac:dyDescent="0.25">
      <c r="A104" s="11"/>
      <c r="B104" s="34"/>
    </row>
    <row r="105" spans="1:9" ht="18.75" x14ac:dyDescent="0.25">
      <c r="A105" s="11"/>
      <c r="B105" s="34"/>
    </row>
    <row r="106" spans="1:9" ht="18.75" x14ac:dyDescent="0.25">
      <c r="A106" s="50" t="s">
        <v>24</v>
      </c>
      <c r="B106" s="26" t="s">
        <v>99</v>
      </c>
      <c r="C106" s="23" t="s">
        <v>100</v>
      </c>
      <c r="D106" s="27"/>
    </row>
    <row r="107" spans="1:9" x14ac:dyDescent="0.25">
      <c r="A107" s="28" t="s">
        <v>65</v>
      </c>
      <c r="B107" s="26">
        <v>1705</v>
      </c>
      <c r="C107" s="23">
        <v>1705</v>
      </c>
      <c r="D107" s="29"/>
      <c r="E107">
        <f>6200+1000+25</f>
        <v>7225</v>
      </c>
    </row>
    <row r="108" spans="1:9" ht="18.75" x14ac:dyDescent="0.25">
      <c r="A108" s="28" t="s">
        <v>97</v>
      </c>
      <c r="B108" s="11">
        <v>380</v>
      </c>
      <c r="C108" s="23">
        <v>380</v>
      </c>
      <c r="D108" s="27"/>
    </row>
    <row r="109" spans="1:9" ht="18.75" x14ac:dyDescent="0.25">
      <c r="A109" s="11" t="s">
        <v>98</v>
      </c>
      <c r="B109" s="11">
        <v>50</v>
      </c>
      <c r="C109">
        <v>50</v>
      </c>
    </row>
    <row r="110" spans="1:9" ht="18.75" x14ac:dyDescent="0.25">
      <c r="A110" s="11" t="s">
        <v>75</v>
      </c>
      <c r="B110" s="11">
        <v>159</v>
      </c>
      <c r="I110" s="8"/>
    </row>
    <row r="111" spans="1:9" ht="18.75" x14ac:dyDescent="0.25">
      <c r="A111" s="11"/>
      <c r="B111" s="11">
        <f>SUM(B107:B110)</f>
        <v>2294</v>
      </c>
      <c r="C111">
        <f>SUM(C107:C110)</f>
        <v>2135</v>
      </c>
    </row>
    <row r="112" spans="1:9" ht="18.75" x14ac:dyDescent="0.25">
      <c r="B112" s="11"/>
    </row>
    <row r="113" spans="1:10" ht="18.75" x14ac:dyDescent="0.25">
      <c r="A113" s="50" t="s">
        <v>15</v>
      </c>
      <c r="B113" s="10" t="s">
        <v>99</v>
      </c>
      <c r="C113" t="s">
        <v>100</v>
      </c>
      <c r="D113" t="s">
        <v>43</v>
      </c>
      <c r="F113" s="18"/>
    </row>
    <row r="114" spans="1:10" x14ac:dyDescent="0.25">
      <c r="B114" s="10">
        <f>10000+5000+900+410</f>
        <v>16310</v>
      </c>
      <c r="C114" s="10">
        <f>10000+5000+900+410</f>
        <v>16310</v>
      </c>
      <c r="D114" t="s">
        <v>94</v>
      </c>
      <c r="E114">
        <f>-3718+4139--3817-3989</f>
        <v>249</v>
      </c>
      <c r="F114" s="18"/>
    </row>
    <row r="115" spans="1:10" x14ac:dyDescent="0.25">
      <c r="A115" s="9" t="s">
        <v>73</v>
      </c>
      <c r="B115" s="10">
        <v>147</v>
      </c>
      <c r="C115" s="10">
        <v>147</v>
      </c>
      <c r="D115" t="s">
        <v>65</v>
      </c>
      <c r="E115">
        <f>200+55+2</f>
        <v>257</v>
      </c>
    </row>
    <row r="116" spans="1:10" x14ac:dyDescent="0.25">
      <c r="A116" s="9" t="s">
        <v>101</v>
      </c>
      <c r="B116" s="10">
        <v>55</v>
      </c>
      <c r="C116" s="10">
        <v>55</v>
      </c>
    </row>
    <row r="117" spans="1:10" x14ac:dyDescent="0.25">
      <c r="A117" s="9" t="s">
        <v>87</v>
      </c>
      <c r="B117" s="10">
        <v>100</v>
      </c>
      <c r="C117" s="10">
        <v>100</v>
      </c>
    </row>
    <row r="118" spans="1:10" x14ac:dyDescent="0.25">
      <c r="A118" s="9" t="s">
        <v>102</v>
      </c>
      <c r="B118" s="10">
        <v>100</v>
      </c>
      <c r="C118" s="10">
        <v>100</v>
      </c>
    </row>
    <row r="119" spans="1:10" x14ac:dyDescent="0.25">
      <c r="A119" s="9" t="s">
        <v>97</v>
      </c>
      <c r="B119" s="10">
        <v>370</v>
      </c>
      <c r="C119" s="10">
        <v>370</v>
      </c>
      <c r="G119" s="25"/>
      <c r="H119" s="25"/>
      <c r="I119" s="25"/>
      <c r="J119" s="25"/>
    </row>
    <row r="120" spans="1:10" x14ac:dyDescent="0.25">
      <c r="A120" s="9" t="s">
        <v>72</v>
      </c>
      <c r="B120" s="10">
        <v>440</v>
      </c>
      <c r="C120" s="10">
        <v>440</v>
      </c>
      <c r="G120" s="25"/>
      <c r="H120" s="25"/>
      <c r="I120" s="25">
        <f>H119+H120</f>
        <v>0</v>
      </c>
      <c r="J120" s="25" t="s">
        <v>23</v>
      </c>
    </row>
    <row r="121" spans="1:10" x14ac:dyDescent="0.25">
      <c r="A121" s="9" t="s">
        <v>103</v>
      </c>
      <c r="B121" s="10">
        <v>100</v>
      </c>
      <c r="C121" s="10">
        <v>100</v>
      </c>
      <c r="G121" s="25"/>
      <c r="H121" s="25"/>
      <c r="I121" s="25"/>
      <c r="J121" s="25"/>
    </row>
    <row r="122" spans="1:10" x14ac:dyDescent="0.25">
      <c r="A122" s="9" t="s">
        <v>104</v>
      </c>
      <c r="B122" s="10">
        <v>20</v>
      </c>
      <c r="C122" s="10">
        <v>20</v>
      </c>
      <c r="G122" s="25"/>
      <c r="H122" s="25"/>
      <c r="I122" s="25"/>
      <c r="J122" s="25"/>
    </row>
    <row r="123" spans="1:10" x14ac:dyDescent="0.25">
      <c r="A123" s="9" t="s">
        <v>105</v>
      </c>
      <c r="B123" s="10">
        <v>5</v>
      </c>
      <c r="C123" s="10">
        <v>5</v>
      </c>
      <c r="G123" s="25"/>
      <c r="H123" s="25"/>
      <c r="I123" s="25"/>
      <c r="J123" s="25"/>
    </row>
    <row r="124" spans="1:10" x14ac:dyDescent="0.25">
      <c r="A124" s="9" t="s">
        <v>106</v>
      </c>
      <c r="C124" s="10">
        <v>10</v>
      </c>
      <c r="G124" s="25"/>
      <c r="H124" s="25"/>
      <c r="I124" s="25"/>
      <c r="J124" s="25"/>
    </row>
    <row r="125" spans="1:10" x14ac:dyDescent="0.25">
      <c r="A125" s="9" t="s">
        <v>107</v>
      </c>
      <c r="B125" s="10">
        <v>155</v>
      </c>
      <c r="C125" s="10">
        <v>155</v>
      </c>
      <c r="G125" s="25"/>
      <c r="H125" s="25"/>
      <c r="I125" s="25"/>
      <c r="J125" s="25"/>
    </row>
    <row r="126" spans="1:10" x14ac:dyDescent="0.25">
      <c r="A126" s="9" t="s">
        <v>75</v>
      </c>
      <c r="B126" s="10">
        <v>210</v>
      </c>
      <c r="G126" s="25"/>
      <c r="H126" s="25"/>
      <c r="I126" s="25"/>
      <c r="J126" s="25"/>
    </row>
    <row r="127" spans="1:10" x14ac:dyDescent="0.25">
      <c r="B127" s="10">
        <f>SUM(B114:B126)</f>
        <v>18012</v>
      </c>
      <c r="C127">
        <f>SUM(C114:C126)</f>
        <v>17812</v>
      </c>
    </row>
    <row r="129" spans="1:6" x14ac:dyDescent="0.25">
      <c r="A129" s="48" t="s">
        <v>80</v>
      </c>
    </row>
    <row r="130" spans="1:6" x14ac:dyDescent="0.25">
      <c r="B130" s="10">
        <f>10000+2250+305</f>
        <v>12555</v>
      </c>
      <c r="C130" t="s">
        <v>43</v>
      </c>
      <c r="F130" s="24"/>
    </row>
    <row r="131" spans="1:6" x14ac:dyDescent="0.25">
      <c r="A131" s="9" t="s">
        <v>34</v>
      </c>
      <c r="B131" s="10">
        <v>745</v>
      </c>
      <c r="C131" t="s">
        <v>94</v>
      </c>
      <c r="D131">
        <f>1971-2965+3000</f>
        <v>2006</v>
      </c>
    </row>
    <row r="132" spans="1:6" x14ac:dyDescent="0.25">
      <c r="A132" s="9" t="s">
        <v>8</v>
      </c>
      <c r="B132" s="10">
        <v>265</v>
      </c>
      <c r="C132" t="s">
        <v>65</v>
      </c>
      <c r="D132">
        <f>1500+440+2</f>
        <v>1942</v>
      </c>
    </row>
    <row r="133" spans="1:6" x14ac:dyDescent="0.25">
      <c r="A133" s="51" t="s">
        <v>111</v>
      </c>
      <c r="C133" t="s">
        <v>25</v>
      </c>
      <c r="D133">
        <v>20</v>
      </c>
    </row>
    <row r="134" spans="1:6" x14ac:dyDescent="0.25">
      <c r="A134" s="9" t="s">
        <v>112</v>
      </c>
      <c r="B134" s="10">
        <v>1417</v>
      </c>
      <c r="D134">
        <f>SUM(D132:D133)</f>
        <v>1962</v>
      </c>
    </row>
    <row r="135" spans="1:6" x14ac:dyDescent="0.25">
      <c r="A135" s="9" t="s">
        <v>73</v>
      </c>
      <c r="B135" s="10">
        <f>8.5+25</f>
        <v>33.5</v>
      </c>
      <c r="C135">
        <v>50</v>
      </c>
      <c r="D135" t="s">
        <v>113</v>
      </c>
    </row>
    <row r="136" spans="1:6" x14ac:dyDescent="0.25">
      <c r="B136" s="10">
        <f>SUM(B130:B135)</f>
        <v>15015.5</v>
      </c>
    </row>
    <row r="137" spans="1:6" x14ac:dyDescent="0.25">
      <c r="A137" s="10">
        <f>14981</f>
        <v>14981</v>
      </c>
    </row>
    <row r="139" spans="1:6" x14ac:dyDescent="0.25">
      <c r="A139" s="48" t="s">
        <v>85</v>
      </c>
    </row>
    <row r="140" spans="1:6" x14ac:dyDescent="0.25">
      <c r="A140" s="9" t="s">
        <v>65</v>
      </c>
      <c r="B140" s="10">
        <f>5000+4400+35</f>
        <v>9435</v>
      </c>
    </row>
    <row r="141" spans="1:6" x14ac:dyDescent="0.25">
      <c r="A141" s="9" t="s">
        <v>117</v>
      </c>
      <c r="B141" s="10">
        <v>1300</v>
      </c>
    </row>
    <row r="142" spans="1:6" x14ac:dyDescent="0.25">
      <c r="A142" s="9" t="s">
        <v>116</v>
      </c>
      <c r="B142" s="10">
        <v>500</v>
      </c>
    </row>
    <row r="143" spans="1:6" x14ac:dyDescent="0.25">
      <c r="A143" s="9" t="s">
        <v>73</v>
      </c>
      <c r="B143" s="10">
        <v>40</v>
      </c>
    </row>
    <row r="144" spans="1:6" x14ac:dyDescent="0.25">
      <c r="A144" s="9" t="s">
        <v>75</v>
      </c>
      <c r="B144" s="10">
        <f>27+163</f>
        <v>190</v>
      </c>
    </row>
    <row r="145" spans="1:4" x14ac:dyDescent="0.25">
      <c r="B145" s="10">
        <f>SUM(B140:B144)</f>
        <v>11465</v>
      </c>
    </row>
    <row r="147" spans="1:4" x14ac:dyDescent="0.25">
      <c r="A147" s="48" t="s">
        <v>6</v>
      </c>
    </row>
    <row r="148" spans="1:4" x14ac:dyDescent="0.25">
      <c r="A148" s="9" t="s">
        <v>65</v>
      </c>
      <c r="B148" s="10">
        <f>10000+1925</f>
        <v>11925</v>
      </c>
      <c r="C148" t="s">
        <v>18</v>
      </c>
    </row>
    <row r="149" spans="1:4" x14ac:dyDescent="0.25">
      <c r="A149" s="9" t="s">
        <v>119</v>
      </c>
      <c r="B149" s="10">
        <v>72</v>
      </c>
      <c r="C149" t="s">
        <v>94</v>
      </c>
      <c r="D149">
        <f>-2804+4294--3718-4139</f>
        <v>1069</v>
      </c>
    </row>
    <row r="150" spans="1:4" x14ac:dyDescent="0.25">
      <c r="A150" s="9" t="s">
        <v>73</v>
      </c>
      <c r="B150" s="10">
        <f>37+125+12.5</f>
        <v>174.5</v>
      </c>
      <c r="C150" t="s">
        <v>65</v>
      </c>
      <c r="D150">
        <f>1000+80</f>
        <v>1080</v>
      </c>
    </row>
    <row r="151" spans="1:4" x14ac:dyDescent="0.25">
      <c r="A151" s="9" t="s">
        <v>30</v>
      </c>
      <c r="B151" s="10">
        <v>50</v>
      </c>
    </row>
    <row r="152" spans="1:4" x14ac:dyDescent="0.25">
      <c r="A152" s="9" t="s">
        <v>75</v>
      </c>
    </row>
    <row r="153" spans="1:4" x14ac:dyDescent="0.25">
      <c r="A153" s="9" t="s">
        <v>120</v>
      </c>
      <c r="B153" s="10">
        <v>1000</v>
      </c>
    </row>
    <row r="154" spans="1:4" x14ac:dyDescent="0.25">
      <c r="B154" s="10">
        <f>SUM(B148:B153)</f>
        <v>13221.5</v>
      </c>
    </row>
    <row r="156" spans="1:4" ht="18" customHeight="1" x14ac:dyDescent="0.25">
      <c r="A156" s="48" t="s">
        <v>88</v>
      </c>
    </row>
    <row r="157" spans="1:4" ht="18" customHeight="1" x14ac:dyDescent="0.25">
      <c r="A157" s="9" t="s">
        <v>89</v>
      </c>
      <c r="B157" s="51">
        <v>100</v>
      </c>
      <c r="C157" t="s">
        <v>43</v>
      </c>
      <c r="D157">
        <v>150</v>
      </c>
    </row>
    <row r="158" spans="1:4" ht="18" customHeight="1" x14ac:dyDescent="0.25">
      <c r="A158" s="9" t="s">
        <v>125</v>
      </c>
      <c r="B158" s="51">
        <v>155</v>
      </c>
    </row>
    <row r="159" spans="1:4" ht="18" customHeight="1" x14ac:dyDescent="0.25">
      <c r="A159" s="9" t="s">
        <v>40</v>
      </c>
      <c r="B159" s="51">
        <v>240</v>
      </c>
    </row>
    <row r="160" spans="1:4" ht="18" customHeight="1" x14ac:dyDescent="0.25">
      <c r="A160" s="9" t="s">
        <v>126</v>
      </c>
      <c r="B160" s="51">
        <f>60+20+90</f>
        <v>170</v>
      </c>
    </row>
    <row r="161" spans="1:5" ht="18" customHeight="1" x14ac:dyDescent="0.25">
      <c r="A161" s="9" t="s">
        <v>127</v>
      </c>
      <c r="B161" s="51">
        <v>61</v>
      </c>
    </row>
    <row r="162" spans="1:5" ht="18" customHeight="1" x14ac:dyDescent="0.25">
      <c r="A162" s="9" t="s">
        <v>127</v>
      </c>
      <c r="B162" s="51">
        <v>20000</v>
      </c>
    </row>
    <row r="163" spans="1:5" ht="18" customHeight="1" x14ac:dyDescent="0.25">
      <c r="A163" s="9" t="s">
        <v>128</v>
      </c>
      <c r="B163" s="9">
        <v>2245</v>
      </c>
    </row>
    <row r="164" spans="1:5" ht="18" customHeight="1" x14ac:dyDescent="0.25">
      <c r="D164">
        <f>2245+150</f>
        <v>2395</v>
      </c>
    </row>
    <row r="165" spans="1:5" ht="18" customHeight="1" x14ac:dyDescent="0.25">
      <c r="A165" s="9" t="s">
        <v>134</v>
      </c>
      <c r="B165" s="10">
        <v>130</v>
      </c>
    </row>
    <row r="166" spans="1:5" ht="18" customHeight="1" x14ac:dyDescent="0.25">
      <c r="A166" s="9" t="s">
        <v>133</v>
      </c>
      <c r="B166" s="10">
        <v>225</v>
      </c>
    </row>
    <row r="167" spans="1:5" ht="18" customHeight="1" x14ac:dyDescent="0.25">
      <c r="A167" s="9" t="s">
        <v>132</v>
      </c>
      <c r="B167" s="10">
        <v>2050</v>
      </c>
    </row>
    <row r="168" spans="1:5" ht="18" customHeight="1" x14ac:dyDescent="0.25">
      <c r="A168" s="9" t="s">
        <v>75</v>
      </c>
      <c r="B168" s="51">
        <f>294+215+325+230+244+105+300</f>
        <v>1713</v>
      </c>
    </row>
    <row r="169" spans="1:5" ht="18" customHeight="1" x14ac:dyDescent="0.25">
      <c r="B169" s="10">
        <f>SUM(B157:B168)</f>
        <v>27089</v>
      </c>
      <c r="C169">
        <v>26775.593000000001</v>
      </c>
    </row>
    <row r="170" spans="1:5" ht="18" customHeight="1" thickBot="1" x14ac:dyDescent="0.3"/>
    <row r="171" spans="1:5" ht="18" customHeight="1" thickBot="1" x14ac:dyDescent="0.3">
      <c r="A171" s="75" t="s">
        <v>60</v>
      </c>
      <c r="B171" s="460">
        <v>45108</v>
      </c>
      <c r="C171" s="461"/>
    </row>
    <row r="172" spans="1:5" ht="18" customHeight="1" thickBot="1" x14ac:dyDescent="0.3">
      <c r="A172" s="53" t="s">
        <v>137</v>
      </c>
      <c r="B172" s="54" t="s">
        <v>3</v>
      </c>
      <c r="C172" s="53" t="s">
        <v>138</v>
      </c>
    </row>
    <row r="173" spans="1:5" ht="18" customHeight="1" x14ac:dyDescent="0.25">
      <c r="A173" s="55">
        <v>10000</v>
      </c>
      <c r="B173" s="56">
        <v>39</v>
      </c>
      <c r="C173" s="57" t="s">
        <v>67</v>
      </c>
      <c r="E173">
        <f>1000+419+6</f>
        <v>1425</v>
      </c>
    </row>
    <row r="174" spans="1:5" ht="18" x14ac:dyDescent="0.25">
      <c r="A174" s="58">
        <v>10000</v>
      </c>
      <c r="B174" s="56">
        <v>40</v>
      </c>
      <c r="C174" s="59" t="s">
        <v>142</v>
      </c>
      <c r="E174">
        <f>2965-1517</f>
        <v>1448</v>
      </c>
    </row>
    <row r="175" spans="1:5" ht="18" x14ac:dyDescent="0.25">
      <c r="A175" s="58">
        <v>1950</v>
      </c>
      <c r="B175" s="56">
        <v>200</v>
      </c>
      <c r="C175" s="59" t="s">
        <v>143</v>
      </c>
    </row>
    <row r="176" spans="1:5" ht="18" x14ac:dyDescent="0.25">
      <c r="A176" s="60">
        <v>600</v>
      </c>
      <c r="B176" s="56">
        <v>20</v>
      </c>
      <c r="C176" s="61" t="s">
        <v>67</v>
      </c>
    </row>
    <row r="177" spans="1:3" ht="18" x14ac:dyDescent="0.25">
      <c r="A177" s="60">
        <v>500</v>
      </c>
      <c r="B177" s="56">
        <v>11</v>
      </c>
      <c r="C177" s="62" t="s">
        <v>73</v>
      </c>
    </row>
    <row r="178" spans="1:3" ht="18" x14ac:dyDescent="0.25">
      <c r="A178" s="60">
        <v>200</v>
      </c>
      <c r="B178" s="56"/>
      <c r="C178" s="62"/>
    </row>
    <row r="179" spans="1:3" ht="18" x14ac:dyDescent="0.25">
      <c r="A179" s="60">
        <v>14</v>
      </c>
      <c r="B179" s="56"/>
      <c r="C179" s="62"/>
    </row>
    <row r="180" spans="1:3" ht="18" x14ac:dyDescent="0.25">
      <c r="A180" s="58"/>
      <c r="B180" s="56"/>
      <c r="C180" s="63"/>
    </row>
    <row r="181" spans="1:3" ht="18" x14ac:dyDescent="0.25">
      <c r="A181" s="58"/>
      <c r="B181" s="56"/>
      <c r="C181" s="64"/>
    </row>
    <row r="182" spans="1:3" ht="18" x14ac:dyDescent="0.25">
      <c r="A182" s="58"/>
      <c r="B182" s="56"/>
      <c r="C182" s="65"/>
    </row>
    <row r="183" spans="1:3" ht="18.75" thickBot="1" x14ac:dyDescent="0.3">
      <c r="A183" s="66"/>
      <c r="B183" s="67"/>
      <c r="C183" s="64"/>
    </row>
    <row r="184" spans="1:3" ht="21" thickBot="1" x14ac:dyDescent="0.3">
      <c r="A184" s="68">
        <f>SUM(A173:A183)</f>
        <v>23264</v>
      </c>
      <c r="B184" s="69">
        <f>SUM(B173:B183)</f>
        <v>310</v>
      </c>
      <c r="C184" s="70"/>
    </row>
    <row r="185" spans="1:3" ht="18.75" thickBot="1" x14ac:dyDescent="0.3">
      <c r="A185" s="462" t="s">
        <v>139</v>
      </c>
      <c r="B185" s="463"/>
      <c r="C185" s="71" t="s">
        <v>75</v>
      </c>
    </row>
    <row r="186" spans="1:3" ht="24" thickBot="1" x14ac:dyDescent="0.3">
      <c r="A186" s="464">
        <f>B184+A184</f>
        <v>23574</v>
      </c>
      <c r="B186" s="465"/>
      <c r="C186" s="72"/>
    </row>
    <row r="187" spans="1:3" ht="24" thickBot="1" x14ac:dyDescent="0.3">
      <c r="A187" s="466" t="s">
        <v>99</v>
      </c>
      <c r="B187" s="467"/>
      <c r="C187" s="73"/>
    </row>
    <row r="188" spans="1:3" ht="21" thickBot="1" x14ac:dyDescent="0.3">
      <c r="A188" s="481">
        <f>C186+A186</f>
        <v>23574</v>
      </c>
      <c r="B188" s="482"/>
      <c r="C188" s="74"/>
    </row>
    <row r="190" spans="1:3" ht="15.75" thickBot="1" x14ac:dyDescent="0.3"/>
    <row r="191" spans="1:3" ht="24" thickBot="1" x14ac:dyDescent="0.3">
      <c r="A191" s="52" t="s">
        <v>60</v>
      </c>
    </row>
  </sheetData>
  <mergeCells count="5">
    <mergeCell ref="B171:C171"/>
    <mergeCell ref="A185:B185"/>
    <mergeCell ref="A186:B186"/>
    <mergeCell ref="A187:B187"/>
    <mergeCell ref="A188:B188"/>
  </mergeCells>
  <pageMargins left="0.7" right="0.7" top="0.75" bottom="0.75" header="0.3" footer="0.3"/>
  <pageSetup paperSize="260" orientation="portrait" horizontalDpi="203" verticalDpi="203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FE2F17-D4E0-46E2-87AA-61411A8B4D8D}">
          <x14:formula1>
            <xm:f>data!$A$57:$A$70</xm:f>
          </x14:formula1>
          <xm:sqref>C82:C88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/>
  <dimension ref="A1:J220"/>
  <sheetViews>
    <sheetView rightToLeft="1" topLeftCell="A137" zoomScale="115" zoomScaleNormal="115" workbookViewId="0">
      <selection activeCell="C218" sqref="C218"/>
    </sheetView>
  </sheetViews>
  <sheetFormatPr defaultRowHeight="15" x14ac:dyDescent="0.25"/>
  <cols>
    <col min="1" max="1" width="39.140625" style="9" bestFit="1" customWidth="1"/>
    <col min="2" max="2" width="15" style="10" bestFit="1" customWidth="1"/>
    <col min="3" max="3" width="35.85546875" bestFit="1" customWidth="1"/>
    <col min="4" max="4" width="20.28515625" bestFit="1" customWidth="1"/>
    <col min="5" max="5" width="14.7109375" customWidth="1"/>
    <col min="6" max="6" width="6.7109375" bestFit="1" customWidth="1"/>
    <col min="7" max="7" width="14.28515625" customWidth="1"/>
    <col min="8" max="8" width="14.5703125" customWidth="1"/>
    <col min="9" max="9" width="10.7109375" customWidth="1"/>
  </cols>
  <sheetData>
    <row r="1" spans="1:7" ht="18.75" x14ac:dyDescent="0.3">
      <c r="A1" s="1" t="s">
        <v>0</v>
      </c>
      <c r="B1" s="2">
        <v>45108</v>
      </c>
      <c r="C1" s="3"/>
      <c r="D1" s="3"/>
    </row>
    <row r="2" spans="1:7" x14ac:dyDescent="0.25">
      <c r="A2" s="4" t="s">
        <v>1</v>
      </c>
      <c r="B2" s="5" t="s">
        <v>2</v>
      </c>
      <c r="C2" s="5" t="s">
        <v>3</v>
      </c>
      <c r="D2" s="6" t="s">
        <v>4</v>
      </c>
      <c r="E2" s="5" t="s">
        <v>5</v>
      </c>
    </row>
    <row r="3" spans="1:7" x14ac:dyDescent="0.25">
      <c r="A3" s="20" t="s">
        <v>48</v>
      </c>
      <c r="B3" s="21">
        <f>10000+35+5000+190+5000+445+5000+10000+3200+5000+5000+2000+10000+10000+10000+6000</f>
        <v>86870</v>
      </c>
      <c r="C3" s="46" t="s">
        <v>150</v>
      </c>
      <c r="D3" s="21">
        <v>6740</v>
      </c>
      <c r="E3" s="43"/>
    </row>
    <row r="4" spans="1:7" x14ac:dyDescent="0.25">
      <c r="A4" s="20" t="s">
        <v>35</v>
      </c>
      <c r="B4" s="21">
        <v>30</v>
      </c>
      <c r="C4" s="46" t="s">
        <v>153</v>
      </c>
      <c r="D4" s="21">
        <v>75</v>
      </c>
      <c r="E4" s="43"/>
    </row>
    <row r="5" spans="1:7" x14ac:dyDescent="0.25">
      <c r="A5" s="20" t="s">
        <v>9</v>
      </c>
      <c r="B5" s="21">
        <v>18185</v>
      </c>
      <c r="C5" s="46" t="s">
        <v>50</v>
      </c>
      <c r="D5" s="21">
        <v>500</v>
      </c>
      <c r="E5" s="43"/>
    </row>
    <row r="6" spans="1:7" x14ac:dyDescent="0.25">
      <c r="A6" s="20" t="s">
        <v>28</v>
      </c>
      <c r="B6" s="21">
        <v>1555</v>
      </c>
      <c r="C6" s="46" t="s">
        <v>10</v>
      </c>
      <c r="D6" s="21">
        <v>95</v>
      </c>
      <c r="E6" s="43"/>
    </row>
    <row r="7" spans="1:7" x14ac:dyDescent="0.25">
      <c r="A7" s="20" t="s">
        <v>80</v>
      </c>
      <c r="B7" s="21">
        <v>10784</v>
      </c>
      <c r="C7" s="20" t="s">
        <v>56</v>
      </c>
      <c r="D7" s="21">
        <v>550</v>
      </c>
      <c r="E7" s="43"/>
    </row>
    <row r="8" spans="1:7" x14ac:dyDescent="0.25">
      <c r="A8" s="20" t="s">
        <v>81</v>
      </c>
      <c r="B8" s="21">
        <v>1898</v>
      </c>
      <c r="C8" s="20" t="s">
        <v>148</v>
      </c>
      <c r="D8" s="21">
        <v>7030</v>
      </c>
      <c r="E8" s="43"/>
      <c r="G8">
        <f>10000-7000-1605</f>
        <v>1395</v>
      </c>
    </row>
    <row r="9" spans="1:7" x14ac:dyDescent="0.25">
      <c r="A9" s="20" t="s">
        <v>27</v>
      </c>
      <c r="B9" s="21">
        <v>405</v>
      </c>
      <c r="C9" s="20" t="s">
        <v>58</v>
      </c>
      <c r="D9" s="21">
        <v>1605</v>
      </c>
      <c r="E9" s="43"/>
    </row>
    <row r="10" spans="1:7" x14ac:dyDescent="0.25">
      <c r="A10" s="20" t="s">
        <v>162</v>
      </c>
      <c r="B10" s="21">
        <v>305</v>
      </c>
      <c r="C10" s="20" t="s">
        <v>149</v>
      </c>
      <c r="D10" s="21">
        <v>30</v>
      </c>
      <c r="E10" s="43"/>
    </row>
    <row r="11" spans="1:7" x14ac:dyDescent="0.25">
      <c r="A11" s="20" t="s">
        <v>163</v>
      </c>
      <c r="B11" s="21">
        <v>5</v>
      </c>
      <c r="C11" s="20" t="s">
        <v>154</v>
      </c>
      <c r="D11" s="21">
        <v>4465</v>
      </c>
      <c r="E11" s="43"/>
    </row>
    <row r="12" spans="1:7" x14ac:dyDescent="0.25">
      <c r="A12" s="20" t="s">
        <v>27</v>
      </c>
      <c r="B12" s="21">
        <v>3030</v>
      </c>
      <c r="C12" s="20" t="s">
        <v>45</v>
      </c>
      <c r="D12" s="21">
        <v>1390</v>
      </c>
      <c r="E12" s="43"/>
    </row>
    <row r="13" spans="1:7" x14ac:dyDescent="0.25">
      <c r="A13" s="20" t="s">
        <v>42</v>
      </c>
      <c r="B13" s="21">
        <v>900</v>
      </c>
      <c r="C13" s="20" t="s">
        <v>155</v>
      </c>
      <c r="D13" s="21">
        <v>5490</v>
      </c>
      <c r="E13" s="44"/>
    </row>
    <row r="14" spans="1:7" x14ac:dyDescent="0.25">
      <c r="A14" s="20" t="s">
        <v>18</v>
      </c>
      <c r="B14" s="21">
        <v>3000</v>
      </c>
      <c r="C14" s="20" t="s">
        <v>156</v>
      </c>
      <c r="D14" s="21">
        <v>60</v>
      </c>
      <c r="E14" s="44"/>
    </row>
    <row r="15" spans="1:7" x14ac:dyDescent="0.25">
      <c r="A15" s="20" t="s">
        <v>19</v>
      </c>
      <c r="B15" s="21">
        <v>325</v>
      </c>
      <c r="C15" s="20" t="s">
        <v>76</v>
      </c>
      <c r="D15" s="21">
        <v>7030</v>
      </c>
      <c r="E15" s="44"/>
    </row>
    <row r="16" spans="1:7" x14ac:dyDescent="0.25">
      <c r="A16" s="20" t="s">
        <v>60</v>
      </c>
      <c r="B16" s="21">
        <v>22335</v>
      </c>
      <c r="C16" s="20"/>
      <c r="D16" s="21">
        <v>273</v>
      </c>
      <c r="E16" s="42"/>
      <c r="G16">
        <f>4620+2410</f>
        <v>7030</v>
      </c>
    </row>
    <row r="17" spans="1:6" x14ac:dyDescent="0.25">
      <c r="A17" s="41" t="s">
        <v>62</v>
      </c>
      <c r="B17" s="21">
        <v>2272</v>
      </c>
      <c r="C17" s="20" t="s">
        <v>157</v>
      </c>
      <c r="D17" s="21">
        <v>233</v>
      </c>
      <c r="E17" s="42"/>
    </row>
    <row r="18" spans="1:6" x14ac:dyDescent="0.25">
      <c r="A18" s="41" t="s">
        <v>24</v>
      </c>
      <c r="B18" s="21">
        <v>325</v>
      </c>
      <c r="C18" s="20" t="s">
        <v>11</v>
      </c>
      <c r="D18" s="21">
        <v>575</v>
      </c>
      <c r="E18" s="42"/>
    </row>
    <row r="19" spans="1:6" x14ac:dyDescent="0.25">
      <c r="A19" s="20" t="s">
        <v>36</v>
      </c>
      <c r="B19" s="21">
        <v>15358</v>
      </c>
      <c r="C19" s="20" t="s">
        <v>218</v>
      </c>
      <c r="D19" s="21">
        <v>297</v>
      </c>
      <c r="E19" s="42"/>
    </row>
    <row r="20" spans="1:6" x14ac:dyDescent="0.25">
      <c r="A20" s="41" t="s">
        <v>93</v>
      </c>
      <c r="B20" s="21">
        <v>680</v>
      </c>
      <c r="C20" s="20" t="s">
        <v>79</v>
      </c>
      <c r="D20" s="21">
        <v>1947</v>
      </c>
      <c r="E20" s="42"/>
    </row>
    <row r="21" spans="1:6" x14ac:dyDescent="0.25">
      <c r="A21" s="41" t="s">
        <v>85</v>
      </c>
      <c r="B21" s="21">
        <v>20535</v>
      </c>
      <c r="C21" s="20" t="s">
        <v>55</v>
      </c>
      <c r="D21" s="21">
        <v>400</v>
      </c>
      <c r="E21" s="42"/>
    </row>
    <row r="22" spans="1:6" ht="15.75" x14ac:dyDescent="0.25">
      <c r="A22" s="41"/>
      <c r="B22" s="21"/>
      <c r="C22" s="20" t="s">
        <v>185</v>
      </c>
      <c r="D22" s="21">
        <v>3000</v>
      </c>
      <c r="E22" s="42"/>
      <c r="F22" s="15"/>
    </row>
    <row r="23" spans="1:6" ht="15.75" x14ac:dyDescent="0.25">
      <c r="A23" s="41"/>
      <c r="B23" s="21"/>
      <c r="C23" s="20" t="s">
        <v>159</v>
      </c>
      <c r="D23" s="21">
        <v>1370</v>
      </c>
      <c r="E23" s="42"/>
      <c r="F23" s="15"/>
    </row>
    <row r="24" spans="1:6" ht="15.75" x14ac:dyDescent="0.25">
      <c r="A24" s="41"/>
      <c r="B24" s="21"/>
      <c r="C24" s="20" t="s">
        <v>160</v>
      </c>
      <c r="D24" s="21">
        <v>1035</v>
      </c>
      <c r="E24" s="42"/>
      <c r="F24" s="15"/>
    </row>
    <row r="25" spans="1:6" ht="15.75" x14ac:dyDescent="0.25">
      <c r="A25" s="41"/>
      <c r="B25" s="21"/>
      <c r="C25" s="20" t="s">
        <v>13</v>
      </c>
      <c r="D25" s="21">
        <v>50</v>
      </c>
      <c r="E25" s="42"/>
      <c r="F25" s="15"/>
    </row>
    <row r="26" spans="1:6" ht="15.75" x14ac:dyDescent="0.25">
      <c r="A26" s="41"/>
      <c r="B26" s="21"/>
      <c r="C26" s="20" t="s">
        <v>38</v>
      </c>
      <c r="D26" s="21">
        <v>120</v>
      </c>
      <c r="E26" s="42"/>
      <c r="F26" s="15"/>
    </row>
    <row r="27" spans="1:6" ht="15.75" x14ac:dyDescent="0.25">
      <c r="A27" s="41"/>
      <c r="B27" s="21"/>
      <c r="C27" s="20" t="s">
        <v>51</v>
      </c>
      <c r="D27" s="21">
        <v>10880</v>
      </c>
      <c r="E27" s="42"/>
      <c r="F27" s="15"/>
    </row>
    <row r="28" spans="1:6" ht="15.75" x14ac:dyDescent="0.25">
      <c r="A28" s="41"/>
      <c r="B28" s="21"/>
      <c r="C28" s="20" t="s">
        <v>161</v>
      </c>
      <c r="D28" s="21">
        <v>4140</v>
      </c>
      <c r="E28" s="42"/>
      <c r="F28" s="15"/>
    </row>
    <row r="29" spans="1:6" ht="15.75" x14ac:dyDescent="0.25">
      <c r="A29" s="41"/>
      <c r="B29" s="21"/>
      <c r="C29" s="20" t="s">
        <v>47</v>
      </c>
      <c r="D29" s="21">
        <v>5425</v>
      </c>
      <c r="E29" s="42"/>
      <c r="F29" s="15"/>
    </row>
    <row r="30" spans="1:6" ht="15.75" x14ac:dyDescent="0.25">
      <c r="A30" s="20"/>
      <c r="B30" s="21"/>
      <c r="C30" s="20" t="s">
        <v>70</v>
      </c>
      <c r="D30" s="21">
        <v>5210</v>
      </c>
      <c r="E30" s="42"/>
      <c r="F30" s="15"/>
    </row>
    <row r="31" spans="1:6" ht="15.75" x14ac:dyDescent="0.25">
      <c r="A31" s="20"/>
      <c r="B31" s="21"/>
      <c r="C31" s="20" t="s">
        <v>165</v>
      </c>
      <c r="D31" s="21">
        <v>100</v>
      </c>
      <c r="E31" s="42"/>
      <c r="F31" s="15"/>
    </row>
    <row r="32" spans="1:6" ht="15.75" x14ac:dyDescent="0.25">
      <c r="A32" s="20"/>
      <c r="B32" s="21"/>
      <c r="C32" s="20" t="s">
        <v>166</v>
      </c>
      <c r="D32" s="21">
        <v>2500</v>
      </c>
      <c r="E32" s="42"/>
      <c r="F32" s="15"/>
    </row>
    <row r="33" spans="1:6" ht="15.75" x14ac:dyDescent="0.25">
      <c r="A33" s="20"/>
      <c r="B33" s="21"/>
      <c r="C33" s="20" t="s">
        <v>46</v>
      </c>
      <c r="D33" s="30">
        <v>5960</v>
      </c>
      <c r="E33" s="42"/>
      <c r="F33" s="15"/>
    </row>
    <row r="34" spans="1:6" ht="15.75" x14ac:dyDescent="0.25">
      <c r="A34" s="20"/>
      <c r="B34" s="21"/>
      <c r="C34" s="20" t="s">
        <v>16</v>
      </c>
      <c r="D34" s="30">
        <f>5445+3010</f>
        <v>8455</v>
      </c>
      <c r="E34" s="42"/>
      <c r="F34" s="15"/>
    </row>
    <row r="35" spans="1:6" ht="15.75" x14ac:dyDescent="0.25">
      <c r="A35" s="20"/>
      <c r="B35" s="21"/>
      <c r="C35" s="20" t="s">
        <v>167</v>
      </c>
      <c r="D35" s="30">
        <v>4810</v>
      </c>
      <c r="E35" s="42"/>
      <c r="F35" s="15"/>
    </row>
    <row r="36" spans="1:6" ht="15.75" x14ac:dyDescent="0.25">
      <c r="A36" s="20"/>
      <c r="B36" s="21"/>
      <c r="C36" s="20" t="s">
        <v>182</v>
      </c>
      <c r="D36" s="30">
        <v>10000</v>
      </c>
      <c r="E36" s="42"/>
      <c r="F36" s="15"/>
    </row>
    <row r="37" spans="1:6" ht="15.75" x14ac:dyDescent="0.25">
      <c r="A37" s="20"/>
      <c r="B37" s="21"/>
      <c r="C37" s="20" t="s">
        <v>186</v>
      </c>
      <c r="D37" s="30">
        <v>2000</v>
      </c>
      <c r="E37" s="42"/>
      <c r="F37" s="15"/>
    </row>
    <row r="38" spans="1:6" ht="15.75" x14ac:dyDescent="0.25">
      <c r="A38" s="20"/>
      <c r="B38" s="21"/>
      <c r="C38" s="20" t="s">
        <v>14</v>
      </c>
      <c r="D38" s="30">
        <f>6*115+70+135+7*115+70-55</f>
        <v>1715</v>
      </c>
      <c r="E38" s="42"/>
      <c r="F38" s="15"/>
    </row>
    <row r="39" spans="1:6" ht="15.75" x14ac:dyDescent="0.25">
      <c r="A39" s="20"/>
      <c r="B39" s="21"/>
      <c r="C39" s="20" t="s">
        <v>60</v>
      </c>
      <c r="D39" s="30">
        <v>145</v>
      </c>
      <c r="E39" s="42"/>
      <c r="F39" s="15"/>
    </row>
    <row r="40" spans="1:6" ht="15.75" x14ac:dyDescent="0.25">
      <c r="A40" s="20"/>
      <c r="B40" s="21"/>
      <c r="C40" s="20" t="s">
        <v>29</v>
      </c>
      <c r="D40" s="21">
        <v>290</v>
      </c>
      <c r="E40" s="42"/>
      <c r="F40" s="15"/>
    </row>
    <row r="41" spans="1:6" ht="15.75" x14ac:dyDescent="0.25">
      <c r="A41" s="20"/>
      <c r="B41" s="21"/>
      <c r="C41" s="20" t="s">
        <v>39</v>
      </c>
      <c r="D41" s="21">
        <v>670</v>
      </c>
      <c r="E41" s="42"/>
      <c r="F41" s="15"/>
    </row>
    <row r="42" spans="1:6" ht="15.75" x14ac:dyDescent="0.25">
      <c r="A42" s="20"/>
      <c r="B42" s="21"/>
      <c r="C42" s="20" t="s">
        <v>41</v>
      </c>
      <c r="D42" s="21">
        <v>270</v>
      </c>
      <c r="E42" s="42"/>
      <c r="F42" s="15"/>
    </row>
    <row r="43" spans="1:6" ht="15.75" x14ac:dyDescent="0.25">
      <c r="A43" s="20"/>
      <c r="B43" s="21"/>
      <c r="C43" s="20" t="s">
        <v>27</v>
      </c>
      <c r="D43" s="21">
        <v>495</v>
      </c>
      <c r="E43" s="42"/>
      <c r="F43" s="15"/>
    </row>
    <row r="44" spans="1:6" ht="15.75" x14ac:dyDescent="0.25">
      <c r="A44" s="20"/>
      <c r="B44" s="21"/>
      <c r="C44" s="20" t="s">
        <v>73</v>
      </c>
      <c r="D44" s="21">
        <v>33</v>
      </c>
      <c r="E44" s="42"/>
      <c r="F44" s="15"/>
    </row>
    <row r="45" spans="1:6" ht="15.75" x14ac:dyDescent="0.25">
      <c r="A45" s="20"/>
      <c r="B45" s="21"/>
      <c r="C45" s="20" t="s">
        <v>26</v>
      </c>
      <c r="D45" s="21">
        <v>75</v>
      </c>
      <c r="E45" s="42"/>
      <c r="F45" s="15"/>
    </row>
    <row r="46" spans="1:6" ht="15.75" x14ac:dyDescent="0.25">
      <c r="A46" s="20"/>
      <c r="B46" s="21"/>
      <c r="C46" s="21" t="s">
        <v>77</v>
      </c>
      <c r="D46" s="20">
        <v>2918</v>
      </c>
      <c r="E46" s="42"/>
      <c r="F46" s="15"/>
    </row>
    <row r="47" spans="1:6" ht="15.75" x14ac:dyDescent="0.25">
      <c r="A47" s="20"/>
      <c r="B47" s="21"/>
      <c r="C47" s="21" t="s">
        <v>79</v>
      </c>
      <c r="D47" s="20">
        <v>1720</v>
      </c>
      <c r="E47" s="42"/>
      <c r="F47" s="15"/>
    </row>
    <row r="48" spans="1:6" ht="15.75" x14ac:dyDescent="0.25">
      <c r="A48" s="20"/>
      <c r="B48" s="21"/>
      <c r="C48" s="21" t="s">
        <v>184</v>
      </c>
      <c r="D48" s="20">
        <v>25</v>
      </c>
      <c r="E48" s="42"/>
      <c r="F48" s="15"/>
    </row>
    <row r="49" spans="1:6" ht="15.75" x14ac:dyDescent="0.25">
      <c r="A49" s="20"/>
      <c r="B49" s="21"/>
      <c r="C49" s="21" t="s">
        <v>183</v>
      </c>
      <c r="D49" s="20">
        <v>3000</v>
      </c>
      <c r="E49" s="42"/>
      <c r="F49" s="15"/>
    </row>
    <row r="50" spans="1:6" ht="15.75" x14ac:dyDescent="0.25">
      <c r="A50" s="20"/>
      <c r="B50" s="21"/>
      <c r="C50" s="21" t="s">
        <v>169</v>
      </c>
      <c r="D50" s="20">
        <v>500</v>
      </c>
      <c r="E50" s="42"/>
      <c r="F50" s="15"/>
    </row>
    <row r="51" spans="1:6" ht="15.75" x14ac:dyDescent="0.25">
      <c r="A51" s="20"/>
      <c r="B51" s="21"/>
      <c r="C51" s="21" t="s">
        <v>170</v>
      </c>
      <c r="D51" s="20">
        <v>210</v>
      </c>
      <c r="E51" s="42"/>
      <c r="F51" s="15"/>
    </row>
    <row r="52" spans="1:6" ht="15.75" x14ac:dyDescent="0.25">
      <c r="A52" s="20"/>
      <c r="B52" s="21"/>
      <c r="C52" s="21" t="s">
        <v>171</v>
      </c>
      <c r="D52" s="20">
        <v>110</v>
      </c>
      <c r="E52" s="42"/>
      <c r="F52" s="15"/>
    </row>
    <row r="53" spans="1:6" ht="15.75" x14ac:dyDescent="0.25">
      <c r="A53" s="20"/>
      <c r="B53" s="21"/>
      <c r="C53" s="21" t="s">
        <v>172</v>
      </c>
      <c r="D53" s="20">
        <v>170</v>
      </c>
      <c r="E53" s="42"/>
      <c r="F53" s="15"/>
    </row>
    <row r="54" spans="1:6" ht="15.75" x14ac:dyDescent="0.25">
      <c r="A54" s="20"/>
      <c r="B54" s="21"/>
      <c r="C54" s="21" t="s">
        <v>178</v>
      </c>
      <c r="D54" s="20">
        <v>65</v>
      </c>
      <c r="E54" s="42"/>
      <c r="F54" s="15"/>
    </row>
    <row r="55" spans="1:6" ht="15.75" x14ac:dyDescent="0.25">
      <c r="A55" s="20"/>
      <c r="B55" s="21"/>
      <c r="C55" s="21" t="s">
        <v>173</v>
      </c>
      <c r="D55" s="20">
        <v>175</v>
      </c>
      <c r="E55" s="42"/>
      <c r="F55" s="15"/>
    </row>
    <row r="56" spans="1:6" ht="15.75" x14ac:dyDescent="0.25">
      <c r="A56" s="20"/>
      <c r="B56" s="21"/>
      <c r="C56" s="30" t="s">
        <v>174</v>
      </c>
      <c r="D56" s="20">
        <v>50</v>
      </c>
      <c r="E56" s="42"/>
      <c r="F56" s="15"/>
    </row>
    <row r="57" spans="1:6" ht="15.75" x14ac:dyDescent="0.25">
      <c r="A57" s="20"/>
      <c r="B57" s="21"/>
      <c r="C57" s="30" t="s">
        <v>175</v>
      </c>
      <c r="D57" s="20">
        <v>110</v>
      </c>
      <c r="E57" s="42"/>
      <c r="F57" s="15"/>
    </row>
    <row r="58" spans="1:6" ht="15.75" x14ac:dyDescent="0.25">
      <c r="A58" s="20"/>
      <c r="B58" s="21"/>
      <c r="C58" s="30" t="s">
        <v>176</v>
      </c>
      <c r="D58" s="20">
        <v>25</v>
      </c>
      <c r="E58" s="42"/>
      <c r="F58" s="15"/>
    </row>
    <row r="59" spans="1:6" ht="15.75" x14ac:dyDescent="0.25">
      <c r="A59" s="20"/>
      <c r="B59" s="21"/>
      <c r="C59" s="30" t="s">
        <v>177</v>
      </c>
      <c r="D59" s="20">
        <v>1080</v>
      </c>
      <c r="E59" s="42"/>
      <c r="F59" s="15"/>
    </row>
    <row r="60" spans="1:6" ht="15.75" x14ac:dyDescent="0.25">
      <c r="A60" s="20"/>
      <c r="B60" s="21"/>
      <c r="C60" s="30" t="s">
        <v>182</v>
      </c>
      <c r="D60" s="20">
        <v>3000</v>
      </c>
      <c r="E60" s="42"/>
      <c r="F60" s="15"/>
    </row>
    <row r="61" spans="1:6" ht="15.75" x14ac:dyDescent="0.25">
      <c r="A61" s="20"/>
      <c r="B61" s="21"/>
      <c r="C61" s="30" t="s">
        <v>583</v>
      </c>
      <c r="D61" s="20">
        <v>1000</v>
      </c>
      <c r="E61" s="42"/>
    </row>
    <row r="62" spans="1:6" ht="15.75" x14ac:dyDescent="0.25">
      <c r="A62" s="20"/>
      <c r="B62" s="21"/>
      <c r="C62" s="30" t="s">
        <v>584</v>
      </c>
      <c r="D62" s="20">
        <v>11000</v>
      </c>
      <c r="E62" s="42"/>
    </row>
    <row r="63" spans="1:6" ht="15.75" x14ac:dyDescent="0.25">
      <c r="A63" s="20"/>
      <c r="B63" s="21"/>
      <c r="C63" s="30" t="s">
        <v>188</v>
      </c>
      <c r="D63" s="20">
        <v>4140</v>
      </c>
      <c r="E63" s="42"/>
    </row>
    <row r="64" spans="1:6" x14ac:dyDescent="0.25">
      <c r="A64" s="20"/>
      <c r="B64" s="21"/>
      <c r="C64" s="20" t="s">
        <v>19</v>
      </c>
      <c r="D64" s="21">
        <v>115</v>
      </c>
      <c r="E64" s="42"/>
    </row>
    <row r="65" spans="1:7" ht="15.75" x14ac:dyDescent="0.25">
      <c r="A65" s="20"/>
      <c r="B65" s="21"/>
      <c r="C65" s="20"/>
      <c r="D65" s="30">
        <v>28446</v>
      </c>
      <c r="E65" s="42"/>
    </row>
    <row r="66" spans="1:7" x14ac:dyDescent="0.25">
      <c r="A66" s="20"/>
      <c r="B66" s="21"/>
      <c r="C66" s="20"/>
      <c r="D66" s="21"/>
      <c r="E66" s="42"/>
    </row>
    <row r="67" spans="1:7" x14ac:dyDescent="0.25">
      <c r="A67" s="20"/>
      <c r="B67" s="21"/>
      <c r="C67" s="20" t="s">
        <v>27</v>
      </c>
      <c r="D67" s="21">
        <v>95</v>
      </c>
      <c r="E67" s="42"/>
    </row>
    <row r="68" spans="1:7" x14ac:dyDescent="0.25">
      <c r="A68" s="20"/>
      <c r="B68" s="21"/>
      <c r="C68" s="20" t="s">
        <v>118</v>
      </c>
      <c r="D68" s="21">
        <v>50</v>
      </c>
      <c r="E68" s="42"/>
    </row>
    <row r="69" spans="1:7" x14ac:dyDescent="0.25">
      <c r="A69" s="20"/>
      <c r="B69" s="21"/>
      <c r="C69" s="20" t="s">
        <v>31</v>
      </c>
      <c r="D69" s="21">
        <v>100</v>
      </c>
      <c r="E69" s="42"/>
    </row>
    <row r="70" spans="1:7" x14ac:dyDescent="0.25">
      <c r="A70" s="20"/>
      <c r="B70" s="21"/>
      <c r="C70" s="46" t="s">
        <v>152</v>
      </c>
      <c r="D70" s="21">
        <v>10000</v>
      </c>
      <c r="E70" s="42"/>
    </row>
    <row r="71" spans="1:7" ht="15.75" x14ac:dyDescent="0.25">
      <c r="A71" s="20"/>
      <c r="B71" s="21"/>
      <c r="C71" s="30"/>
      <c r="D71" s="20"/>
      <c r="E71" s="42"/>
    </row>
    <row r="72" spans="1:7" x14ac:dyDescent="0.25">
      <c r="A72" s="20"/>
      <c r="B72" s="21"/>
      <c r="C72" s="20"/>
      <c r="D72" s="211"/>
      <c r="E72" s="42"/>
    </row>
    <row r="73" spans="1:7" x14ac:dyDescent="0.25">
      <c r="A73" s="20"/>
      <c r="B73" s="21"/>
      <c r="C73" s="212"/>
      <c r="D73" s="209"/>
      <c r="E73" s="42"/>
    </row>
    <row r="74" spans="1:7" x14ac:dyDescent="0.25">
      <c r="A74" s="20"/>
      <c r="B74" s="21"/>
      <c r="C74" s="212"/>
      <c r="D74" s="209"/>
      <c r="E74" s="42"/>
    </row>
    <row r="75" spans="1:7" x14ac:dyDescent="0.25">
      <c r="A75" s="20"/>
      <c r="B75" s="21"/>
      <c r="C75" s="212"/>
      <c r="D75" s="209"/>
      <c r="E75" s="42"/>
    </row>
    <row r="76" spans="1:7" x14ac:dyDescent="0.25">
      <c r="A76" s="20"/>
      <c r="B76" s="21"/>
      <c r="C76" s="212"/>
      <c r="D76" s="209"/>
      <c r="E76" s="42"/>
    </row>
    <row r="77" spans="1:7" x14ac:dyDescent="0.25">
      <c r="A77" s="20"/>
      <c r="B77" s="21"/>
      <c r="C77" s="212"/>
      <c r="D77" s="209"/>
      <c r="E77" s="45"/>
    </row>
    <row r="78" spans="1:7" x14ac:dyDescent="0.25">
      <c r="A78" s="20"/>
      <c r="B78" s="21"/>
      <c r="C78" s="212"/>
      <c r="D78" s="209"/>
      <c r="E78" s="45"/>
    </row>
    <row r="79" spans="1:7" x14ac:dyDescent="0.25">
      <c r="A79" s="20"/>
      <c r="B79" s="21"/>
      <c r="C79" s="205"/>
      <c r="D79" s="210"/>
      <c r="E79" s="45"/>
    </row>
    <row r="80" spans="1:7" ht="19.5" thickBot="1" x14ac:dyDescent="0.35">
      <c r="A80" s="17"/>
      <c r="B80" s="12">
        <f>SUBTOTAL(109,Table272023[Column1])</f>
        <v>188797</v>
      </c>
      <c r="C80" s="13"/>
      <c r="D80" s="14">
        <f>SUBTOTAL(109,Table272023[Column2])</f>
        <v>175637</v>
      </c>
      <c r="E80" s="14"/>
      <c r="G80">
        <v>100</v>
      </c>
    </row>
    <row r="81" spans="1:7" ht="27" thickTop="1" x14ac:dyDescent="0.25">
      <c r="D81" s="16">
        <f>Table272023[[#Totals],[Column1]]-Table272023[[#Totals],[Column2]]</f>
        <v>13160</v>
      </c>
      <c r="G81">
        <v>50</v>
      </c>
    </row>
    <row r="82" spans="1:7" ht="15.75" thickBot="1" x14ac:dyDescent="0.3">
      <c r="G82">
        <v>5</v>
      </c>
    </row>
    <row r="83" spans="1:7" ht="24" thickBot="1" x14ac:dyDescent="0.3">
      <c r="A83" s="76" t="s">
        <v>9</v>
      </c>
      <c r="B83" s="460"/>
      <c r="C83" s="461"/>
    </row>
    <row r="84" spans="1:7" ht="21" thickBot="1" x14ac:dyDescent="0.3">
      <c r="A84" s="53" t="s">
        <v>137</v>
      </c>
      <c r="B84" s="53" t="s">
        <v>3</v>
      </c>
      <c r="C84" s="53" t="s">
        <v>138</v>
      </c>
      <c r="E84">
        <f>28446</f>
        <v>28446</v>
      </c>
    </row>
    <row r="85" spans="1:7" ht="18" x14ac:dyDescent="0.25">
      <c r="A85" s="55">
        <f>38*20+15-550</f>
        <v>225</v>
      </c>
      <c r="B85" s="77">
        <v>6740</v>
      </c>
      <c r="C85" s="57" t="s">
        <v>150</v>
      </c>
    </row>
    <row r="86" spans="1:7" ht="18" x14ac:dyDescent="0.25">
      <c r="A86" s="58"/>
      <c r="B86" s="56">
        <f>44+31</f>
        <v>75</v>
      </c>
      <c r="C86" s="59" t="s">
        <v>151</v>
      </c>
    </row>
    <row r="87" spans="1:7" ht="18" x14ac:dyDescent="0.25">
      <c r="A87" s="58"/>
      <c r="B87" s="56">
        <v>500</v>
      </c>
      <c r="C87" s="59" t="s">
        <v>50</v>
      </c>
    </row>
    <row r="88" spans="1:7" ht="18" x14ac:dyDescent="0.25">
      <c r="A88" s="60"/>
      <c r="B88" s="56">
        <v>10000</v>
      </c>
      <c r="C88" s="61" t="s">
        <v>152</v>
      </c>
    </row>
    <row r="89" spans="1:7" ht="18" x14ac:dyDescent="0.25">
      <c r="A89" s="60"/>
      <c r="B89" s="56">
        <v>95</v>
      </c>
      <c r="C89" s="62" t="s">
        <v>10</v>
      </c>
    </row>
    <row r="90" spans="1:7" ht="18" x14ac:dyDescent="0.25">
      <c r="A90" s="60"/>
      <c r="B90" s="56">
        <v>550</v>
      </c>
      <c r="C90" s="62" t="s">
        <v>56</v>
      </c>
    </row>
    <row r="91" spans="1:7" ht="18" x14ac:dyDescent="0.25">
      <c r="A91" s="60"/>
      <c r="B91" s="56"/>
      <c r="C91" s="62"/>
    </row>
    <row r="92" spans="1:7" ht="18" x14ac:dyDescent="0.25">
      <c r="A92" s="58"/>
      <c r="B92" s="56"/>
      <c r="C92" s="63"/>
    </row>
    <row r="93" spans="1:7" ht="18" x14ac:dyDescent="0.25">
      <c r="A93" s="58"/>
      <c r="B93" s="56"/>
      <c r="C93" s="64"/>
    </row>
    <row r="94" spans="1:7" ht="18" x14ac:dyDescent="0.25">
      <c r="A94" s="58"/>
      <c r="B94" s="56"/>
      <c r="C94" s="65"/>
    </row>
    <row r="95" spans="1:7" ht="18.75" thickBot="1" x14ac:dyDescent="0.3">
      <c r="A95" s="66"/>
      <c r="B95" s="67"/>
      <c r="C95" s="64"/>
    </row>
    <row r="96" spans="1:7" ht="21" thickBot="1" x14ac:dyDescent="0.3">
      <c r="A96" s="68">
        <f>SUM(A85:A95)</f>
        <v>225</v>
      </c>
      <c r="B96" s="69">
        <f>SUM(B85:B95)</f>
        <v>17960</v>
      </c>
      <c r="C96" s="70"/>
      <c r="F96" s="18"/>
    </row>
    <row r="97" spans="1:10" ht="18.75" thickBot="1" x14ac:dyDescent="0.3">
      <c r="A97" s="462" t="s">
        <v>139</v>
      </c>
      <c r="B97" s="463"/>
      <c r="C97" s="71" t="s">
        <v>75</v>
      </c>
      <c r="D97" s="27"/>
    </row>
    <row r="98" spans="1:10" ht="24" thickBot="1" x14ac:dyDescent="0.3">
      <c r="A98" s="464">
        <f>B96+A96</f>
        <v>18185</v>
      </c>
      <c r="B98" s="465"/>
      <c r="C98" s="72"/>
    </row>
    <row r="99" spans="1:10" ht="24" thickBot="1" x14ac:dyDescent="0.3">
      <c r="A99" s="466" t="s">
        <v>99</v>
      </c>
      <c r="B99" s="467"/>
      <c r="C99" s="78">
        <f>A100-C100</f>
        <v>213</v>
      </c>
      <c r="D99" s="80" t="s">
        <v>43</v>
      </c>
    </row>
    <row r="100" spans="1:10" ht="21" thickBot="1" x14ac:dyDescent="0.3">
      <c r="A100" s="481">
        <f>C98+A98</f>
        <v>18185</v>
      </c>
      <c r="B100" s="482"/>
      <c r="C100" s="79">
        <v>17972</v>
      </c>
      <c r="D100" s="1">
        <f>1000+300+200+55</f>
        <v>1555</v>
      </c>
    </row>
    <row r="101" spans="1:10" ht="24" thickBot="1" x14ac:dyDescent="0.3">
      <c r="A101" s="11"/>
      <c r="B101" s="11"/>
      <c r="C101" s="314" t="str">
        <f>IF(C99&gt;0,"زيادة","عجز")</f>
        <v>زيادة</v>
      </c>
      <c r="G101" s="25"/>
      <c r="H101" s="25"/>
      <c r="I101" s="25"/>
      <c r="J101" s="25"/>
    </row>
    <row r="102" spans="1:10" ht="19.5" thickBot="1" x14ac:dyDescent="0.3">
      <c r="A102" s="11"/>
      <c r="B102" s="11"/>
      <c r="G102" s="25"/>
      <c r="H102" s="25"/>
      <c r="I102" s="25">
        <f>H101+H102</f>
        <v>0</v>
      </c>
      <c r="J102" s="25" t="s">
        <v>23</v>
      </c>
    </row>
    <row r="103" spans="1:10" ht="24" thickBot="1" x14ac:dyDescent="0.3">
      <c r="A103" s="76" t="s">
        <v>80</v>
      </c>
      <c r="B103" s="460"/>
      <c r="C103" s="461"/>
      <c r="G103" s="25"/>
      <c r="H103" s="25"/>
      <c r="I103" s="25"/>
      <c r="J103" s="25"/>
    </row>
    <row r="104" spans="1:10" ht="21" thickBot="1" x14ac:dyDescent="0.3">
      <c r="A104" s="53" t="s">
        <v>137</v>
      </c>
      <c r="B104" s="53" t="s">
        <v>3</v>
      </c>
      <c r="C104" s="53" t="s">
        <v>138</v>
      </c>
      <c r="G104" s="25"/>
      <c r="H104" s="25"/>
      <c r="I104" s="25"/>
      <c r="J104" s="25"/>
    </row>
    <row r="105" spans="1:10" ht="18" x14ac:dyDescent="0.25">
      <c r="A105" s="55">
        <f>3550</f>
        <v>3550</v>
      </c>
      <c r="B105" s="77">
        <f>88+120+35+5+4.5+20</f>
        <v>272.5</v>
      </c>
      <c r="C105" s="57" t="s">
        <v>73</v>
      </c>
      <c r="G105" s="25"/>
      <c r="H105" s="25"/>
      <c r="I105" s="25"/>
      <c r="J105" s="25"/>
    </row>
    <row r="106" spans="1:10" ht="18" x14ac:dyDescent="0.25">
      <c r="A106" s="58">
        <v>510</v>
      </c>
      <c r="B106" s="56">
        <v>233</v>
      </c>
      <c r="C106" s="59" t="s">
        <v>157</v>
      </c>
      <c r="G106" s="25"/>
      <c r="H106" s="25"/>
      <c r="I106" s="25"/>
      <c r="J106" s="25"/>
    </row>
    <row r="107" spans="1:10" ht="18" x14ac:dyDescent="0.25">
      <c r="A107" s="58"/>
      <c r="B107" s="56">
        <v>575</v>
      </c>
      <c r="C107" s="59" t="s">
        <v>11</v>
      </c>
      <c r="G107" s="25"/>
      <c r="H107" s="25"/>
      <c r="I107" s="25"/>
      <c r="J107" s="25"/>
    </row>
    <row r="108" spans="1:10" ht="18" x14ac:dyDescent="0.25">
      <c r="A108" s="60"/>
      <c r="B108" s="56">
        <v>297</v>
      </c>
      <c r="C108" s="61" t="s">
        <v>8</v>
      </c>
      <c r="G108" s="25"/>
      <c r="H108" s="25"/>
      <c r="I108" s="25"/>
      <c r="J108" s="25"/>
    </row>
    <row r="109" spans="1:10" ht="18" x14ac:dyDescent="0.25">
      <c r="A109" s="60"/>
      <c r="B109" s="56">
        <v>1947</v>
      </c>
      <c r="C109" s="62" t="s">
        <v>79</v>
      </c>
    </row>
    <row r="110" spans="1:10" ht="18" x14ac:dyDescent="0.25">
      <c r="A110" s="60"/>
      <c r="B110" s="56">
        <v>400</v>
      </c>
      <c r="C110" s="62" t="s">
        <v>55</v>
      </c>
    </row>
    <row r="111" spans="1:10" ht="18" x14ac:dyDescent="0.25">
      <c r="A111" s="60"/>
      <c r="B111" s="56">
        <v>3000</v>
      </c>
      <c r="C111" s="62" t="s">
        <v>158</v>
      </c>
    </row>
    <row r="112" spans="1:10" ht="18" x14ac:dyDescent="0.25">
      <c r="A112" s="58"/>
      <c r="B112" s="56"/>
      <c r="C112" s="63"/>
      <c r="F112" s="24"/>
    </row>
    <row r="113" spans="1:5" ht="18" x14ac:dyDescent="0.25">
      <c r="A113" s="58"/>
      <c r="B113" s="56"/>
      <c r="C113" s="64"/>
    </row>
    <row r="114" spans="1:5" ht="18.75" thickBot="1" x14ac:dyDescent="0.3">
      <c r="A114" s="58"/>
      <c r="B114" s="56"/>
      <c r="C114" s="65"/>
    </row>
    <row r="115" spans="1:5" ht="24" thickBot="1" x14ac:dyDescent="0.3">
      <c r="A115" s="66"/>
      <c r="B115" s="67"/>
      <c r="C115" s="64"/>
      <c r="D115" s="199" t="s">
        <v>43</v>
      </c>
      <c r="E115" s="200">
        <f>E120-E116</f>
        <v>-211</v>
      </c>
    </row>
    <row r="116" spans="1:5" ht="21" thickBot="1" x14ac:dyDescent="0.3">
      <c r="A116" s="68">
        <f>SUM(A105:A115)</f>
        <v>4060</v>
      </c>
      <c r="B116" s="69">
        <f>SUM(B105:B115)</f>
        <v>6724.5</v>
      </c>
      <c r="C116" s="70"/>
      <c r="D116" s="84" t="s">
        <v>94</v>
      </c>
      <c r="E116" s="85">
        <f>13-7904+10000</f>
        <v>2109</v>
      </c>
    </row>
    <row r="117" spans="1:5" ht="19.5" thickBot="1" x14ac:dyDescent="0.3">
      <c r="A117" s="462" t="s">
        <v>139</v>
      </c>
      <c r="B117" s="463"/>
      <c r="C117" s="71" t="s">
        <v>75</v>
      </c>
      <c r="D117" s="82" t="s">
        <v>65</v>
      </c>
      <c r="E117" s="83">
        <f>1800+95+3</f>
        <v>1898</v>
      </c>
    </row>
    <row r="118" spans="1:5" ht="24" thickBot="1" x14ac:dyDescent="0.3">
      <c r="A118" s="464">
        <f>B116+A116</f>
        <v>10784.5</v>
      </c>
      <c r="B118" s="465"/>
      <c r="C118" s="81"/>
      <c r="D118" s="82"/>
      <c r="E118" s="83"/>
    </row>
    <row r="119" spans="1:5" ht="24" thickBot="1" x14ac:dyDescent="0.3">
      <c r="A119" s="466" t="s">
        <v>99</v>
      </c>
      <c r="B119" s="467"/>
      <c r="C119" s="78">
        <f>A120-C120</f>
        <v>327.5</v>
      </c>
      <c r="D119" s="82"/>
      <c r="E119" s="83"/>
    </row>
    <row r="120" spans="1:5" ht="21" thickBot="1" x14ac:dyDescent="0.3">
      <c r="A120" s="481">
        <f>C118+A118</f>
        <v>10784.5</v>
      </c>
      <c r="B120" s="482"/>
      <c r="C120" s="79">
        <v>10457</v>
      </c>
      <c r="D120" s="82" t="s">
        <v>164</v>
      </c>
      <c r="E120" s="83">
        <f>SUM(E117:E119)</f>
        <v>1898</v>
      </c>
    </row>
    <row r="121" spans="1:5" ht="24" thickBot="1" x14ac:dyDescent="0.3">
      <c r="C121" s="314" t="str">
        <f>IF(C119&gt;0,"زيادة","عجز")</f>
        <v>زيادة</v>
      </c>
    </row>
    <row r="130" spans="1:5" ht="15.75" thickBot="1" x14ac:dyDescent="0.3">
      <c r="B130" s="9"/>
    </row>
    <row r="131" spans="1:5" ht="24" thickBot="1" x14ac:dyDescent="0.3">
      <c r="A131" s="76" t="s">
        <v>168</v>
      </c>
      <c r="B131" s="460"/>
      <c r="C131" s="461"/>
    </row>
    <row r="132" spans="1:5" ht="21" thickBot="1" x14ac:dyDescent="0.3">
      <c r="A132" s="53" t="s">
        <v>137</v>
      </c>
      <c r="B132" s="53" t="s">
        <v>3</v>
      </c>
      <c r="C132" s="53" t="s">
        <v>138</v>
      </c>
    </row>
    <row r="133" spans="1:5" ht="18" x14ac:dyDescent="0.25">
      <c r="A133" s="55">
        <v>790</v>
      </c>
      <c r="B133" s="77">
        <v>500</v>
      </c>
      <c r="C133" s="57" t="s">
        <v>169</v>
      </c>
    </row>
    <row r="134" spans="1:5" ht="18" x14ac:dyDescent="0.25">
      <c r="A134" s="58">
        <v>15000</v>
      </c>
      <c r="B134" s="56">
        <v>210</v>
      </c>
      <c r="C134" s="59" t="s">
        <v>170</v>
      </c>
      <c r="D134">
        <f>120+3+65+12+10</f>
        <v>210</v>
      </c>
    </row>
    <row r="135" spans="1:5" ht="18" x14ac:dyDescent="0.25">
      <c r="A135" s="58">
        <v>2250</v>
      </c>
      <c r="B135" s="56">
        <v>110</v>
      </c>
      <c r="C135" s="59" t="s">
        <v>171</v>
      </c>
    </row>
    <row r="136" spans="1:5" ht="18" x14ac:dyDescent="0.25">
      <c r="A136" s="60"/>
      <c r="B136" s="56">
        <v>170</v>
      </c>
      <c r="C136" s="59" t="s">
        <v>172</v>
      </c>
    </row>
    <row r="137" spans="1:5" ht="18" x14ac:dyDescent="0.25">
      <c r="A137" s="60"/>
      <c r="B137" s="56">
        <v>65</v>
      </c>
      <c r="C137" s="86" t="s">
        <v>178</v>
      </c>
    </row>
    <row r="138" spans="1:5" ht="18" customHeight="1" x14ac:dyDescent="0.25">
      <c r="A138" s="60"/>
      <c r="B138" s="56">
        <v>175</v>
      </c>
      <c r="C138" s="62" t="s">
        <v>173</v>
      </c>
    </row>
    <row r="139" spans="1:5" ht="18" customHeight="1" x14ac:dyDescent="0.25">
      <c r="A139" s="60"/>
      <c r="B139" s="56">
        <v>50</v>
      </c>
      <c r="C139" s="62" t="s">
        <v>174</v>
      </c>
    </row>
    <row r="140" spans="1:5" ht="18" customHeight="1" x14ac:dyDescent="0.25">
      <c r="A140" s="58"/>
      <c r="B140" s="56">
        <v>110</v>
      </c>
      <c r="C140" s="62" t="s">
        <v>175</v>
      </c>
    </row>
    <row r="141" spans="1:5" ht="18" customHeight="1" x14ac:dyDescent="0.25">
      <c r="A141" s="58"/>
      <c r="B141" s="56">
        <v>25</v>
      </c>
      <c r="C141" s="62" t="s">
        <v>176</v>
      </c>
    </row>
    <row r="142" spans="1:5" ht="18" customHeight="1" thickBot="1" x14ac:dyDescent="0.3">
      <c r="A142" s="58"/>
      <c r="B142" s="56">
        <v>1080</v>
      </c>
      <c r="C142" s="64" t="s">
        <v>177</v>
      </c>
    </row>
    <row r="143" spans="1:5" ht="18" customHeight="1" thickBot="1" x14ac:dyDescent="0.3">
      <c r="A143" s="66"/>
      <c r="B143" s="67"/>
      <c r="C143" s="64"/>
      <c r="D143" s="483" t="s">
        <v>43</v>
      </c>
      <c r="E143" s="484"/>
    </row>
    <row r="144" spans="1:5" ht="18" customHeight="1" thickBot="1" x14ac:dyDescent="0.3">
      <c r="A144" s="68">
        <f>SUM(A133:A143)</f>
        <v>18040</v>
      </c>
      <c r="B144" s="69">
        <f>SUM(B133:B143)</f>
        <v>2495</v>
      </c>
      <c r="C144" s="71" t="s">
        <v>75</v>
      </c>
      <c r="D144" s="84" t="s">
        <v>94</v>
      </c>
      <c r="E144" s="85"/>
    </row>
    <row r="145" spans="1:5" ht="18" customHeight="1" thickBot="1" x14ac:dyDescent="0.3">
      <c r="A145" s="462" t="s">
        <v>139</v>
      </c>
      <c r="B145" s="463"/>
      <c r="C145" s="81">
        <v>165</v>
      </c>
      <c r="D145" s="82" t="s">
        <v>65</v>
      </c>
      <c r="E145" s="83"/>
    </row>
    <row r="146" spans="1:5" ht="24" thickBot="1" x14ac:dyDescent="0.3">
      <c r="A146" s="464">
        <f>B144+A144</f>
        <v>20535</v>
      </c>
      <c r="B146" s="465"/>
      <c r="C146" s="314" t="str">
        <f>IF(C147&gt;0,"زيادة","عجز")</f>
        <v>عجز</v>
      </c>
      <c r="D146" s="82"/>
      <c r="E146" s="83"/>
    </row>
    <row r="147" spans="1:5" ht="18" customHeight="1" thickBot="1" x14ac:dyDescent="0.3">
      <c r="A147" s="466" t="s">
        <v>99</v>
      </c>
      <c r="B147" s="467"/>
      <c r="C147" s="78">
        <f>A148-C148</f>
        <v>-96.159999999999854</v>
      </c>
      <c r="D147" s="82"/>
      <c r="E147" s="83"/>
    </row>
    <row r="148" spans="1:5" ht="18" customHeight="1" thickBot="1" x14ac:dyDescent="0.3">
      <c r="A148" s="481">
        <f>C145+A146</f>
        <v>20700</v>
      </c>
      <c r="B148" s="482"/>
      <c r="C148" s="79">
        <v>20796.16</v>
      </c>
      <c r="D148" s="82" t="s">
        <v>164</v>
      </c>
      <c r="E148" s="83">
        <f>SUM(E145:E147)</f>
        <v>0</v>
      </c>
    </row>
    <row r="149" spans="1:5" ht="18" customHeight="1" thickBot="1" x14ac:dyDescent="0.3">
      <c r="C149" s="314" t="str">
        <f>IF(C147&gt;0,"زيادة","عجز")</f>
        <v>عجز</v>
      </c>
    </row>
    <row r="150" spans="1:5" ht="18" customHeight="1" x14ac:dyDescent="0.25"/>
    <row r="151" spans="1:5" ht="18" customHeight="1" x14ac:dyDescent="0.25"/>
    <row r="159" spans="1:5" ht="18" customHeight="1" x14ac:dyDescent="0.25"/>
    <row r="160" spans="1:5" ht="18" customHeight="1" thickBot="1" x14ac:dyDescent="0.3"/>
    <row r="161" spans="1:5" ht="23.25" customHeight="1" thickBot="1" x14ac:dyDescent="0.3">
      <c r="A161" s="76" t="s">
        <v>15</v>
      </c>
      <c r="B161" s="460"/>
      <c r="C161" s="461"/>
    </row>
    <row r="162" spans="1:5" ht="21.75" customHeight="1" thickBot="1" x14ac:dyDescent="0.3">
      <c r="A162" s="53" t="s">
        <v>137</v>
      </c>
      <c r="B162" s="53" t="s">
        <v>3</v>
      </c>
      <c r="C162" s="53" t="s">
        <v>138</v>
      </c>
    </row>
    <row r="163" spans="1:5" ht="18" customHeight="1" x14ac:dyDescent="0.25">
      <c r="A163" s="55">
        <v>4000</v>
      </c>
      <c r="B163" s="77">
        <v>66</v>
      </c>
      <c r="C163" s="57" t="s">
        <v>126</v>
      </c>
    </row>
    <row r="164" spans="1:5" ht="24.75" customHeight="1" x14ac:dyDescent="0.25">
      <c r="A164" s="58">
        <v>1000</v>
      </c>
      <c r="B164" s="56">
        <v>300</v>
      </c>
      <c r="C164" s="59" t="s">
        <v>179</v>
      </c>
    </row>
    <row r="165" spans="1:5" ht="18" customHeight="1" x14ac:dyDescent="0.25">
      <c r="A165" s="58">
        <v>250</v>
      </c>
      <c r="B165" s="56">
        <v>50</v>
      </c>
      <c r="C165" s="59" t="s">
        <v>180</v>
      </c>
    </row>
    <row r="166" spans="1:5" ht="18" customHeight="1" x14ac:dyDescent="0.25">
      <c r="A166" s="60">
        <v>90</v>
      </c>
      <c r="B166" s="56">
        <v>16</v>
      </c>
      <c r="C166" s="61" t="s">
        <v>181</v>
      </c>
    </row>
    <row r="167" spans="1:5" ht="18" customHeight="1" x14ac:dyDescent="0.25">
      <c r="A167" s="60"/>
      <c r="B167" s="56"/>
      <c r="C167" s="86"/>
    </row>
    <row r="168" spans="1:5" ht="18" customHeight="1" x14ac:dyDescent="0.25">
      <c r="A168" s="60"/>
      <c r="B168" s="56"/>
      <c r="C168" s="62"/>
    </row>
    <row r="169" spans="1:5" ht="18" customHeight="1" x14ac:dyDescent="0.25">
      <c r="A169" s="60"/>
      <c r="B169" s="56"/>
      <c r="C169" s="62"/>
    </row>
    <row r="170" spans="1:5" ht="18" x14ac:dyDescent="0.25">
      <c r="A170" s="58"/>
      <c r="B170" s="56"/>
      <c r="C170" s="62"/>
    </row>
    <row r="171" spans="1:5" ht="18" x14ac:dyDescent="0.25">
      <c r="A171" s="58"/>
      <c r="B171" s="56"/>
      <c r="C171" s="63"/>
    </row>
    <row r="172" spans="1:5" ht="18.75" thickBot="1" x14ac:dyDescent="0.3">
      <c r="A172" s="58" t="s">
        <v>187</v>
      </c>
      <c r="B172" s="56"/>
      <c r="C172" s="64"/>
    </row>
    <row r="173" spans="1:5" ht="24" thickBot="1" x14ac:dyDescent="0.3">
      <c r="A173" s="66"/>
      <c r="B173" s="67"/>
      <c r="C173" s="64"/>
      <c r="D173" s="483" t="s">
        <v>43</v>
      </c>
      <c r="E173" s="484"/>
    </row>
    <row r="174" spans="1:5" ht="21" thickBot="1" x14ac:dyDescent="0.3">
      <c r="A174" s="68">
        <f>SUM(A163:A173)</f>
        <v>5340</v>
      </c>
      <c r="B174" s="69">
        <f>SUM(B163:B173)</f>
        <v>432</v>
      </c>
      <c r="C174" s="70"/>
      <c r="D174" s="84" t="s">
        <v>94</v>
      </c>
      <c r="E174" s="85"/>
    </row>
    <row r="175" spans="1:5" ht="19.5" thickBot="1" x14ac:dyDescent="0.3">
      <c r="A175" s="462" t="s">
        <v>139</v>
      </c>
      <c r="B175" s="463"/>
      <c r="C175" s="71" t="s">
        <v>75</v>
      </c>
      <c r="D175" s="82" t="s">
        <v>65</v>
      </c>
      <c r="E175" s="83"/>
    </row>
    <row r="176" spans="1:5" ht="24" thickBot="1" x14ac:dyDescent="0.3">
      <c r="A176" s="464">
        <f>B174+A174</f>
        <v>5772</v>
      </c>
      <c r="B176" s="465"/>
      <c r="C176" s="81"/>
      <c r="D176" s="82"/>
      <c r="E176" s="83"/>
    </row>
    <row r="177" spans="1:5" ht="24" thickBot="1" x14ac:dyDescent="0.3">
      <c r="A177" s="466" t="s">
        <v>99</v>
      </c>
      <c r="B177" s="467"/>
      <c r="C177" s="78">
        <f>A178-C178</f>
        <v>2.5</v>
      </c>
      <c r="D177" s="82"/>
      <c r="E177" s="83"/>
    </row>
    <row r="178" spans="1:5" ht="21" thickBot="1" x14ac:dyDescent="0.3">
      <c r="A178" s="481">
        <f>C176+A176</f>
        <v>5772</v>
      </c>
      <c r="B178" s="482"/>
      <c r="C178" s="79">
        <v>5769.5</v>
      </c>
      <c r="D178" s="82" t="s">
        <v>164</v>
      </c>
      <c r="E178" s="83">
        <f>SUM(E175:E177)</f>
        <v>0</v>
      </c>
    </row>
    <row r="179" spans="1:5" ht="24" thickBot="1" x14ac:dyDescent="0.3">
      <c r="C179" s="314" t="str">
        <f>IF(C177&gt;0,"زيادة","عجز")</f>
        <v>زيادة</v>
      </c>
    </row>
    <row r="181" spans="1:5" ht="15.75" thickBot="1" x14ac:dyDescent="0.3"/>
    <row r="182" spans="1:5" ht="24" thickBot="1" x14ac:dyDescent="0.3">
      <c r="A182" s="76" t="s">
        <v>6</v>
      </c>
      <c r="B182" s="460"/>
      <c r="C182" s="461"/>
    </row>
    <row r="183" spans="1:5" ht="21" thickBot="1" x14ac:dyDescent="0.3">
      <c r="A183" s="53" t="s">
        <v>137</v>
      </c>
      <c r="B183" s="53" t="s">
        <v>3</v>
      </c>
      <c r="C183" s="53" t="s">
        <v>138</v>
      </c>
    </row>
    <row r="184" spans="1:5" ht="18" x14ac:dyDescent="0.25">
      <c r="A184" s="55">
        <f>10695-3000</f>
        <v>7695</v>
      </c>
      <c r="B184" s="77">
        <v>2918</v>
      </c>
      <c r="C184" s="57" t="s">
        <v>77</v>
      </c>
    </row>
    <row r="185" spans="1:5" ht="18" x14ac:dyDescent="0.25">
      <c r="A185" s="58"/>
      <c r="B185" s="56">
        <v>1720</v>
      </c>
      <c r="C185" s="59" t="s">
        <v>79</v>
      </c>
    </row>
    <row r="186" spans="1:5" ht="18" x14ac:dyDescent="0.25">
      <c r="A186" s="58"/>
      <c r="B186" s="56">
        <v>25</v>
      </c>
      <c r="C186" s="59" t="s">
        <v>184</v>
      </c>
    </row>
    <row r="187" spans="1:5" ht="18" x14ac:dyDescent="0.25">
      <c r="A187" s="60"/>
      <c r="B187" s="56">
        <v>3000</v>
      </c>
      <c r="C187" s="61" t="s">
        <v>183</v>
      </c>
    </row>
    <row r="188" spans="1:5" ht="18" x14ac:dyDescent="0.25">
      <c r="A188" s="60"/>
      <c r="B188" s="56"/>
      <c r="C188" s="86"/>
    </row>
    <row r="189" spans="1:5" ht="18" x14ac:dyDescent="0.25">
      <c r="A189" s="60"/>
      <c r="B189" s="56"/>
      <c r="C189" s="62"/>
    </row>
    <row r="190" spans="1:5" ht="18" x14ac:dyDescent="0.25">
      <c r="A190" s="60"/>
      <c r="B190" s="56"/>
      <c r="C190" s="62"/>
    </row>
    <row r="191" spans="1:5" ht="18" x14ac:dyDescent="0.25">
      <c r="A191" s="58"/>
      <c r="B191" s="56"/>
      <c r="C191" s="62"/>
    </row>
    <row r="192" spans="1:5" ht="18" x14ac:dyDescent="0.25">
      <c r="A192" s="58"/>
      <c r="B192" s="56"/>
      <c r="C192" s="63"/>
    </row>
    <row r="193" spans="1:5" ht="18.75" thickBot="1" x14ac:dyDescent="0.3">
      <c r="A193" s="58"/>
      <c r="B193" s="56"/>
      <c r="C193" s="64"/>
    </row>
    <row r="194" spans="1:5" ht="24" thickBot="1" x14ac:dyDescent="0.3">
      <c r="A194" s="66"/>
      <c r="B194" s="67"/>
      <c r="C194" s="64"/>
      <c r="D194" s="483" t="s">
        <v>43</v>
      </c>
      <c r="E194" s="484"/>
    </row>
    <row r="195" spans="1:5" ht="21" thickBot="1" x14ac:dyDescent="0.3">
      <c r="A195" s="68">
        <f>SUM(A184:A194)</f>
        <v>7695</v>
      </c>
      <c r="B195" s="69">
        <f>SUM(B184:B194)</f>
        <v>7663</v>
      </c>
      <c r="C195" s="70"/>
      <c r="D195" s="84" t="s">
        <v>94</v>
      </c>
      <c r="E195" s="85"/>
    </row>
    <row r="196" spans="1:5" ht="19.5" thickBot="1" x14ac:dyDescent="0.3">
      <c r="A196" s="462" t="s">
        <v>139</v>
      </c>
      <c r="B196" s="463"/>
      <c r="C196" s="71" t="s">
        <v>75</v>
      </c>
      <c r="D196" s="82" t="s">
        <v>65</v>
      </c>
      <c r="E196" s="83">
        <v>680</v>
      </c>
    </row>
    <row r="197" spans="1:5" ht="24" thickBot="1" x14ac:dyDescent="0.3">
      <c r="A197" s="464">
        <f>A195+B195</f>
        <v>15358</v>
      </c>
      <c r="B197" s="465"/>
      <c r="C197" s="81">
        <f>183</f>
        <v>183</v>
      </c>
      <c r="D197" s="82"/>
      <c r="E197" s="83"/>
    </row>
    <row r="198" spans="1:5" ht="24" thickBot="1" x14ac:dyDescent="0.3">
      <c r="A198" s="466" t="s">
        <v>99</v>
      </c>
      <c r="B198" s="467"/>
      <c r="C198" s="78">
        <f>A199-C199</f>
        <v>15541</v>
      </c>
      <c r="D198" s="82"/>
      <c r="E198" s="83"/>
    </row>
    <row r="199" spans="1:5" ht="21" thickBot="1" x14ac:dyDescent="0.3">
      <c r="A199" s="481">
        <f>C197+A197</f>
        <v>15541</v>
      </c>
      <c r="B199" s="482"/>
      <c r="C199" s="79"/>
      <c r="D199" s="82" t="s">
        <v>164</v>
      </c>
      <c r="E199" s="83">
        <f>SUM(E196:E198)</f>
        <v>680</v>
      </c>
    </row>
    <row r="200" spans="1:5" ht="24" thickBot="1" x14ac:dyDescent="0.3">
      <c r="C200" s="314" t="str">
        <f>IF(C198&gt;0,"زيادة","عجز")</f>
        <v>زيادة</v>
      </c>
    </row>
    <row r="201" spans="1:5" ht="15.75" thickBot="1" x14ac:dyDescent="0.3"/>
    <row r="202" spans="1:5" ht="24" thickBot="1" x14ac:dyDescent="0.3">
      <c r="A202" s="76" t="s">
        <v>60</v>
      </c>
      <c r="B202" s="460"/>
      <c r="C202" s="461"/>
    </row>
    <row r="203" spans="1:5" ht="21" thickBot="1" x14ac:dyDescent="0.3">
      <c r="A203" s="53" t="s">
        <v>137</v>
      </c>
      <c r="B203" s="53" t="s">
        <v>3</v>
      </c>
      <c r="C203" s="53" t="s">
        <v>138</v>
      </c>
    </row>
    <row r="204" spans="1:5" ht="18" x14ac:dyDescent="0.25">
      <c r="A204" s="55">
        <f>10000+10000+500+360+7</f>
        <v>20867</v>
      </c>
      <c r="B204" s="77">
        <v>670</v>
      </c>
      <c r="C204" s="57" t="s">
        <v>39</v>
      </c>
    </row>
    <row r="205" spans="1:5" ht="18" x14ac:dyDescent="0.25">
      <c r="A205" s="58"/>
      <c r="B205" s="56">
        <v>270</v>
      </c>
      <c r="C205" s="59" t="s">
        <v>41</v>
      </c>
    </row>
    <row r="206" spans="1:5" ht="18" x14ac:dyDescent="0.25">
      <c r="A206" s="58"/>
      <c r="B206" s="56">
        <v>495</v>
      </c>
      <c r="C206" s="59" t="s">
        <v>27</v>
      </c>
    </row>
    <row r="207" spans="1:5" ht="18" x14ac:dyDescent="0.25">
      <c r="A207" s="60"/>
      <c r="B207" s="56">
        <v>33</v>
      </c>
      <c r="C207" s="61" t="s">
        <v>73</v>
      </c>
    </row>
    <row r="208" spans="1:5" ht="18" x14ac:dyDescent="0.25">
      <c r="A208" s="60"/>
      <c r="B208" s="56"/>
      <c r="C208" s="86"/>
    </row>
    <row r="209" spans="1:5" ht="18" x14ac:dyDescent="0.25">
      <c r="A209" s="60"/>
      <c r="B209" s="56"/>
      <c r="C209" s="62"/>
    </row>
    <row r="210" spans="1:5" ht="18" x14ac:dyDescent="0.25">
      <c r="A210" s="60"/>
      <c r="B210" s="56"/>
      <c r="C210" s="62"/>
    </row>
    <row r="211" spans="1:5" ht="18" x14ac:dyDescent="0.25">
      <c r="A211" s="58"/>
      <c r="B211" s="56"/>
      <c r="C211" s="62"/>
    </row>
    <row r="212" spans="1:5" ht="18" x14ac:dyDescent="0.25">
      <c r="A212" s="58"/>
      <c r="B212" s="56"/>
      <c r="C212" s="63"/>
    </row>
    <row r="213" spans="1:5" ht="18.75" thickBot="1" x14ac:dyDescent="0.3">
      <c r="A213" s="58"/>
      <c r="B213" s="56"/>
      <c r="C213" s="64"/>
    </row>
    <row r="214" spans="1:5" ht="24" thickBot="1" x14ac:dyDescent="0.3">
      <c r="A214" s="66"/>
      <c r="B214" s="67"/>
      <c r="C214" s="64"/>
      <c r="D214" s="483" t="s">
        <v>43</v>
      </c>
      <c r="E214" s="484"/>
    </row>
    <row r="215" spans="1:5" ht="21" thickBot="1" x14ac:dyDescent="0.3">
      <c r="A215" s="68">
        <f>SUM(A204:A214)</f>
        <v>20867</v>
      </c>
      <c r="B215" s="69">
        <f>SUM(B204:B214)</f>
        <v>1468</v>
      </c>
      <c r="C215" s="70"/>
      <c r="D215" s="84" t="s">
        <v>94</v>
      </c>
      <c r="E215" s="85">
        <f>7904-5554</f>
        <v>2350</v>
      </c>
    </row>
    <row r="216" spans="1:5" ht="19.5" thickBot="1" x14ac:dyDescent="0.3">
      <c r="A216" s="462" t="s">
        <v>139</v>
      </c>
      <c r="B216" s="463"/>
      <c r="C216" s="71" t="s">
        <v>75</v>
      </c>
      <c r="D216" s="82" t="s">
        <v>65</v>
      </c>
      <c r="E216" s="83">
        <f>1350+500+420+2</f>
        <v>2272</v>
      </c>
    </row>
    <row r="217" spans="1:5" ht="24" thickBot="1" x14ac:dyDescent="0.3">
      <c r="A217" s="464">
        <f>A215+B215</f>
        <v>22335</v>
      </c>
      <c r="B217" s="465"/>
      <c r="C217" s="81"/>
      <c r="D217" s="82"/>
      <c r="E217" s="83"/>
    </row>
    <row r="218" spans="1:5" ht="24" thickBot="1" x14ac:dyDescent="0.3">
      <c r="A218" s="466" t="s">
        <v>99</v>
      </c>
      <c r="B218" s="467"/>
      <c r="C218" s="78">
        <f>A219-C219</f>
        <v>123</v>
      </c>
      <c r="D218" s="82"/>
      <c r="E218" s="83"/>
    </row>
    <row r="219" spans="1:5" ht="21" thickBot="1" x14ac:dyDescent="0.3">
      <c r="A219" s="481">
        <f>C217+A217</f>
        <v>22335</v>
      </c>
      <c r="B219" s="482"/>
      <c r="C219" s="79">
        <v>22212</v>
      </c>
      <c r="D219" s="82" t="s">
        <v>164</v>
      </c>
      <c r="E219" s="83">
        <f>SUM(E216:E218)</f>
        <v>2272</v>
      </c>
    </row>
    <row r="220" spans="1:5" ht="24" thickBot="1" x14ac:dyDescent="0.3">
      <c r="C220" s="314" t="str">
        <f>IF(C218&gt;0,"زيادة","عجز")</f>
        <v>زيادة</v>
      </c>
    </row>
  </sheetData>
  <mergeCells count="34">
    <mergeCell ref="D214:E214"/>
    <mergeCell ref="A216:B216"/>
    <mergeCell ref="A217:B217"/>
    <mergeCell ref="A218:B218"/>
    <mergeCell ref="A219:B219"/>
    <mergeCell ref="B202:C202"/>
    <mergeCell ref="D173:E173"/>
    <mergeCell ref="A175:B175"/>
    <mergeCell ref="A176:B176"/>
    <mergeCell ref="A177:B177"/>
    <mergeCell ref="A178:B178"/>
    <mergeCell ref="B182:C182"/>
    <mergeCell ref="D194:E194"/>
    <mergeCell ref="A196:B196"/>
    <mergeCell ref="A197:B197"/>
    <mergeCell ref="A198:B198"/>
    <mergeCell ref="A199:B199"/>
    <mergeCell ref="D143:E143"/>
    <mergeCell ref="A145:B145"/>
    <mergeCell ref="A146:B146"/>
    <mergeCell ref="A147:B147"/>
    <mergeCell ref="A148:B148"/>
    <mergeCell ref="B161:C161"/>
    <mergeCell ref="B131:C131"/>
    <mergeCell ref="A117:B117"/>
    <mergeCell ref="A118:B118"/>
    <mergeCell ref="A119:B119"/>
    <mergeCell ref="A120:B120"/>
    <mergeCell ref="B103:C103"/>
    <mergeCell ref="B83:C83"/>
    <mergeCell ref="A97:B97"/>
    <mergeCell ref="A98:B98"/>
    <mergeCell ref="A99:B99"/>
    <mergeCell ref="A100:B100"/>
  </mergeCells>
  <conditionalFormatting sqref="C101">
    <cfRule type="expression" dxfId="205" priority="11">
      <formula>C101="عجز"</formula>
    </cfRule>
    <cfRule type="expression" dxfId="204" priority="12">
      <formula>C101="زيادة"</formula>
    </cfRule>
  </conditionalFormatting>
  <conditionalFormatting sqref="C121">
    <cfRule type="expression" dxfId="203" priority="9">
      <formula>C121="عجز"</formula>
    </cfRule>
    <cfRule type="expression" dxfId="202" priority="10">
      <formula>C121="زيادة"</formula>
    </cfRule>
  </conditionalFormatting>
  <conditionalFormatting sqref="C146">
    <cfRule type="expression" dxfId="201" priority="13">
      <formula>$C$69="عجز"</formula>
    </cfRule>
    <cfRule type="expression" dxfId="200" priority="14">
      <formula>$C$69="زيادة"</formula>
    </cfRule>
  </conditionalFormatting>
  <conditionalFormatting sqref="C149 C179">
    <cfRule type="expression" dxfId="199" priority="5">
      <formula>C149="عجز"</formula>
    </cfRule>
    <cfRule type="expression" dxfId="198" priority="6">
      <formula>C149="زيادة"</formula>
    </cfRule>
  </conditionalFormatting>
  <conditionalFormatting sqref="C200">
    <cfRule type="expression" dxfId="197" priority="3">
      <formula>C200="عجز"</formula>
    </cfRule>
    <cfRule type="expression" dxfId="196" priority="4">
      <formula>C200="زيادة"</formula>
    </cfRule>
  </conditionalFormatting>
  <conditionalFormatting sqref="C220">
    <cfRule type="expression" dxfId="195" priority="1">
      <formula>C220="عجز"</formula>
    </cfRule>
    <cfRule type="expression" dxfId="194" priority="2">
      <formula>C220="زيادة"</formula>
    </cfRule>
  </conditionalFormatting>
  <pageMargins left="0.7" right="0.7" top="0.75" bottom="0.75" header="0.3" footer="0.3"/>
  <pageSetup paperSize="260" orientation="portrait" horizontalDpi="203" verticalDpi="203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B172AA-71E2-4BF4-B826-C947720CDD47}">
          <x14:formula1>
            <xm:f>data!$A$57:$A$70</xm:f>
          </x14:formula1>
          <xm:sqref>C73:C79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637C-E1B1-4D5C-992B-7F9BCE9CEAC7}">
  <sheetPr codeName="Sheet2"/>
  <dimension ref="A1:K2516"/>
  <sheetViews>
    <sheetView rightToLeft="1" tabSelected="1" zoomScale="95" zoomScaleNormal="95" workbookViewId="0">
      <pane ySplit="4" topLeftCell="A2465" activePane="bottomLeft" state="frozen"/>
      <selection activeCell="A44" sqref="A44"/>
      <selection pane="bottomLeft" activeCell="E2482" sqref="E2482:E2485"/>
    </sheetView>
  </sheetViews>
  <sheetFormatPr defaultColWidth="8.85546875" defaultRowHeight="15.75" x14ac:dyDescent="0.25"/>
  <cols>
    <col min="1" max="1" width="12.7109375" style="220" bestFit="1" customWidth="1"/>
    <col min="2" max="2" width="12.85546875" style="221" customWidth="1"/>
    <col min="3" max="3" width="35.42578125" style="219" bestFit="1" customWidth="1"/>
    <col min="4" max="4" width="19.42578125" style="221" bestFit="1" customWidth="1"/>
    <col min="5" max="5" width="12.85546875" style="221" bestFit="1" customWidth="1"/>
    <col min="6" max="6" width="30.42578125" style="219" customWidth="1"/>
    <col min="7" max="7" width="19.5703125" style="221" bestFit="1" customWidth="1"/>
    <col min="8" max="8" width="16" style="222" bestFit="1" customWidth="1"/>
    <col min="9" max="9" width="56.42578125" style="219" bestFit="1" customWidth="1"/>
    <col min="10" max="10" width="17.5703125" style="221" customWidth="1"/>
    <col min="11" max="11" width="18.7109375" style="221" customWidth="1"/>
    <col min="12" max="16384" width="8.85546875" style="219"/>
  </cols>
  <sheetData>
    <row r="1" spans="1:10" ht="26.45" customHeight="1" x14ac:dyDescent="0.25">
      <c r="A1" s="459" t="s">
        <v>748</v>
      </c>
      <c r="B1" s="459"/>
      <c r="C1" s="459"/>
      <c r="D1" s="218" t="s">
        <v>749</v>
      </c>
      <c r="E1" s="218" t="s">
        <v>363</v>
      </c>
      <c r="F1" s="218" t="s">
        <v>762</v>
      </c>
      <c r="G1" s="263" t="s">
        <v>750</v>
      </c>
      <c r="H1" s="263" t="s">
        <v>752</v>
      </c>
      <c r="I1" s="263"/>
    </row>
    <row r="2" spans="1:10" ht="16.5" thickBot="1" x14ac:dyDescent="0.3">
      <c r="C2" s="221"/>
      <c r="D2" s="218" t="s">
        <v>751</v>
      </c>
      <c r="E2" s="218" t="s">
        <v>755</v>
      </c>
      <c r="F2" s="218" t="s">
        <v>764</v>
      </c>
      <c r="G2" s="263" t="s">
        <v>754</v>
      </c>
      <c r="H2" s="263" t="s">
        <v>756</v>
      </c>
      <c r="I2" s="263" t="s">
        <v>15</v>
      </c>
    </row>
    <row r="3" spans="1:10" ht="24" customHeight="1" thickBot="1" x14ac:dyDescent="0.3">
      <c r="B3" s="223">
        <v>18598</v>
      </c>
      <c r="C3" s="224" t="s">
        <v>753</v>
      </c>
      <c r="D3" s="218"/>
      <c r="E3" s="218" t="s">
        <v>266</v>
      </c>
      <c r="F3" s="218" t="s">
        <v>1162</v>
      </c>
      <c r="G3" s="266"/>
      <c r="H3" s="263" t="s">
        <v>85</v>
      </c>
      <c r="I3" s="263" t="s">
        <v>24</v>
      </c>
    </row>
    <row r="4" spans="1:10" s="231" customFormat="1" ht="21.6" customHeight="1" thickBot="1" x14ac:dyDescent="0.3">
      <c r="A4" s="409" t="s">
        <v>0</v>
      </c>
      <c r="B4" s="410" t="s">
        <v>757</v>
      </c>
      <c r="C4" s="411" t="s">
        <v>758</v>
      </c>
      <c r="D4" s="412" t="s">
        <v>759</v>
      </c>
      <c r="E4" s="410" t="s">
        <v>757</v>
      </c>
      <c r="F4" s="413" t="s">
        <v>760</v>
      </c>
      <c r="G4" s="411" t="s">
        <v>759</v>
      </c>
      <c r="H4" s="414" t="s">
        <v>1334</v>
      </c>
      <c r="I4" s="410" t="s">
        <v>761</v>
      </c>
    </row>
    <row r="5" spans="1:10" x14ac:dyDescent="0.25">
      <c r="A5" s="232">
        <v>45108</v>
      </c>
      <c r="B5" s="233"/>
      <c r="C5" s="234"/>
      <c r="D5" s="235"/>
      <c r="E5" s="233"/>
      <c r="F5" s="236"/>
      <c r="G5" s="235"/>
      <c r="H5" s="271">
        <f>B3+B5-E5</f>
        <v>18598</v>
      </c>
      <c r="I5" s="270" t="s">
        <v>967</v>
      </c>
      <c r="J5" s="221" t="b">
        <f>EXACT(E6,[1]Main!E6)</f>
        <v>1</v>
      </c>
    </row>
    <row r="6" spans="1:10" x14ac:dyDescent="0.25">
      <c r="A6" s="232">
        <v>45108</v>
      </c>
      <c r="B6" s="237">
        <v>14870</v>
      </c>
      <c r="C6" s="238" t="s">
        <v>9</v>
      </c>
      <c r="D6" s="239" t="s">
        <v>763</v>
      </c>
      <c r="E6" s="233">
        <v>9630</v>
      </c>
      <c r="F6" s="236" t="s">
        <v>95</v>
      </c>
      <c r="G6" s="239" t="s">
        <v>928</v>
      </c>
      <c r="H6" s="240">
        <f>H5+B6-E6</f>
        <v>23838</v>
      </c>
      <c r="I6" s="241"/>
      <c r="J6" s="221" t="b">
        <f>EXACT(E7,[1]Main!E7)</f>
        <v>1</v>
      </c>
    </row>
    <row r="7" spans="1:10" x14ac:dyDescent="0.25">
      <c r="A7" s="232">
        <v>45108</v>
      </c>
      <c r="B7" s="237">
        <v>1532</v>
      </c>
      <c r="C7" s="238" t="s">
        <v>28</v>
      </c>
      <c r="D7" s="239" t="s">
        <v>765</v>
      </c>
      <c r="E7" s="237">
        <v>145</v>
      </c>
      <c r="F7" s="242" t="s">
        <v>19</v>
      </c>
      <c r="G7" s="239" t="s">
        <v>930</v>
      </c>
      <c r="H7" s="240">
        <f t="shared" ref="H7:H70" si="0">H6+B7-E7</f>
        <v>25225</v>
      </c>
      <c r="I7" s="241"/>
      <c r="J7" s="221" t="b">
        <f>EXACT(E8,[1]Main!E8)</f>
        <v>1</v>
      </c>
    </row>
    <row r="8" spans="1:10" x14ac:dyDescent="0.25">
      <c r="A8" s="232">
        <v>45108</v>
      </c>
      <c r="B8" s="237">
        <v>2135</v>
      </c>
      <c r="C8" s="238" t="s">
        <v>24</v>
      </c>
      <c r="D8" s="239" t="s">
        <v>766</v>
      </c>
      <c r="E8" s="237">
        <v>140</v>
      </c>
      <c r="F8" s="242" t="s">
        <v>29</v>
      </c>
      <c r="G8" s="239" t="s">
        <v>930</v>
      </c>
      <c r="H8" s="240">
        <f t="shared" si="0"/>
        <v>27220</v>
      </c>
      <c r="I8" s="241"/>
      <c r="J8" s="221" t="b">
        <f>EXACT(E9,[1]Main!E9)</f>
        <v>1</v>
      </c>
    </row>
    <row r="9" spans="1:10" x14ac:dyDescent="0.25">
      <c r="A9" s="232">
        <v>45108</v>
      </c>
      <c r="B9" s="237">
        <v>17812</v>
      </c>
      <c r="C9" s="238" t="s">
        <v>15</v>
      </c>
      <c r="D9" s="239" t="s">
        <v>766</v>
      </c>
      <c r="E9" s="237">
        <v>1855</v>
      </c>
      <c r="F9" s="242" t="s">
        <v>68</v>
      </c>
      <c r="G9" s="239" t="s">
        <v>928</v>
      </c>
      <c r="H9" s="240">
        <f t="shared" si="0"/>
        <v>43177</v>
      </c>
      <c r="I9" s="241"/>
      <c r="J9" s="221" t="b">
        <f>EXACT(E10,[1]Main!E10)</f>
        <v>1</v>
      </c>
    </row>
    <row r="10" spans="1:10" x14ac:dyDescent="0.25">
      <c r="A10" s="232">
        <v>45108</v>
      </c>
      <c r="B10" s="237">
        <v>259</v>
      </c>
      <c r="C10" s="238" t="s">
        <v>767</v>
      </c>
      <c r="D10" s="239" t="s">
        <v>768</v>
      </c>
      <c r="E10" s="237">
        <v>1345</v>
      </c>
      <c r="F10" s="242" t="s">
        <v>69</v>
      </c>
      <c r="G10" s="239" t="s">
        <v>928</v>
      </c>
      <c r="H10" s="240">
        <f t="shared" si="0"/>
        <v>42091</v>
      </c>
      <c r="I10" s="241"/>
      <c r="J10" s="221" t="b">
        <f>EXACT(E11,[1]Main!E11)</f>
        <v>1</v>
      </c>
    </row>
    <row r="11" spans="1:10" x14ac:dyDescent="0.25">
      <c r="A11" s="232">
        <v>45108</v>
      </c>
      <c r="B11" s="237">
        <v>5</v>
      </c>
      <c r="C11" s="238" t="s">
        <v>21</v>
      </c>
      <c r="D11" s="239" t="s">
        <v>924</v>
      </c>
      <c r="E11" s="237">
        <v>75</v>
      </c>
      <c r="F11" s="242" t="s">
        <v>10</v>
      </c>
      <c r="G11" s="239" t="s">
        <v>930</v>
      </c>
      <c r="H11" s="240">
        <f t="shared" si="0"/>
        <v>42021</v>
      </c>
      <c r="I11" s="241"/>
      <c r="J11" s="221" t="b">
        <f>EXACT(E12,[1]Main!E12)</f>
        <v>1</v>
      </c>
    </row>
    <row r="12" spans="1:10" x14ac:dyDescent="0.25">
      <c r="A12" s="232">
        <v>45108</v>
      </c>
      <c r="B12" s="237">
        <v>15015</v>
      </c>
      <c r="C12" s="238" t="s">
        <v>80</v>
      </c>
      <c r="D12" s="239" t="s">
        <v>763</v>
      </c>
      <c r="E12" s="237">
        <v>50</v>
      </c>
      <c r="F12" s="242" t="s">
        <v>98</v>
      </c>
      <c r="G12" s="239" t="s">
        <v>464</v>
      </c>
      <c r="H12" s="240">
        <f t="shared" si="0"/>
        <v>56986</v>
      </c>
      <c r="I12" s="241"/>
      <c r="J12" s="221" t="b">
        <f>EXACT(E13,[1]Main!E13)</f>
        <v>1</v>
      </c>
    </row>
    <row r="13" spans="1:10" x14ac:dyDescent="0.25">
      <c r="A13" s="232">
        <v>45108</v>
      </c>
      <c r="B13" s="237">
        <v>1962</v>
      </c>
      <c r="C13" s="238" t="s">
        <v>81</v>
      </c>
      <c r="D13" s="239" t="s">
        <v>765</v>
      </c>
      <c r="E13" s="237">
        <v>147</v>
      </c>
      <c r="F13" s="242" t="s">
        <v>73</v>
      </c>
      <c r="G13" s="239" t="s">
        <v>945</v>
      </c>
      <c r="H13" s="240">
        <f t="shared" si="0"/>
        <v>58801</v>
      </c>
      <c r="I13" s="241"/>
      <c r="J13" s="221" t="b">
        <f>EXACT(E14,[1]Main!E14)</f>
        <v>1</v>
      </c>
    </row>
    <row r="14" spans="1:10" x14ac:dyDescent="0.25">
      <c r="A14" s="232">
        <v>45108</v>
      </c>
      <c r="B14" s="237">
        <v>11275</v>
      </c>
      <c r="C14" s="238" t="s">
        <v>85</v>
      </c>
      <c r="D14" s="239" t="s">
        <v>766</v>
      </c>
      <c r="E14" s="237">
        <v>55</v>
      </c>
      <c r="F14" s="242" t="s">
        <v>101</v>
      </c>
      <c r="G14" s="239" t="s">
        <v>930</v>
      </c>
      <c r="H14" s="240">
        <f t="shared" si="0"/>
        <v>70021</v>
      </c>
      <c r="I14" s="241"/>
      <c r="J14" s="221" t="b">
        <f>EXACT(E15,[1]Main!E15)</f>
        <v>1</v>
      </c>
    </row>
    <row r="15" spans="1:10" x14ac:dyDescent="0.25">
      <c r="A15" s="232">
        <v>45108</v>
      </c>
      <c r="B15" s="237">
        <v>13221</v>
      </c>
      <c r="C15" s="238" t="s">
        <v>121</v>
      </c>
      <c r="D15" s="239" t="s">
        <v>766</v>
      </c>
      <c r="E15" s="237">
        <v>100</v>
      </c>
      <c r="F15" s="242" t="s">
        <v>87</v>
      </c>
      <c r="G15" s="239" t="s">
        <v>930</v>
      </c>
      <c r="H15" s="240">
        <f t="shared" si="0"/>
        <v>83142</v>
      </c>
      <c r="I15" s="241"/>
      <c r="J15" s="221" t="b">
        <f>EXACT(E16,[1]Main!E16)</f>
        <v>1</v>
      </c>
    </row>
    <row r="16" spans="1:10" x14ac:dyDescent="0.25">
      <c r="A16" s="232">
        <v>45108</v>
      </c>
      <c r="B16" s="237">
        <v>1080</v>
      </c>
      <c r="C16" s="238" t="s">
        <v>770</v>
      </c>
      <c r="D16" s="239" t="s">
        <v>768</v>
      </c>
      <c r="E16" s="237">
        <v>100</v>
      </c>
      <c r="F16" s="242" t="s">
        <v>102</v>
      </c>
      <c r="G16" s="239" t="s">
        <v>464</v>
      </c>
      <c r="H16" s="240">
        <f t="shared" si="0"/>
        <v>84122</v>
      </c>
      <c r="I16" s="241"/>
      <c r="J16" s="221" t="b">
        <f>EXACT(E17,[1]Main!E17)</f>
        <v>1</v>
      </c>
    </row>
    <row r="17" spans="1:10" x14ac:dyDescent="0.25">
      <c r="A17" s="232">
        <v>45108</v>
      </c>
      <c r="B17" s="237">
        <v>5300</v>
      </c>
      <c r="C17" s="238" t="s">
        <v>129</v>
      </c>
      <c r="D17" s="239" t="s">
        <v>771</v>
      </c>
      <c r="E17" s="237">
        <v>440</v>
      </c>
      <c r="F17" s="242" t="s">
        <v>72</v>
      </c>
      <c r="G17" s="239" t="s">
        <v>930</v>
      </c>
      <c r="H17" s="240">
        <f t="shared" si="0"/>
        <v>88982</v>
      </c>
      <c r="I17" s="241"/>
      <c r="J17" s="221" t="b">
        <f>EXACT(E18,[1]Main!E18)</f>
        <v>1</v>
      </c>
    </row>
    <row r="18" spans="1:10" x14ac:dyDescent="0.25">
      <c r="A18" s="232">
        <v>45108</v>
      </c>
      <c r="B18" s="237">
        <v>26376</v>
      </c>
      <c r="C18" s="238" t="s">
        <v>88</v>
      </c>
      <c r="D18" s="239" t="s">
        <v>766</v>
      </c>
      <c r="E18" s="237">
        <v>100</v>
      </c>
      <c r="F18" s="242" t="s">
        <v>103</v>
      </c>
      <c r="G18" s="239" t="s">
        <v>464</v>
      </c>
      <c r="H18" s="240">
        <f t="shared" si="0"/>
        <v>115258</v>
      </c>
      <c r="I18" s="241" t="s">
        <v>103</v>
      </c>
      <c r="J18" s="221" t="b">
        <f>EXACT(E19,[1]Main!E19)</f>
        <v>1</v>
      </c>
    </row>
    <row r="19" spans="1:10" x14ac:dyDescent="0.25">
      <c r="A19" s="232">
        <v>45108</v>
      </c>
      <c r="B19" s="237">
        <v>150</v>
      </c>
      <c r="C19" s="238" t="s">
        <v>747</v>
      </c>
      <c r="D19" s="239" t="s">
        <v>768</v>
      </c>
      <c r="E19" s="237">
        <v>20</v>
      </c>
      <c r="F19" s="242" t="s">
        <v>104</v>
      </c>
      <c r="G19" s="239" t="s">
        <v>464</v>
      </c>
      <c r="H19" s="240">
        <f t="shared" si="0"/>
        <v>115388</v>
      </c>
      <c r="I19" s="241"/>
      <c r="J19" s="221" t="b">
        <f>EXACT(E20,[1]Main!E20)</f>
        <v>1</v>
      </c>
    </row>
    <row r="20" spans="1:10" x14ac:dyDescent="0.25">
      <c r="A20" s="232">
        <v>45108</v>
      </c>
      <c r="B20" s="237">
        <v>405</v>
      </c>
      <c r="C20" s="238" t="s">
        <v>22</v>
      </c>
      <c r="D20" s="239" t="s">
        <v>772</v>
      </c>
      <c r="E20" s="237">
        <v>5</v>
      </c>
      <c r="F20" s="242" t="s">
        <v>105</v>
      </c>
      <c r="G20" s="239" t="s">
        <v>464</v>
      </c>
      <c r="H20" s="240">
        <f t="shared" si="0"/>
        <v>115788</v>
      </c>
      <c r="I20" s="241"/>
      <c r="J20" s="221" t="b">
        <f>EXACT(E21,[1]Main!E21)</f>
        <v>1</v>
      </c>
    </row>
    <row r="21" spans="1:10" x14ac:dyDescent="0.25">
      <c r="A21" s="232">
        <v>45108</v>
      </c>
      <c r="B21" s="237">
        <v>200</v>
      </c>
      <c r="C21" s="238" t="s">
        <v>22</v>
      </c>
      <c r="D21" s="239" t="s">
        <v>772</v>
      </c>
      <c r="E21" s="237">
        <v>10</v>
      </c>
      <c r="F21" s="242" t="s">
        <v>106</v>
      </c>
      <c r="G21" s="239" t="s">
        <v>464</v>
      </c>
      <c r="H21" s="240">
        <f t="shared" si="0"/>
        <v>115978</v>
      </c>
      <c r="I21" s="241"/>
      <c r="J21" s="221" t="b">
        <f>EXACT(E22,[1]Main!E22)</f>
        <v>1</v>
      </c>
    </row>
    <row r="22" spans="1:10" x14ac:dyDescent="0.25">
      <c r="A22" s="232">
        <v>45108</v>
      </c>
      <c r="B22" s="237">
        <v>200</v>
      </c>
      <c r="C22" s="238" t="s">
        <v>358</v>
      </c>
      <c r="D22" s="239" t="s">
        <v>938</v>
      </c>
      <c r="E22" s="237">
        <v>155</v>
      </c>
      <c r="F22" s="242" t="s">
        <v>107</v>
      </c>
      <c r="G22" s="239" t="s">
        <v>930</v>
      </c>
      <c r="H22" s="240">
        <f t="shared" si="0"/>
        <v>116023</v>
      </c>
      <c r="I22" s="241"/>
      <c r="J22" s="221" t="b">
        <f>EXACT(E23,[1]Main!E23)</f>
        <v>1</v>
      </c>
    </row>
    <row r="23" spans="1:10" x14ac:dyDescent="0.25">
      <c r="A23" s="232">
        <v>45108</v>
      </c>
      <c r="B23" s="237">
        <v>23574</v>
      </c>
      <c r="C23" s="238" t="s">
        <v>60</v>
      </c>
      <c r="D23" s="239" t="s">
        <v>763</v>
      </c>
      <c r="E23" s="237">
        <v>745</v>
      </c>
      <c r="F23" s="242" t="s">
        <v>34</v>
      </c>
      <c r="G23" s="239" t="s">
        <v>930</v>
      </c>
      <c r="H23" s="240">
        <f t="shared" si="0"/>
        <v>138852</v>
      </c>
      <c r="I23" s="241"/>
      <c r="J23" s="221" t="b">
        <f>EXACT(E24,[1]Main!E24)</f>
        <v>1</v>
      </c>
    </row>
    <row r="24" spans="1:10" x14ac:dyDescent="0.25">
      <c r="A24" s="232">
        <v>45108</v>
      </c>
      <c r="B24" s="237">
        <v>1425</v>
      </c>
      <c r="C24" s="238" t="s">
        <v>62</v>
      </c>
      <c r="D24" s="239" t="s">
        <v>765</v>
      </c>
      <c r="E24" s="237">
        <v>265</v>
      </c>
      <c r="F24" s="242" t="s">
        <v>8</v>
      </c>
      <c r="G24" s="239" t="s">
        <v>930</v>
      </c>
      <c r="H24" s="240">
        <f t="shared" si="0"/>
        <v>140012</v>
      </c>
      <c r="I24" s="241"/>
      <c r="J24" s="221" t="b">
        <f>EXACT(E25,[1]Main!E25)</f>
        <v>1</v>
      </c>
    </row>
    <row r="25" spans="1:10" x14ac:dyDescent="0.25">
      <c r="A25" s="232">
        <v>45108</v>
      </c>
      <c r="B25" s="237">
        <v>6000</v>
      </c>
      <c r="C25" s="238" t="s">
        <v>145</v>
      </c>
      <c r="D25" s="239" t="s">
        <v>766</v>
      </c>
      <c r="E25" s="237">
        <v>1417</v>
      </c>
      <c r="F25" s="242" t="s">
        <v>112</v>
      </c>
      <c r="G25" s="239" t="s">
        <v>929</v>
      </c>
      <c r="H25" s="240">
        <f t="shared" si="0"/>
        <v>144595</v>
      </c>
      <c r="I25" s="241"/>
      <c r="J25" s="221" t="b">
        <f>EXACT(E26,[1]Main!E26)</f>
        <v>1</v>
      </c>
    </row>
    <row r="26" spans="1:10" x14ac:dyDescent="0.25">
      <c r="A26" s="232">
        <v>45108</v>
      </c>
      <c r="B26" s="237">
        <v>4955</v>
      </c>
      <c r="C26" s="261" t="s">
        <v>147</v>
      </c>
      <c r="D26" s="239" t="s">
        <v>772</v>
      </c>
      <c r="E26" s="237">
        <v>33.5</v>
      </c>
      <c r="F26" s="242" t="s">
        <v>73</v>
      </c>
      <c r="G26" s="239" t="s">
        <v>945</v>
      </c>
      <c r="H26" s="240">
        <f t="shared" si="0"/>
        <v>149516.5</v>
      </c>
      <c r="I26" s="241"/>
      <c r="J26" s="221" t="b">
        <f>EXACT(E27,[1]Main!E27)</f>
        <v>1</v>
      </c>
    </row>
    <row r="27" spans="1:10" x14ac:dyDescent="0.25">
      <c r="A27" s="232">
        <v>45108</v>
      </c>
      <c r="B27" s="237"/>
      <c r="C27" s="238"/>
      <c r="D27" s="239"/>
      <c r="E27" s="237">
        <v>10175</v>
      </c>
      <c r="F27" s="242" t="s">
        <v>49</v>
      </c>
      <c r="G27" s="239" t="s">
        <v>928</v>
      </c>
      <c r="H27" s="240">
        <f t="shared" si="0"/>
        <v>139341.5</v>
      </c>
      <c r="I27" s="241"/>
      <c r="J27" s="221" t="b">
        <f>EXACT(E28,[1]Main!E28)</f>
        <v>1</v>
      </c>
    </row>
    <row r="28" spans="1:10" x14ac:dyDescent="0.25">
      <c r="A28" s="232">
        <v>45108</v>
      </c>
      <c r="B28" s="237"/>
      <c r="C28" s="238"/>
      <c r="D28" s="239"/>
      <c r="E28" s="237">
        <v>485</v>
      </c>
      <c r="F28" s="242" t="s">
        <v>37</v>
      </c>
      <c r="G28" s="239" t="s">
        <v>928</v>
      </c>
      <c r="H28" s="240">
        <f t="shared" si="0"/>
        <v>138856.5</v>
      </c>
      <c r="I28" s="241"/>
      <c r="J28" s="221" t="b">
        <f>EXACT(E29,[1]Main!E29)</f>
        <v>1</v>
      </c>
    </row>
    <row r="29" spans="1:10" x14ac:dyDescent="0.25">
      <c r="A29" s="232">
        <v>45108</v>
      </c>
      <c r="B29" s="237"/>
      <c r="C29" s="238"/>
      <c r="D29" s="239"/>
      <c r="E29" s="237">
        <v>1300</v>
      </c>
      <c r="F29" s="242" t="s">
        <v>1456</v>
      </c>
      <c r="G29" s="239" t="s">
        <v>931</v>
      </c>
      <c r="H29" s="240">
        <f t="shared" si="0"/>
        <v>137556.5</v>
      </c>
      <c r="I29" s="241"/>
      <c r="J29" s="221" t="b">
        <f>EXACT(E30,[1]Main!E30)</f>
        <v>1</v>
      </c>
    </row>
    <row r="30" spans="1:10" x14ac:dyDescent="0.25">
      <c r="A30" s="232">
        <v>45108</v>
      </c>
      <c r="B30" s="237"/>
      <c r="C30" s="238"/>
      <c r="D30" s="239"/>
      <c r="E30" s="237">
        <v>500</v>
      </c>
      <c r="F30" s="242" t="s">
        <v>74</v>
      </c>
      <c r="G30" s="239" t="s">
        <v>464</v>
      </c>
      <c r="H30" s="240">
        <f t="shared" si="0"/>
        <v>137056.5</v>
      </c>
      <c r="I30" s="241" t="s">
        <v>184</v>
      </c>
      <c r="J30" s="221" t="b">
        <f>EXACT(E31,[1]Main!E31)</f>
        <v>1</v>
      </c>
    </row>
    <row r="31" spans="1:10" x14ac:dyDescent="0.25">
      <c r="A31" s="232">
        <v>45108</v>
      </c>
      <c r="B31" s="237"/>
      <c r="C31" s="238"/>
      <c r="D31" s="239"/>
      <c r="E31" s="237">
        <v>40</v>
      </c>
      <c r="F31" s="242" t="s">
        <v>73</v>
      </c>
      <c r="G31" s="493"/>
      <c r="H31" s="240">
        <f t="shared" si="0"/>
        <v>137016.5</v>
      </c>
      <c r="I31" s="241"/>
      <c r="J31" s="221" t="b">
        <f>EXACT(E32,[1]Main!E32)</f>
        <v>1</v>
      </c>
    </row>
    <row r="32" spans="1:10" x14ac:dyDescent="0.25">
      <c r="A32" s="232">
        <v>45108</v>
      </c>
      <c r="B32" s="237"/>
      <c r="C32" s="238"/>
      <c r="D32" s="239"/>
      <c r="E32" s="237">
        <v>50</v>
      </c>
      <c r="F32" s="242" t="s">
        <v>71</v>
      </c>
      <c r="G32" s="239"/>
      <c r="H32" s="240">
        <f t="shared" si="0"/>
        <v>136966.5</v>
      </c>
      <c r="I32" s="241"/>
      <c r="J32" s="221" t="b">
        <f>EXACT(E33,[1]Main!E33)</f>
        <v>1</v>
      </c>
    </row>
    <row r="33" spans="1:10" x14ac:dyDescent="0.25">
      <c r="A33" s="232">
        <v>45108</v>
      </c>
      <c r="B33" s="237"/>
      <c r="C33" s="238"/>
      <c r="D33" s="239"/>
      <c r="E33" s="237">
        <v>72</v>
      </c>
      <c r="F33" s="242" t="s">
        <v>119</v>
      </c>
      <c r="G33" s="239"/>
      <c r="H33" s="240">
        <f t="shared" si="0"/>
        <v>136894.5</v>
      </c>
      <c r="I33" s="241" t="s">
        <v>750</v>
      </c>
      <c r="J33" s="221" t="b">
        <f>EXACT(E34,[1]Main!E34)</f>
        <v>1</v>
      </c>
    </row>
    <row r="34" spans="1:10" x14ac:dyDescent="0.25">
      <c r="A34" s="232">
        <v>45108</v>
      </c>
      <c r="B34" s="237"/>
      <c r="C34" s="238"/>
      <c r="D34" s="239"/>
      <c r="E34" s="237">
        <v>174.5</v>
      </c>
      <c r="F34" s="242" t="s">
        <v>124</v>
      </c>
      <c r="G34" s="239" t="s">
        <v>945</v>
      </c>
      <c r="H34" s="240">
        <f t="shared" si="0"/>
        <v>136720</v>
      </c>
      <c r="I34" s="241"/>
      <c r="J34" s="221" t="b">
        <f>EXACT(E35,[1]Main!E35)</f>
        <v>1</v>
      </c>
    </row>
    <row r="35" spans="1:10" x14ac:dyDescent="0.25">
      <c r="A35" s="232">
        <v>45108</v>
      </c>
      <c r="B35" s="237"/>
      <c r="C35" s="238"/>
      <c r="D35" s="239"/>
      <c r="E35" s="237">
        <v>50</v>
      </c>
      <c r="F35" s="242" t="s">
        <v>30</v>
      </c>
      <c r="G35" s="239" t="s">
        <v>930</v>
      </c>
      <c r="H35" s="240">
        <f t="shared" si="0"/>
        <v>136670</v>
      </c>
      <c r="I35" s="241"/>
      <c r="J35" s="221" t="b">
        <f>EXACT(E36,[1]Main!E36)</f>
        <v>1</v>
      </c>
    </row>
    <row r="36" spans="1:10" x14ac:dyDescent="0.25">
      <c r="A36" s="232">
        <v>45108</v>
      </c>
      <c r="B36" s="237"/>
      <c r="C36" s="238"/>
      <c r="D36" s="239"/>
      <c r="E36" s="237">
        <v>1000</v>
      </c>
      <c r="F36" s="242" t="s">
        <v>120</v>
      </c>
      <c r="G36" s="239">
        <f>2000+43</f>
        <v>2043</v>
      </c>
      <c r="H36" s="240">
        <f t="shared" si="0"/>
        <v>135670</v>
      </c>
      <c r="I36" s="241" t="s">
        <v>284</v>
      </c>
      <c r="J36" s="221" t="b">
        <f>EXACT(E37,[1]Main!E37)</f>
        <v>1</v>
      </c>
    </row>
    <row r="37" spans="1:10" x14ac:dyDescent="0.25">
      <c r="A37" s="232">
        <v>45108</v>
      </c>
      <c r="B37" s="237"/>
      <c r="C37" s="238"/>
      <c r="D37" s="239"/>
      <c r="E37" s="237">
        <v>1000</v>
      </c>
      <c r="F37" s="242" t="s">
        <v>122</v>
      </c>
      <c r="G37" s="239" t="s">
        <v>939</v>
      </c>
      <c r="H37" s="240">
        <f t="shared" si="0"/>
        <v>134670</v>
      </c>
      <c r="I37" s="241" t="s">
        <v>1147</v>
      </c>
      <c r="J37" s="221" t="b">
        <f>EXACT(E38,[1]Main!E38)</f>
        <v>1</v>
      </c>
    </row>
    <row r="38" spans="1:10" x14ac:dyDescent="0.25">
      <c r="A38" s="232">
        <v>45108</v>
      </c>
      <c r="B38" s="237"/>
      <c r="C38" s="238"/>
      <c r="D38" s="239"/>
      <c r="E38" s="237">
        <v>6000</v>
      </c>
      <c r="F38" s="242" t="s">
        <v>43</v>
      </c>
      <c r="G38" s="239" t="s">
        <v>941</v>
      </c>
      <c r="H38" s="240">
        <f t="shared" si="0"/>
        <v>128670</v>
      </c>
      <c r="I38" s="241" t="s">
        <v>11</v>
      </c>
      <c r="J38" s="221" t="b">
        <f>EXACT(E39,[1]Main!E39)</f>
        <v>1</v>
      </c>
    </row>
    <row r="39" spans="1:10" x14ac:dyDescent="0.25">
      <c r="A39" s="232">
        <v>45108</v>
      </c>
      <c r="B39" s="237"/>
      <c r="C39" s="238"/>
      <c r="D39" s="239"/>
      <c r="E39" s="237">
        <v>105</v>
      </c>
      <c r="F39" s="242" t="s">
        <v>32</v>
      </c>
      <c r="G39" s="239" t="s">
        <v>930</v>
      </c>
      <c r="H39" s="240">
        <f t="shared" si="0"/>
        <v>128565</v>
      </c>
      <c r="I39" s="241" t="s">
        <v>1603</v>
      </c>
      <c r="J39" s="221" t="b">
        <f>EXACT(E40,[1]Main!E40)</f>
        <v>1</v>
      </c>
    </row>
    <row r="40" spans="1:10" x14ac:dyDescent="0.25">
      <c r="A40" s="232">
        <v>45108</v>
      </c>
      <c r="B40" s="237"/>
      <c r="C40" s="238"/>
      <c r="D40" s="239"/>
      <c r="E40" s="237">
        <v>215</v>
      </c>
      <c r="F40" s="242" t="s">
        <v>59</v>
      </c>
      <c r="G40" s="239" t="s">
        <v>930</v>
      </c>
      <c r="H40" s="240">
        <f t="shared" si="0"/>
        <v>128350</v>
      </c>
      <c r="I40" s="241" t="s">
        <v>1060</v>
      </c>
      <c r="J40" s="221" t="b">
        <f>EXACT(E41,[1]Main!E41)</f>
        <v>1</v>
      </c>
    </row>
    <row r="41" spans="1:10" x14ac:dyDescent="0.25">
      <c r="A41" s="232">
        <v>45108</v>
      </c>
      <c r="B41" s="237"/>
      <c r="C41" s="238"/>
      <c r="D41" s="239"/>
      <c r="E41" s="237">
        <v>100</v>
      </c>
      <c r="F41" s="242" t="s">
        <v>89</v>
      </c>
      <c r="G41" s="239" t="s">
        <v>930</v>
      </c>
      <c r="H41" s="240">
        <f t="shared" si="0"/>
        <v>128250</v>
      </c>
      <c r="I41" s="241" t="s">
        <v>56</v>
      </c>
      <c r="J41" s="221" t="b">
        <f>EXACT(E42,[1]Main!E42)</f>
        <v>1</v>
      </c>
    </row>
    <row r="42" spans="1:10" x14ac:dyDescent="0.25">
      <c r="A42" s="232">
        <v>45108</v>
      </c>
      <c r="B42" s="237"/>
      <c r="C42" s="238"/>
      <c r="D42" s="239"/>
      <c r="E42" s="237">
        <v>155</v>
      </c>
      <c r="F42" s="242" t="s">
        <v>125</v>
      </c>
      <c r="G42" s="239" t="s">
        <v>930</v>
      </c>
      <c r="H42" s="240">
        <f t="shared" si="0"/>
        <v>128095</v>
      </c>
      <c r="I42" s="241" t="s">
        <v>252</v>
      </c>
      <c r="J42" s="221" t="b">
        <f>EXACT(E43,[1]Main!E43)</f>
        <v>1</v>
      </c>
    </row>
    <row r="43" spans="1:10" x14ac:dyDescent="0.25">
      <c r="A43" s="232">
        <v>45108</v>
      </c>
      <c r="B43" s="237"/>
      <c r="C43" s="238"/>
      <c r="D43" s="239"/>
      <c r="E43" s="237">
        <v>240</v>
      </c>
      <c r="F43" s="242" t="s">
        <v>50</v>
      </c>
      <c r="G43" s="239" t="s">
        <v>931</v>
      </c>
      <c r="H43" s="240">
        <f t="shared" si="0"/>
        <v>127855</v>
      </c>
      <c r="I43" s="241" t="s">
        <v>12</v>
      </c>
      <c r="J43" s="221" t="b">
        <f>EXACT(E44,[1]Main!E44)</f>
        <v>1</v>
      </c>
    </row>
    <row r="44" spans="1:10" x14ac:dyDescent="0.25">
      <c r="A44" s="232">
        <v>45108</v>
      </c>
      <c r="B44" s="237"/>
      <c r="C44" s="238"/>
      <c r="D44" s="239"/>
      <c r="E44" s="237">
        <v>170</v>
      </c>
      <c r="F44" s="242" t="s">
        <v>944</v>
      </c>
      <c r="G44" s="239" t="s">
        <v>945</v>
      </c>
      <c r="H44" s="240">
        <f t="shared" si="0"/>
        <v>127685</v>
      </c>
      <c r="I44" s="241" t="s">
        <v>1604</v>
      </c>
      <c r="J44" s="221" t="b">
        <f>EXACT(E45,[1]Main!E45)</f>
        <v>1</v>
      </c>
    </row>
    <row r="45" spans="1:10" x14ac:dyDescent="0.25">
      <c r="A45" s="232">
        <v>45108</v>
      </c>
      <c r="B45" s="237"/>
      <c r="C45" s="238"/>
      <c r="D45" s="239"/>
      <c r="E45" s="237">
        <v>61</v>
      </c>
      <c r="F45" s="242" t="s">
        <v>127</v>
      </c>
      <c r="G45" s="239" t="s">
        <v>938</v>
      </c>
      <c r="H45" s="240">
        <f t="shared" si="0"/>
        <v>127624</v>
      </c>
      <c r="I45" s="241" t="s">
        <v>357</v>
      </c>
      <c r="J45" s="221" t="b">
        <f>EXACT(E46,[1]Main!E46)</f>
        <v>1</v>
      </c>
    </row>
    <row r="46" spans="1:10" x14ac:dyDescent="0.25">
      <c r="A46" s="232">
        <v>45108</v>
      </c>
      <c r="B46" s="237"/>
      <c r="C46" s="238"/>
      <c r="D46" s="239"/>
      <c r="E46" s="237">
        <v>20000</v>
      </c>
      <c r="F46" s="242" t="s">
        <v>127</v>
      </c>
      <c r="G46" s="239" t="s">
        <v>938</v>
      </c>
      <c r="H46" s="240">
        <f t="shared" si="0"/>
        <v>107624</v>
      </c>
      <c r="I46" s="241" t="s">
        <v>17</v>
      </c>
      <c r="J46" s="221" t="b">
        <f>EXACT(E47,[1]Main!E47)</f>
        <v>1</v>
      </c>
    </row>
    <row r="47" spans="1:10" x14ac:dyDescent="0.25">
      <c r="A47" s="232">
        <v>45108</v>
      </c>
      <c r="B47" s="237"/>
      <c r="C47" s="238"/>
      <c r="D47" s="239"/>
      <c r="E47" s="237">
        <v>1000</v>
      </c>
      <c r="F47" s="242" t="s">
        <v>120</v>
      </c>
      <c r="G47" s="239" t="s">
        <v>940</v>
      </c>
      <c r="H47" s="240">
        <f t="shared" si="0"/>
        <v>106624</v>
      </c>
      <c r="I47" s="241"/>
      <c r="J47" s="221" t="b">
        <f>EXACT(E48,[1]Main!E48)</f>
        <v>1</v>
      </c>
    </row>
    <row r="48" spans="1:10" x14ac:dyDescent="0.25">
      <c r="A48" s="232">
        <v>45108</v>
      </c>
      <c r="B48" s="237"/>
      <c r="C48" s="238"/>
      <c r="D48" s="239"/>
      <c r="E48" s="237">
        <v>130</v>
      </c>
      <c r="F48" s="242" t="s">
        <v>134</v>
      </c>
      <c r="G48" s="239" t="s">
        <v>930</v>
      </c>
      <c r="H48" s="240">
        <f t="shared" si="0"/>
        <v>106494</v>
      </c>
      <c r="I48" s="241"/>
      <c r="J48" s="221" t="b">
        <f>EXACT(E49,[1]Main!E49)</f>
        <v>1</v>
      </c>
    </row>
    <row r="49" spans="1:11" x14ac:dyDescent="0.25">
      <c r="A49" s="232">
        <v>45108</v>
      </c>
      <c r="B49" s="237"/>
      <c r="C49" s="238"/>
      <c r="D49" s="239"/>
      <c r="E49" s="237">
        <v>225</v>
      </c>
      <c r="F49" s="242" t="s">
        <v>11</v>
      </c>
      <c r="G49" s="239" t="s">
        <v>935</v>
      </c>
      <c r="H49" s="240">
        <f t="shared" si="0"/>
        <v>106269</v>
      </c>
      <c r="I49" s="241"/>
      <c r="J49" s="221" t="b">
        <f>EXACT(E50,[1]Main!E50)</f>
        <v>1</v>
      </c>
    </row>
    <row r="50" spans="1:11" x14ac:dyDescent="0.25">
      <c r="A50" s="232">
        <v>45108</v>
      </c>
      <c r="B50" s="237"/>
      <c r="C50" s="238"/>
      <c r="D50" s="239"/>
      <c r="E50" s="237">
        <v>2050</v>
      </c>
      <c r="F50" s="242" t="s">
        <v>132</v>
      </c>
      <c r="G50" s="239" t="s">
        <v>464</v>
      </c>
      <c r="H50" s="240">
        <f t="shared" si="0"/>
        <v>104219</v>
      </c>
      <c r="I50" s="241"/>
      <c r="J50" s="221" t="b">
        <f>EXACT(E51,[1]Main!E51)</f>
        <v>1</v>
      </c>
    </row>
    <row r="51" spans="1:11" x14ac:dyDescent="0.25">
      <c r="A51" s="232">
        <v>45108</v>
      </c>
      <c r="B51" s="237"/>
      <c r="C51" s="238"/>
      <c r="D51" s="239"/>
      <c r="E51" s="237">
        <v>3155</v>
      </c>
      <c r="F51" s="242" t="s">
        <v>20</v>
      </c>
      <c r="G51" s="239" t="s">
        <v>928</v>
      </c>
      <c r="H51" s="240">
        <f t="shared" si="0"/>
        <v>101064</v>
      </c>
      <c r="I51" s="241"/>
      <c r="J51" s="221" t="b">
        <f>EXACT(E52,[1]Main!E52)</f>
        <v>1</v>
      </c>
    </row>
    <row r="52" spans="1:11" x14ac:dyDescent="0.25">
      <c r="A52" s="232">
        <v>45108</v>
      </c>
      <c r="B52" s="237"/>
      <c r="C52" s="238"/>
      <c r="D52" s="239"/>
      <c r="E52" s="237">
        <v>2185</v>
      </c>
      <c r="F52" s="242" t="s">
        <v>140</v>
      </c>
      <c r="G52" s="239" t="s">
        <v>930</v>
      </c>
      <c r="H52" s="240">
        <f t="shared" si="0"/>
        <v>98879</v>
      </c>
      <c r="I52" s="241"/>
      <c r="J52" s="221" t="b">
        <f>EXACT(E53,[1]Main!E53)</f>
        <v>1</v>
      </c>
    </row>
    <row r="53" spans="1:11" x14ac:dyDescent="0.25">
      <c r="A53" s="232">
        <v>45108</v>
      </c>
      <c r="B53" s="237"/>
      <c r="C53" s="238"/>
      <c r="D53" s="239"/>
      <c r="E53" s="237">
        <v>1705</v>
      </c>
      <c r="F53" s="242" t="s">
        <v>14</v>
      </c>
      <c r="G53" s="239" t="s">
        <v>935</v>
      </c>
      <c r="H53" s="240">
        <f t="shared" si="0"/>
        <v>97174</v>
      </c>
      <c r="I53" s="241"/>
      <c r="J53" s="221" t="b">
        <f>EXACT(E54,[1]Main!E54)</f>
        <v>1</v>
      </c>
    </row>
    <row r="54" spans="1:11" x14ac:dyDescent="0.25">
      <c r="A54" s="232">
        <v>45108</v>
      </c>
      <c r="B54" s="237"/>
      <c r="C54" s="238"/>
      <c r="D54" s="239"/>
      <c r="E54" s="237">
        <v>4285</v>
      </c>
      <c r="F54" s="242" t="s">
        <v>16</v>
      </c>
      <c r="G54" s="239" t="s">
        <v>936</v>
      </c>
      <c r="H54" s="240">
        <f t="shared" si="0"/>
        <v>92889</v>
      </c>
      <c r="I54" s="241"/>
      <c r="J54" s="221" t="b">
        <f>EXACT(E55,[1]Main!E55)</f>
        <v>1</v>
      </c>
    </row>
    <row r="55" spans="1:11" x14ac:dyDescent="0.25">
      <c r="A55" s="232">
        <v>45108</v>
      </c>
      <c r="B55" s="237"/>
      <c r="C55" s="238"/>
      <c r="D55" s="239"/>
      <c r="E55" s="237">
        <v>105</v>
      </c>
      <c r="F55" s="242" t="s">
        <v>82</v>
      </c>
      <c r="G55" s="239" t="s">
        <v>930</v>
      </c>
      <c r="H55" s="240">
        <f t="shared" si="0"/>
        <v>92784</v>
      </c>
      <c r="I55" s="241"/>
      <c r="J55" s="221" t="b">
        <f>EXACT(E56,[1]Main!E56)</f>
        <v>1</v>
      </c>
    </row>
    <row r="56" spans="1:11" x14ac:dyDescent="0.25">
      <c r="A56" s="232">
        <v>45108</v>
      </c>
      <c r="B56" s="237"/>
      <c r="C56" s="238"/>
      <c r="D56" s="239"/>
      <c r="E56" s="237">
        <v>145</v>
      </c>
      <c r="F56" s="242" t="s">
        <v>60</v>
      </c>
      <c r="G56" s="239" t="s">
        <v>930</v>
      </c>
      <c r="H56" s="240">
        <f t="shared" si="0"/>
        <v>92639</v>
      </c>
      <c r="I56" s="241"/>
      <c r="J56" s="221" t="b">
        <f>EXACT(E57,[1]Main!E57)</f>
        <v>1</v>
      </c>
    </row>
    <row r="57" spans="1:11" x14ac:dyDescent="0.25">
      <c r="A57" s="232">
        <v>45108</v>
      </c>
      <c r="B57" s="237"/>
      <c r="C57" s="238"/>
      <c r="D57" s="239"/>
      <c r="E57" s="237">
        <v>39</v>
      </c>
      <c r="F57" s="242" t="s">
        <v>127</v>
      </c>
      <c r="G57" s="239" t="s">
        <v>938</v>
      </c>
      <c r="H57" s="240">
        <f t="shared" si="0"/>
        <v>92600</v>
      </c>
      <c r="I57" s="241" t="s">
        <v>773</v>
      </c>
      <c r="J57" s="221" t="b">
        <f>EXACT(E58,[1]Main!E58)</f>
        <v>1</v>
      </c>
    </row>
    <row r="58" spans="1:11" x14ac:dyDescent="0.25">
      <c r="A58" s="232">
        <v>45108</v>
      </c>
      <c r="B58" s="237"/>
      <c r="C58" s="238"/>
      <c r="D58" s="239"/>
      <c r="E58" s="237">
        <v>20</v>
      </c>
      <c r="F58" s="242" t="s">
        <v>127</v>
      </c>
      <c r="G58" s="239" t="s">
        <v>938</v>
      </c>
      <c r="H58" s="240">
        <f t="shared" si="0"/>
        <v>92580</v>
      </c>
      <c r="I58" s="241">
        <v>200</v>
      </c>
      <c r="J58" s="221" t="b">
        <f>EXACT(E59,[1]Main!E59)</f>
        <v>1</v>
      </c>
      <c r="K58" s="221">
        <v>168</v>
      </c>
    </row>
    <row r="59" spans="1:11" x14ac:dyDescent="0.25">
      <c r="A59" s="232">
        <v>45108</v>
      </c>
      <c r="B59" s="237"/>
      <c r="C59" s="238"/>
      <c r="D59" s="239"/>
      <c r="E59" s="237">
        <v>11</v>
      </c>
      <c r="F59" s="242" t="s">
        <v>144</v>
      </c>
      <c r="G59" s="239" t="s">
        <v>945</v>
      </c>
      <c r="H59" s="240">
        <f t="shared" si="0"/>
        <v>92569</v>
      </c>
      <c r="I59" s="241"/>
      <c r="J59" s="221" t="b">
        <f>EXACT(E60,[1]Main!E60)</f>
        <v>1</v>
      </c>
    </row>
    <row r="60" spans="1:11" x14ac:dyDescent="0.25">
      <c r="A60" s="232">
        <v>45108</v>
      </c>
      <c r="B60" s="237"/>
      <c r="C60" s="238"/>
      <c r="D60" s="239"/>
      <c r="E60" s="237">
        <v>100</v>
      </c>
      <c r="F60" s="242" t="s">
        <v>350</v>
      </c>
      <c r="G60" s="239" t="s">
        <v>931</v>
      </c>
      <c r="H60" s="240">
        <f t="shared" si="0"/>
        <v>92469</v>
      </c>
      <c r="I60" s="241">
        <f>11057+177</f>
        <v>11234</v>
      </c>
      <c r="J60" s="221" t="b">
        <f>EXACT(E61,[1]Main!E61)</f>
        <v>1</v>
      </c>
    </row>
    <row r="61" spans="1:11" x14ac:dyDescent="0.25">
      <c r="A61" s="232">
        <v>45108</v>
      </c>
      <c r="B61" s="237"/>
      <c r="C61" s="238"/>
      <c r="D61" s="239"/>
      <c r="E61" s="237">
        <v>875</v>
      </c>
      <c r="F61" s="242" t="s">
        <v>610</v>
      </c>
      <c r="G61" s="239" t="s">
        <v>943</v>
      </c>
      <c r="H61" s="240">
        <f t="shared" si="0"/>
        <v>91594</v>
      </c>
      <c r="I61" s="241" t="s">
        <v>458</v>
      </c>
      <c r="J61" s="221" t="b">
        <f>EXACT(E62,[1]Main!E62)</f>
        <v>1</v>
      </c>
    </row>
    <row r="62" spans="1:11" x14ac:dyDescent="0.25">
      <c r="A62" s="232">
        <v>45108</v>
      </c>
      <c r="B62" s="237"/>
      <c r="C62" s="238"/>
      <c r="D62" s="239"/>
      <c r="E62" s="237">
        <v>200</v>
      </c>
      <c r="F62" s="242" t="s">
        <v>610</v>
      </c>
      <c r="G62" s="239" t="s">
        <v>943</v>
      </c>
      <c r="H62" s="240">
        <f t="shared" si="0"/>
        <v>91394</v>
      </c>
      <c r="I62" s="241" t="s">
        <v>458</v>
      </c>
      <c r="J62" s="221" t="b">
        <f>EXACT(E63,[1]Main!E63)</f>
        <v>1</v>
      </c>
    </row>
    <row r="63" spans="1:11" x14ac:dyDescent="0.25">
      <c r="A63" s="232">
        <v>45108</v>
      </c>
      <c r="B63" s="237"/>
      <c r="C63" s="238"/>
      <c r="D63" s="239"/>
      <c r="E63" s="237">
        <v>360</v>
      </c>
      <c r="F63" s="242" t="s">
        <v>774</v>
      </c>
      <c r="G63" s="239" t="s">
        <v>943</v>
      </c>
      <c r="H63" s="240">
        <f t="shared" si="0"/>
        <v>91034</v>
      </c>
      <c r="I63" s="241" t="s">
        <v>458</v>
      </c>
      <c r="J63" s="221" t="b">
        <f>EXACT(E64,[1]Main!E64)</f>
        <v>1</v>
      </c>
    </row>
    <row r="64" spans="1:11" x14ac:dyDescent="0.25">
      <c r="A64" s="232">
        <v>45108</v>
      </c>
      <c r="B64" s="237"/>
      <c r="C64" s="238"/>
      <c r="D64" s="239"/>
      <c r="E64" s="237">
        <v>50</v>
      </c>
      <c r="F64" s="242" t="s">
        <v>464</v>
      </c>
      <c r="G64" s="239" t="s">
        <v>464</v>
      </c>
      <c r="H64" s="240">
        <f t="shared" si="0"/>
        <v>90984</v>
      </c>
      <c r="I64" s="241" t="s">
        <v>118</v>
      </c>
      <c r="J64" s="221" t="b">
        <f>EXACT(E65,[1]Main!E65)</f>
        <v>1</v>
      </c>
    </row>
    <row r="65" spans="1:10" x14ac:dyDescent="0.25">
      <c r="A65" s="232">
        <v>45108</v>
      </c>
      <c r="B65" s="237"/>
      <c r="C65" s="238"/>
      <c r="D65" s="239"/>
      <c r="E65" s="237">
        <v>20</v>
      </c>
      <c r="F65" s="242" t="s">
        <v>25</v>
      </c>
      <c r="G65" s="239" t="s">
        <v>464</v>
      </c>
      <c r="H65" s="240">
        <f t="shared" si="0"/>
        <v>90964</v>
      </c>
      <c r="I65" s="241" t="s">
        <v>775</v>
      </c>
      <c r="J65" s="221" t="b">
        <f>EXACT(E66,[1]Main!E66)</f>
        <v>1</v>
      </c>
    </row>
    <row r="66" spans="1:10" x14ac:dyDescent="0.25">
      <c r="A66" s="232">
        <v>45108</v>
      </c>
      <c r="B66" s="237"/>
      <c r="C66" s="238"/>
      <c r="D66" s="239"/>
      <c r="E66" s="237">
        <v>3000</v>
      </c>
      <c r="F66" s="242" t="s">
        <v>108</v>
      </c>
      <c r="G66" s="239" t="s">
        <v>938</v>
      </c>
      <c r="H66" s="240">
        <f t="shared" si="0"/>
        <v>87964</v>
      </c>
      <c r="I66" s="241"/>
      <c r="J66" s="221" t="b">
        <f>EXACT(E67,[1]Main!E67)</f>
        <v>1</v>
      </c>
    </row>
    <row r="67" spans="1:10" x14ac:dyDescent="0.25">
      <c r="A67" s="232">
        <v>45108</v>
      </c>
      <c r="B67" s="237"/>
      <c r="C67" s="238"/>
      <c r="D67" s="239"/>
      <c r="E67" s="237">
        <v>370</v>
      </c>
      <c r="F67" s="242" t="s">
        <v>776</v>
      </c>
      <c r="G67" s="239" t="s">
        <v>930</v>
      </c>
      <c r="H67" s="240">
        <f t="shared" si="0"/>
        <v>87594</v>
      </c>
      <c r="I67" s="241" t="s">
        <v>773</v>
      </c>
      <c r="J67" s="221" t="b">
        <f>EXACT(E68,[1]Main!E68)</f>
        <v>1</v>
      </c>
    </row>
    <row r="68" spans="1:10" x14ac:dyDescent="0.25">
      <c r="A68" s="232">
        <v>45108</v>
      </c>
      <c r="B68" s="237"/>
      <c r="C68" s="238"/>
      <c r="D68" s="239"/>
      <c r="E68" s="237">
        <v>380</v>
      </c>
      <c r="F68" s="242" t="s">
        <v>776</v>
      </c>
      <c r="G68" s="239" t="s">
        <v>930</v>
      </c>
      <c r="H68" s="240">
        <f t="shared" si="0"/>
        <v>87214</v>
      </c>
      <c r="I68" s="241" t="s">
        <v>773</v>
      </c>
      <c r="J68" s="221" t="b">
        <f>EXACT(E69,[1]Main!E69)</f>
        <v>1</v>
      </c>
    </row>
    <row r="69" spans="1:10" x14ac:dyDescent="0.25">
      <c r="A69" s="232">
        <v>45108</v>
      </c>
      <c r="B69" s="237"/>
      <c r="C69" s="238"/>
      <c r="D69" s="239"/>
      <c r="E69" s="237">
        <v>20</v>
      </c>
      <c r="F69" s="242" t="s">
        <v>25</v>
      </c>
      <c r="G69" s="239" t="s">
        <v>464</v>
      </c>
      <c r="H69" s="240">
        <f t="shared" si="0"/>
        <v>87194</v>
      </c>
      <c r="I69" s="241" t="s">
        <v>777</v>
      </c>
      <c r="J69" s="221" t="b">
        <f>EXACT(E70,[1]Main!E70)</f>
        <v>1</v>
      </c>
    </row>
    <row r="70" spans="1:10" x14ac:dyDescent="0.25">
      <c r="A70" s="232">
        <v>45108</v>
      </c>
      <c r="B70" s="237"/>
      <c r="C70" s="238"/>
      <c r="D70" s="239"/>
      <c r="E70" s="237">
        <v>200</v>
      </c>
      <c r="F70" s="242" t="s">
        <v>50</v>
      </c>
      <c r="G70" s="239" t="s">
        <v>931</v>
      </c>
      <c r="H70" s="240">
        <f t="shared" si="0"/>
        <v>86994</v>
      </c>
      <c r="I70" s="241"/>
      <c r="J70" s="221" t="b">
        <f>EXACT(E71,[1]Main!E71)</f>
        <v>1</v>
      </c>
    </row>
    <row r="71" spans="1:10" x14ac:dyDescent="0.25">
      <c r="A71" s="244">
        <v>45108</v>
      </c>
      <c r="B71" s="245"/>
      <c r="C71" s="246"/>
      <c r="D71" s="247"/>
      <c r="E71" s="245">
        <v>35</v>
      </c>
      <c r="F71" s="248" t="s">
        <v>447</v>
      </c>
      <c r="G71" s="247" t="s">
        <v>931</v>
      </c>
      <c r="H71" s="240">
        <f t="shared" ref="H71:H134" si="1">H70+B71-E71</f>
        <v>86959</v>
      </c>
      <c r="I71" s="241"/>
      <c r="J71" s="221" t="b">
        <f>EXACT(E72,[1]Main!E72)</f>
        <v>1</v>
      </c>
    </row>
    <row r="72" spans="1:10" x14ac:dyDescent="0.25">
      <c r="A72" s="249">
        <v>45109</v>
      </c>
      <c r="B72" s="237">
        <v>18185</v>
      </c>
      <c r="C72" s="238" t="s">
        <v>9</v>
      </c>
      <c r="D72" s="239" t="s">
        <v>763</v>
      </c>
      <c r="E72" s="237">
        <v>6740</v>
      </c>
      <c r="F72" s="242" t="s">
        <v>12</v>
      </c>
      <c r="G72" s="239" t="s">
        <v>974</v>
      </c>
      <c r="H72" s="240">
        <f t="shared" si="1"/>
        <v>98404</v>
      </c>
      <c r="I72" s="241" t="s">
        <v>778</v>
      </c>
      <c r="J72" s="221" t="b">
        <f>EXACT(E73,[1]Main!E73)</f>
        <v>1</v>
      </c>
    </row>
    <row r="73" spans="1:10" x14ac:dyDescent="0.25">
      <c r="A73" s="249">
        <v>45109</v>
      </c>
      <c r="B73" s="237">
        <v>1555</v>
      </c>
      <c r="C73" s="238" t="s">
        <v>28</v>
      </c>
      <c r="D73" s="239" t="s">
        <v>765</v>
      </c>
      <c r="E73" s="237">
        <v>75</v>
      </c>
      <c r="F73" s="242" t="s">
        <v>153</v>
      </c>
      <c r="G73" s="239" t="s">
        <v>945</v>
      </c>
      <c r="H73" s="240">
        <f t="shared" si="1"/>
        <v>99884</v>
      </c>
      <c r="I73" s="241"/>
      <c r="J73" s="221" t="b">
        <f>EXACT(E74,[1]Main!E74)</f>
        <v>1</v>
      </c>
    </row>
    <row r="74" spans="1:10" x14ac:dyDescent="0.25">
      <c r="A74" s="249">
        <v>45109</v>
      </c>
      <c r="B74" s="237">
        <v>10784</v>
      </c>
      <c r="C74" s="238" t="s">
        <v>80</v>
      </c>
      <c r="D74" s="239" t="s">
        <v>763</v>
      </c>
      <c r="E74" s="237">
        <v>500</v>
      </c>
      <c r="F74" s="242" t="s">
        <v>50</v>
      </c>
      <c r="G74" s="239" t="s">
        <v>931</v>
      </c>
      <c r="H74" s="240">
        <f t="shared" si="1"/>
        <v>110168</v>
      </c>
      <c r="I74" s="241"/>
      <c r="J74" s="221" t="b">
        <f>EXACT(E75,[1]Main!E75)</f>
        <v>1</v>
      </c>
    </row>
    <row r="75" spans="1:10" x14ac:dyDescent="0.25">
      <c r="A75" s="249">
        <v>45109</v>
      </c>
      <c r="B75" s="237">
        <v>1898</v>
      </c>
      <c r="C75" s="238" t="s">
        <v>81</v>
      </c>
      <c r="D75" s="239" t="s">
        <v>765</v>
      </c>
      <c r="E75" s="237">
        <v>95</v>
      </c>
      <c r="F75" s="242" t="s">
        <v>10</v>
      </c>
      <c r="G75" s="239" t="s">
        <v>930</v>
      </c>
      <c r="H75" s="240">
        <f t="shared" si="1"/>
        <v>111971</v>
      </c>
      <c r="I75" s="241"/>
      <c r="J75" s="221" t="b">
        <f>EXACT(E76,[1]Main!E76)</f>
        <v>1</v>
      </c>
    </row>
    <row r="76" spans="1:10" x14ac:dyDescent="0.25">
      <c r="A76" s="249">
        <v>45109</v>
      </c>
      <c r="B76" s="237">
        <v>405</v>
      </c>
      <c r="C76" s="238" t="s">
        <v>27</v>
      </c>
      <c r="D76" s="239" t="s">
        <v>772</v>
      </c>
      <c r="E76" s="237">
        <v>550</v>
      </c>
      <c r="F76" s="242" t="s">
        <v>56</v>
      </c>
      <c r="G76" s="239" t="s">
        <v>928</v>
      </c>
      <c r="H76" s="240">
        <f t="shared" si="1"/>
        <v>111826</v>
      </c>
      <c r="I76" s="241"/>
      <c r="J76" s="221" t="b">
        <f>EXACT(E77,[1]Main!E77)</f>
        <v>1</v>
      </c>
    </row>
    <row r="77" spans="1:10" x14ac:dyDescent="0.25">
      <c r="A77" s="249">
        <v>45109</v>
      </c>
      <c r="B77" s="237">
        <v>305</v>
      </c>
      <c r="C77" s="238" t="s">
        <v>162</v>
      </c>
      <c r="D77" s="239" t="s">
        <v>763</v>
      </c>
      <c r="E77" s="237">
        <v>7030</v>
      </c>
      <c r="F77" s="242" t="s">
        <v>148</v>
      </c>
      <c r="G77" s="239" t="s">
        <v>928</v>
      </c>
      <c r="H77" s="240">
        <f t="shared" si="1"/>
        <v>105101</v>
      </c>
      <c r="I77" s="241"/>
      <c r="J77" s="221" t="b">
        <f>EXACT(E78,[1]Main!E78)</f>
        <v>1</v>
      </c>
    </row>
    <row r="78" spans="1:10" x14ac:dyDescent="0.25">
      <c r="A78" s="249">
        <v>45109</v>
      </c>
      <c r="B78" s="237">
        <v>5</v>
      </c>
      <c r="C78" s="238" t="s">
        <v>163</v>
      </c>
      <c r="D78" s="239" t="s">
        <v>937</v>
      </c>
      <c r="E78" s="237">
        <v>1605</v>
      </c>
      <c r="F78" s="242" t="s">
        <v>58</v>
      </c>
      <c r="G78" s="239" t="s">
        <v>928</v>
      </c>
      <c r="H78" s="240">
        <f t="shared" si="1"/>
        <v>103501</v>
      </c>
      <c r="I78" s="241"/>
      <c r="J78" s="221" t="b">
        <f>EXACT(E79,[1]Main!E79)</f>
        <v>1</v>
      </c>
    </row>
    <row r="79" spans="1:10" x14ac:dyDescent="0.25">
      <c r="A79" s="249">
        <v>45109</v>
      </c>
      <c r="B79" s="237">
        <v>3030</v>
      </c>
      <c r="C79" s="238" t="s">
        <v>27</v>
      </c>
      <c r="D79" s="239" t="s">
        <v>772</v>
      </c>
      <c r="E79" s="237">
        <v>30</v>
      </c>
      <c r="F79" s="242" t="s">
        <v>149</v>
      </c>
      <c r="G79" s="239" t="s">
        <v>929</v>
      </c>
      <c r="H79" s="240">
        <f t="shared" si="1"/>
        <v>106501</v>
      </c>
      <c r="I79" s="241"/>
      <c r="J79" s="221" t="b">
        <f>EXACT(E80,[1]Main!E80)</f>
        <v>1</v>
      </c>
    </row>
    <row r="80" spans="1:10" x14ac:dyDescent="0.25">
      <c r="A80" s="249">
        <v>45109</v>
      </c>
      <c r="B80" s="237">
        <v>900</v>
      </c>
      <c r="C80" s="238" t="s">
        <v>42</v>
      </c>
      <c r="D80" s="239" t="s">
        <v>769</v>
      </c>
      <c r="E80" s="237">
        <v>4465</v>
      </c>
      <c r="F80" s="242" t="s">
        <v>505</v>
      </c>
      <c r="G80" s="239" t="s">
        <v>928</v>
      </c>
      <c r="H80" s="240">
        <f t="shared" si="1"/>
        <v>102936</v>
      </c>
      <c r="I80" s="241" t="s">
        <v>779</v>
      </c>
      <c r="J80" s="221" t="b">
        <f>EXACT(E81,[1]Main!E81)</f>
        <v>1</v>
      </c>
    </row>
    <row r="81" spans="1:10" x14ac:dyDescent="0.25">
      <c r="A81" s="249">
        <v>45109</v>
      </c>
      <c r="B81" s="237">
        <v>3000</v>
      </c>
      <c r="C81" s="238" t="s">
        <v>18</v>
      </c>
      <c r="D81" s="239" t="s">
        <v>768</v>
      </c>
      <c r="E81" s="237">
        <v>1390</v>
      </c>
      <c r="F81" s="242" t="s">
        <v>45</v>
      </c>
      <c r="G81" s="239" t="s">
        <v>928</v>
      </c>
      <c r="H81" s="240">
        <f t="shared" si="1"/>
        <v>104546</v>
      </c>
      <c r="I81" s="241"/>
      <c r="J81" s="221" t="b">
        <f>EXACT(E82,[1]Main!E82)</f>
        <v>1</v>
      </c>
    </row>
    <row r="82" spans="1:10" x14ac:dyDescent="0.25">
      <c r="A82" s="249">
        <v>45109</v>
      </c>
      <c r="B82" s="237">
        <v>325</v>
      </c>
      <c r="C82" s="238" t="s">
        <v>19</v>
      </c>
      <c r="D82" s="239" t="s">
        <v>763</v>
      </c>
      <c r="E82" s="237">
        <v>5490</v>
      </c>
      <c r="F82" s="242" t="s">
        <v>155</v>
      </c>
      <c r="G82" s="239" t="s">
        <v>928</v>
      </c>
      <c r="H82" s="240">
        <f t="shared" si="1"/>
        <v>99381</v>
      </c>
      <c r="I82" s="241"/>
      <c r="J82" s="221" t="b">
        <f>EXACT(E83,[1]Main!E83)</f>
        <v>1</v>
      </c>
    </row>
    <row r="83" spans="1:10" x14ac:dyDescent="0.25">
      <c r="A83" s="249">
        <v>45109</v>
      </c>
      <c r="B83" s="237">
        <v>22335</v>
      </c>
      <c r="C83" s="238" t="s">
        <v>60</v>
      </c>
      <c r="D83" s="239" t="s">
        <v>763</v>
      </c>
      <c r="E83" s="237">
        <v>60</v>
      </c>
      <c r="F83" s="242" t="s">
        <v>156</v>
      </c>
      <c r="G83" s="239" t="s">
        <v>929</v>
      </c>
      <c r="H83" s="240">
        <f t="shared" si="1"/>
        <v>121656</v>
      </c>
      <c r="I83" s="241"/>
      <c r="J83" s="221" t="b">
        <f>EXACT(E84,[1]Main!E84)</f>
        <v>1</v>
      </c>
    </row>
    <row r="84" spans="1:10" x14ac:dyDescent="0.25">
      <c r="A84" s="249">
        <v>45109</v>
      </c>
      <c r="B84" s="237">
        <v>2272</v>
      </c>
      <c r="C84" s="238" t="s">
        <v>62</v>
      </c>
      <c r="D84" s="239" t="s">
        <v>765</v>
      </c>
      <c r="E84" s="237">
        <v>7030</v>
      </c>
      <c r="F84" s="242" t="s">
        <v>76</v>
      </c>
      <c r="G84" s="239" t="s">
        <v>928</v>
      </c>
      <c r="H84" s="240">
        <f t="shared" si="1"/>
        <v>116898</v>
      </c>
      <c r="I84" s="241"/>
      <c r="J84" s="221" t="b">
        <f>EXACT(E85,[1]Main!E85)</f>
        <v>1</v>
      </c>
    </row>
    <row r="85" spans="1:10" x14ac:dyDescent="0.25">
      <c r="A85" s="249">
        <v>45109</v>
      </c>
      <c r="B85" s="237">
        <v>325</v>
      </c>
      <c r="C85" s="238" t="s">
        <v>24</v>
      </c>
      <c r="D85" s="239" t="s">
        <v>766</v>
      </c>
      <c r="E85" s="237">
        <v>273</v>
      </c>
      <c r="F85" s="242" t="s">
        <v>464</v>
      </c>
      <c r="G85" s="239" t="s">
        <v>464</v>
      </c>
      <c r="H85" s="240">
        <f t="shared" si="1"/>
        <v>116950</v>
      </c>
      <c r="I85" s="241"/>
      <c r="J85" s="221" t="b">
        <f>EXACT(E86,[1]Main!E86)</f>
        <v>1</v>
      </c>
    </row>
    <row r="86" spans="1:10" x14ac:dyDescent="0.25">
      <c r="A86" s="249">
        <v>45109</v>
      </c>
      <c r="B86" s="237">
        <v>15358</v>
      </c>
      <c r="C86" s="238" t="s">
        <v>36</v>
      </c>
      <c r="D86" s="239" t="s">
        <v>766</v>
      </c>
      <c r="E86" s="237">
        <v>233</v>
      </c>
      <c r="F86" s="242" t="s">
        <v>565</v>
      </c>
      <c r="G86" s="239" t="s">
        <v>928</v>
      </c>
      <c r="H86" s="240">
        <f t="shared" si="1"/>
        <v>132075</v>
      </c>
      <c r="I86" s="241" t="s">
        <v>780</v>
      </c>
      <c r="J86" s="221" t="b">
        <f>EXACT(E87,[1]Main!E87)</f>
        <v>1</v>
      </c>
    </row>
    <row r="87" spans="1:10" x14ac:dyDescent="0.25">
      <c r="A87" s="249">
        <v>45109</v>
      </c>
      <c r="B87" s="237">
        <v>680</v>
      </c>
      <c r="C87" s="238" t="s">
        <v>93</v>
      </c>
      <c r="D87" s="239" t="s">
        <v>768</v>
      </c>
      <c r="E87" s="237">
        <v>575</v>
      </c>
      <c r="F87" s="242" t="s">
        <v>11</v>
      </c>
      <c r="G87" s="239" t="s">
        <v>935</v>
      </c>
      <c r="H87" s="240">
        <f t="shared" si="1"/>
        <v>132180</v>
      </c>
      <c r="I87" s="241"/>
      <c r="J87" s="221" t="b">
        <f>EXACT(E88,[1]Main!E88)</f>
        <v>1</v>
      </c>
    </row>
    <row r="88" spans="1:10" x14ac:dyDescent="0.25">
      <c r="A88" s="249">
        <f>SUM(A65:A87)</f>
        <v>1037500</v>
      </c>
      <c r="B88" s="237">
        <v>20535</v>
      </c>
      <c r="C88" s="238" t="s">
        <v>85</v>
      </c>
      <c r="D88" s="239" t="s">
        <v>766</v>
      </c>
      <c r="E88" s="237">
        <v>297</v>
      </c>
      <c r="F88" s="242" t="s">
        <v>8</v>
      </c>
      <c r="G88" s="239" t="s">
        <v>930</v>
      </c>
      <c r="H88" s="240">
        <f t="shared" si="1"/>
        <v>152418</v>
      </c>
      <c r="I88" s="241"/>
      <c r="J88" s="221" t="b">
        <f>EXACT(E89,[1]Main!E89)</f>
        <v>1</v>
      </c>
    </row>
    <row r="89" spans="1:10" x14ac:dyDescent="0.25">
      <c r="A89" s="249">
        <v>45109</v>
      </c>
      <c r="B89" s="237"/>
      <c r="C89" s="238"/>
      <c r="D89" s="239"/>
      <c r="E89" s="237">
        <v>1947</v>
      </c>
      <c r="F89" s="242" t="s">
        <v>79</v>
      </c>
      <c r="G89" s="239" t="s">
        <v>929</v>
      </c>
      <c r="H89" s="240">
        <f t="shared" si="1"/>
        <v>150471</v>
      </c>
      <c r="I89" s="241"/>
      <c r="J89" s="221" t="b">
        <f>EXACT(E90,[1]Main!E90)</f>
        <v>1</v>
      </c>
    </row>
    <row r="90" spans="1:10" x14ac:dyDescent="0.25">
      <c r="A90" s="249">
        <f>B88+A88</f>
        <v>1058035</v>
      </c>
      <c r="B90" s="237"/>
      <c r="C90" s="238"/>
      <c r="D90" s="239"/>
      <c r="E90" s="237">
        <v>400</v>
      </c>
      <c r="F90" s="242" t="s">
        <v>55</v>
      </c>
      <c r="G90" s="239" t="s">
        <v>929</v>
      </c>
      <c r="H90" s="240">
        <f t="shared" si="1"/>
        <v>150071</v>
      </c>
      <c r="I90" s="241"/>
      <c r="J90" s="221" t="b">
        <f>EXACT(E91,[1]Main!E91)</f>
        <v>1</v>
      </c>
    </row>
    <row r="91" spans="1:10" x14ac:dyDescent="0.25">
      <c r="A91" s="249">
        <v>45109</v>
      </c>
      <c r="B91" s="237"/>
      <c r="C91" s="494"/>
      <c r="D91" s="239"/>
      <c r="E91" s="237">
        <v>3000</v>
      </c>
      <c r="F91" s="242" t="s">
        <v>781</v>
      </c>
      <c r="G91" s="239" t="s">
        <v>928</v>
      </c>
      <c r="H91" s="240">
        <f t="shared" si="1"/>
        <v>147071</v>
      </c>
      <c r="I91" s="241" t="s">
        <v>782</v>
      </c>
      <c r="J91" s="221" t="b">
        <f>EXACT(E92,[1]Main!E92)</f>
        <v>1</v>
      </c>
    </row>
    <row r="92" spans="1:10" x14ac:dyDescent="0.25">
      <c r="A92" s="249">
        <v>45109</v>
      </c>
      <c r="B92" s="237"/>
      <c r="C92" s="238"/>
      <c r="D92" s="239"/>
      <c r="E92" s="237">
        <v>1370</v>
      </c>
      <c r="F92" s="242" t="s">
        <v>159</v>
      </c>
      <c r="G92" s="239" t="s">
        <v>930</v>
      </c>
      <c r="H92" s="240">
        <f t="shared" si="1"/>
        <v>145701</v>
      </c>
      <c r="I92" s="241"/>
      <c r="J92" s="221" t="b">
        <f>EXACT(E93,[1]Main!E93)</f>
        <v>1</v>
      </c>
    </row>
    <row r="93" spans="1:10" x14ac:dyDescent="0.25">
      <c r="A93" s="249">
        <v>45109</v>
      </c>
      <c r="B93" s="237"/>
      <c r="C93" s="238"/>
      <c r="D93" s="239"/>
      <c r="E93" s="237">
        <v>1035</v>
      </c>
      <c r="F93" s="242" t="s">
        <v>160</v>
      </c>
      <c r="G93" s="239" t="s">
        <v>929</v>
      </c>
      <c r="H93" s="240">
        <f t="shared" si="1"/>
        <v>144666</v>
      </c>
      <c r="I93" s="241"/>
      <c r="J93" s="221" t="b">
        <f>EXACT(E94,[1]Main!E94)</f>
        <v>1</v>
      </c>
    </row>
    <row r="94" spans="1:10" x14ac:dyDescent="0.25">
      <c r="A94" s="249">
        <v>45109</v>
      </c>
      <c r="B94" s="237"/>
      <c r="C94" s="238"/>
      <c r="D94" s="239"/>
      <c r="E94" s="237">
        <v>50</v>
      </c>
      <c r="F94" s="242" t="s">
        <v>13</v>
      </c>
      <c r="G94" s="239" t="s">
        <v>930</v>
      </c>
      <c r="H94" s="240">
        <f t="shared" si="1"/>
        <v>144616</v>
      </c>
      <c r="I94" s="241"/>
      <c r="J94" s="221" t="b">
        <f>EXACT(E95,[1]Main!E95)</f>
        <v>1</v>
      </c>
    </row>
    <row r="95" spans="1:10" x14ac:dyDescent="0.25">
      <c r="A95" s="249">
        <v>45109</v>
      </c>
      <c r="B95" s="237"/>
      <c r="C95" s="238"/>
      <c r="D95" s="239"/>
      <c r="E95" s="237">
        <v>120</v>
      </c>
      <c r="F95" s="242" t="s">
        <v>38</v>
      </c>
      <c r="G95" s="239" t="s">
        <v>930</v>
      </c>
      <c r="H95" s="240">
        <f t="shared" si="1"/>
        <v>144496</v>
      </c>
      <c r="I95" s="241"/>
      <c r="J95" s="221" t="b">
        <f>EXACT(E96,[1]Main!E96)</f>
        <v>1</v>
      </c>
    </row>
    <row r="96" spans="1:10" x14ac:dyDescent="0.25">
      <c r="A96" s="249">
        <v>45109</v>
      </c>
      <c r="B96" s="237"/>
      <c r="C96" s="238"/>
      <c r="D96" s="239"/>
      <c r="E96" s="237">
        <v>10880</v>
      </c>
      <c r="F96" s="242" t="s">
        <v>51</v>
      </c>
      <c r="G96" s="239" t="s">
        <v>928</v>
      </c>
      <c r="H96" s="240">
        <f t="shared" si="1"/>
        <v>133616</v>
      </c>
      <c r="I96" s="241"/>
      <c r="J96" s="221" t="b">
        <f>EXACT(E97,[1]Main!E97)</f>
        <v>1</v>
      </c>
    </row>
    <row r="97" spans="1:10" x14ac:dyDescent="0.25">
      <c r="A97" s="249">
        <v>45109</v>
      </c>
      <c r="B97" s="237"/>
      <c r="C97" s="238"/>
      <c r="D97" s="239"/>
      <c r="E97" s="237">
        <v>4140</v>
      </c>
      <c r="F97" s="242" t="s">
        <v>161</v>
      </c>
      <c r="G97" s="239" t="s">
        <v>928</v>
      </c>
      <c r="H97" s="240">
        <f t="shared" si="1"/>
        <v>129476</v>
      </c>
      <c r="I97" s="241"/>
      <c r="J97" s="221" t="b">
        <f>EXACT(E98,[1]Main!E98)</f>
        <v>1</v>
      </c>
    </row>
    <row r="98" spans="1:10" x14ac:dyDescent="0.25">
      <c r="A98" s="249">
        <v>45109</v>
      </c>
      <c r="B98" s="237"/>
      <c r="C98" s="238"/>
      <c r="D98" s="239"/>
      <c r="E98" s="237">
        <v>5425</v>
      </c>
      <c r="F98" s="242" t="s">
        <v>47</v>
      </c>
      <c r="G98" s="239" t="s">
        <v>928</v>
      </c>
      <c r="H98" s="240">
        <f t="shared" si="1"/>
        <v>124051</v>
      </c>
      <c r="I98" s="241"/>
      <c r="J98" s="221" t="b">
        <f>EXACT(E99,[1]Main!E99)</f>
        <v>1</v>
      </c>
    </row>
    <row r="99" spans="1:10" x14ac:dyDescent="0.25">
      <c r="A99" s="249">
        <v>45109</v>
      </c>
      <c r="B99" s="237"/>
      <c r="C99" s="238"/>
      <c r="D99" s="239"/>
      <c r="E99" s="237">
        <v>5210</v>
      </c>
      <c r="F99" s="242" t="s">
        <v>664</v>
      </c>
      <c r="G99" s="239" t="s">
        <v>928</v>
      </c>
      <c r="H99" s="240">
        <f t="shared" si="1"/>
        <v>118841</v>
      </c>
      <c r="I99" s="241" t="s">
        <v>245</v>
      </c>
      <c r="J99" s="221" t="b">
        <f>EXACT(E100,[1]Main!E100)</f>
        <v>1</v>
      </c>
    </row>
    <row r="100" spans="1:10" x14ac:dyDescent="0.25">
      <c r="A100" s="249">
        <v>45109</v>
      </c>
      <c r="B100" s="237"/>
      <c r="C100" s="238"/>
      <c r="D100" s="239"/>
      <c r="E100" s="237">
        <v>100</v>
      </c>
      <c r="F100" s="242" t="s">
        <v>165</v>
      </c>
      <c r="G100" s="239" t="s">
        <v>929</v>
      </c>
      <c r="H100" s="240">
        <f t="shared" si="1"/>
        <v>118741</v>
      </c>
      <c r="I100" s="241"/>
      <c r="J100" s="221" t="b">
        <f>EXACT(E101,[1]Main!E101)</f>
        <v>1</v>
      </c>
    </row>
    <row r="101" spans="1:10" x14ac:dyDescent="0.25">
      <c r="A101" s="249">
        <v>45109</v>
      </c>
      <c r="B101" s="237"/>
      <c r="C101" s="238"/>
      <c r="D101" s="239"/>
      <c r="E101" s="237">
        <v>2500</v>
      </c>
      <c r="F101" s="242" t="s">
        <v>166</v>
      </c>
      <c r="G101" s="239" t="s">
        <v>929</v>
      </c>
      <c r="H101" s="240">
        <f t="shared" si="1"/>
        <v>116241</v>
      </c>
      <c r="I101" s="241"/>
      <c r="J101" s="221" t="b">
        <f>EXACT(E102,[1]Main!E102)</f>
        <v>1</v>
      </c>
    </row>
    <row r="102" spans="1:10" x14ac:dyDescent="0.25">
      <c r="A102" s="249">
        <v>45109</v>
      </c>
      <c r="B102" s="237"/>
      <c r="C102" s="238"/>
      <c r="D102" s="239"/>
      <c r="E102" s="237">
        <v>5960</v>
      </c>
      <c r="F102" s="242" t="s">
        <v>46</v>
      </c>
      <c r="G102" s="239" t="s">
        <v>929</v>
      </c>
      <c r="H102" s="240">
        <f t="shared" si="1"/>
        <v>110281</v>
      </c>
      <c r="I102" s="241"/>
      <c r="J102" s="221" t="b">
        <f>EXACT(E103,[1]Main!E103)</f>
        <v>1</v>
      </c>
    </row>
    <row r="103" spans="1:10" x14ac:dyDescent="0.25">
      <c r="A103" s="249">
        <v>45109</v>
      </c>
      <c r="B103" s="237"/>
      <c r="C103" s="238"/>
      <c r="D103" s="239"/>
      <c r="E103" s="237">
        <v>8455</v>
      </c>
      <c r="F103" s="242" t="s">
        <v>16</v>
      </c>
      <c r="G103" s="239" t="s">
        <v>936</v>
      </c>
      <c r="H103" s="240">
        <f t="shared" si="1"/>
        <v>101826</v>
      </c>
      <c r="I103" s="241"/>
      <c r="J103" s="221" t="b">
        <f>EXACT(E104,[1]Main!E104)</f>
        <v>1</v>
      </c>
    </row>
    <row r="104" spans="1:10" x14ac:dyDescent="0.25">
      <c r="A104" s="249">
        <v>45109</v>
      </c>
      <c r="B104" s="237"/>
      <c r="C104" s="238"/>
      <c r="D104" s="239"/>
      <c r="E104" s="237">
        <v>4810</v>
      </c>
      <c r="F104" s="242" t="s">
        <v>783</v>
      </c>
      <c r="G104" s="239" t="s">
        <v>928</v>
      </c>
      <c r="H104" s="240">
        <f t="shared" si="1"/>
        <v>97016</v>
      </c>
      <c r="I104" s="241" t="s">
        <v>784</v>
      </c>
      <c r="J104" s="221" t="b">
        <f>EXACT(E105,[1]Main!E105)</f>
        <v>1</v>
      </c>
    </row>
    <row r="105" spans="1:10" x14ac:dyDescent="0.25">
      <c r="A105" s="249">
        <v>45109</v>
      </c>
      <c r="B105" s="237"/>
      <c r="C105" s="238"/>
      <c r="D105" s="239"/>
      <c r="E105" s="237">
        <v>10000</v>
      </c>
      <c r="F105" s="242" t="s">
        <v>182</v>
      </c>
      <c r="G105" s="239" t="s">
        <v>941</v>
      </c>
      <c r="H105" s="240">
        <f t="shared" si="1"/>
        <v>87016</v>
      </c>
      <c r="I105" s="241"/>
      <c r="J105" s="221" t="b">
        <f>EXACT(E106,[1]Main!E106)</f>
        <v>1</v>
      </c>
    </row>
    <row r="106" spans="1:10" x14ac:dyDescent="0.25">
      <c r="A106" s="249">
        <v>45109</v>
      </c>
      <c r="B106" s="237"/>
      <c r="C106" s="238"/>
      <c r="D106" s="239"/>
      <c r="E106" s="237">
        <v>2000</v>
      </c>
      <c r="F106" s="242" t="s">
        <v>785</v>
      </c>
      <c r="G106" s="239" t="s">
        <v>928</v>
      </c>
      <c r="H106" s="240">
        <f t="shared" si="1"/>
        <v>85016</v>
      </c>
      <c r="I106" s="241" t="s">
        <v>786</v>
      </c>
      <c r="J106" s="221" t="b">
        <f>EXACT(E107,[1]Main!E107)</f>
        <v>1</v>
      </c>
    </row>
    <row r="107" spans="1:10" x14ac:dyDescent="0.25">
      <c r="A107" s="249">
        <v>45109</v>
      </c>
      <c r="B107" s="237"/>
      <c r="C107" s="238"/>
      <c r="D107" s="239"/>
      <c r="E107" s="237">
        <v>1715</v>
      </c>
      <c r="F107" s="242" t="s">
        <v>14</v>
      </c>
      <c r="G107" s="239" t="s">
        <v>935</v>
      </c>
      <c r="H107" s="240">
        <f t="shared" si="1"/>
        <v>83301</v>
      </c>
      <c r="I107" s="241"/>
      <c r="J107" s="221" t="b">
        <f>EXACT(E108,[1]Main!E108)</f>
        <v>1</v>
      </c>
    </row>
    <row r="108" spans="1:10" x14ac:dyDescent="0.25">
      <c r="A108" s="249">
        <v>45109</v>
      </c>
      <c r="B108" s="237"/>
      <c r="C108" s="238"/>
      <c r="D108" s="239"/>
      <c r="E108" s="237">
        <v>145</v>
      </c>
      <c r="F108" s="242" t="s">
        <v>60</v>
      </c>
      <c r="G108" s="239" t="s">
        <v>930</v>
      </c>
      <c r="H108" s="240">
        <f t="shared" si="1"/>
        <v>83156</v>
      </c>
      <c r="I108" s="241"/>
      <c r="J108" s="221" t="b">
        <f>EXACT(E109,[1]Main!E109)</f>
        <v>1</v>
      </c>
    </row>
    <row r="109" spans="1:10" x14ac:dyDescent="0.25">
      <c r="A109" s="249">
        <v>45109</v>
      </c>
      <c r="B109" s="237"/>
      <c r="C109" s="238"/>
      <c r="D109" s="239"/>
      <c r="E109" s="237">
        <v>290</v>
      </c>
      <c r="F109" s="242" t="s">
        <v>29</v>
      </c>
      <c r="G109" s="239" t="s">
        <v>930</v>
      </c>
      <c r="H109" s="240">
        <f t="shared" si="1"/>
        <v>82866</v>
      </c>
      <c r="I109" s="241"/>
      <c r="J109" s="221" t="b">
        <f>EXACT(E110,[1]Main!E110)</f>
        <v>1</v>
      </c>
    </row>
    <row r="110" spans="1:10" x14ac:dyDescent="0.25">
      <c r="A110" s="249">
        <v>45109</v>
      </c>
      <c r="B110" s="237"/>
      <c r="C110" s="238"/>
      <c r="D110" s="239"/>
      <c r="E110" s="237">
        <v>670</v>
      </c>
      <c r="F110" s="242" t="s">
        <v>39</v>
      </c>
      <c r="G110" s="239" t="s">
        <v>930</v>
      </c>
      <c r="H110" s="240">
        <f t="shared" si="1"/>
        <v>82196</v>
      </c>
      <c r="I110" s="241"/>
      <c r="J110" s="221" t="b">
        <f>EXACT(E111,[1]Main!E111)</f>
        <v>1</v>
      </c>
    </row>
    <row r="111" spans="1:10" x14ac:dyDescent="0.25">
      <c r="A111" s="249">
        <v>45109</v>
      </c>
      <c r="B111" s="237"/>
      <c r="C111" s="238"/>
      <c r="D111" s="239"/>
      <c r="E111" s="237">
        <v>270</v>
      </c>
      <c r="F111" s="242" t="s">
        <v>41</v>
      </c>
      <c r="G111" s="239" t="s">
        <v>930</v>
      </c>
      <c r="H111" s="240">
        <f t="shared" si="1"/>
        <v>81926</v>
      </c>
      <c r="I111" s="241"/>
      <c r="J111" s="221" t="b">
        <f>EXACT(E112,[1]Main!E112)</f>
        <v>1</v>
      </c>
    </row>
    <row r="112" spans="1:10" x14ac:dyDescent="0.25">
      <c r="A112" s="249">
        <v>45109</v>
      </c>
      <c r="B112" s="237"/>
      <c r="C112" s="238"/>
      <c r="D112" s="239"/>
      <c r="E112" s="237">
        <v>495</v>
      </c>
      <c r="F112" s="242" t="s">
        <v>27</v>
      </c>
      <c r="G112" s="239" t="s">
        <v>943</v>
      </c>
      <c r="H112" s="240">
        <f t="shared" si="1"/>
        <v>81431</v>
      </c>
      <c r="I112" s="241"/>
      <c r="J112" s="221" t="b">
        <f>EXACT(E113,[1]Main!E113)</f>
        <v>1</v>
      </c>
    </row>
    <row r="113" spans="1:10" x14ac:dyDescent="0.25">
      <c r="A113" s="249">
        <v>45109</v>
      </c>
      <c r="B113" s="237"/>
      <c r="C113" s="238"/>
      <c r="D113" s="239"/>
      <c r="E113" s="237">
        <v>33</v>
      </c>
      <c r="F113" s="242" t="s">
        <v>73</v>
      </c>
      <c r="G113" s="239" t="s">
        <v>945</v>
      </c>
      <c r="H113" s="240">
        <f t="shared" si="1"/>
        <v>81398</v>
      </c>
      <c r="I113" s="241"/>
      <c r="J113" s="221" t="b">
        <f>EXACT(E114,[1]Main!E114)</f>
        <v>1</v>
      </c>
    </row>
    <row r="114" spans="1:10" x14ac:dyDescent="0.25">
      <c r="A114" s="249">
        <v>45109</v>
      </c>
      <c r="B114" s="237"/>
      <c r="C114" s="238"/>
      <c r="D114" s="239"/>
      <c r="E114" s="237">
        <v>75</v>
      </c>
      <c r="F114" s="242" t="s">
        <v>26</v>
      </c>
      <c r="G114" s="239" t="s">
        <v>930</v>
      </c>
      <c r="H114" s="240">
        <f t="shared" si="1"/>
        <v>81323</v>
      </c>
      <c r="I114" s="241"/>
      <c r="J114" s="221" t="b">
        <f>EXACT(E115,[1]Main!E115)</f>
        <v>1</v>
      </c>
    </row>
    <row r="115" spans="1:10" x14ac:dyDescent="0.25">
      <c r="A115" s="249">
        <v>45109</v>
      </c>
      <c r="B115" s="237"/>
      <c r="C115" s="238"/>
      <c r="D115" s="239"/>
      <c r="E115" s="237">
        <v>2918</v>
      </c>
      <c r="F115" s="242" t="s">
        <v>77</v>
      </c>
      <c r="G115" s="239" t="s">
        <v>928</v>
      </c>
      <c r="H115" s="240">
        <f t="shared" si="1"/>
        <v>78405</v>
      </c>
      <c r="I115" s="241"/>
      <c r="J115" s="221" t="b">
        <f>EXACT(E116,[1]Main!E116)</f>
        <v>1</v>
      </c>
    </row>
    <row r="116" spans="1:10" x14ac:dyDescent="0.25">
      <c r="A116" s="249">
        <v>45109</v>
      </c>
      <c r="B116" s="237"/>
      <c r="C116" s="238"/>
      <c r="D116" s="239"/>
      <c r="E116" s="237">
        <v>1720</v>
      </c>
      <c r="F116" s="242" t="s">
        <v>79</v>
      </c>
      <c r="G116" s="239" t="s">
        <v>929</v>
      </c>
      <c r="H116" s="240">
        <f t="shared" si="1"/>
        <v>76685</v>
      </c>
      <c r="I116" s="241"/>
      <c r="J116" s="221" t="b">
        <f>EXACT(E117,[1]Main!E117)</f>
        <v>1</v>
      </c>
    </row>
    <row r="117" spans="1:10" x14ac:dyDescent="0.25">
      <c r="A117" s="249">
        <v>45109</v>
      </c>
      <c r="B117" s="237"/>
      <c r="C117" s="238"/>
      <c r="D117" s="239"/>
      <c r="E117" s="237">
        <v>25</v>
      </c>
      <c r="F117" s="242" t="s">
        <v>184</v>
      </c>
      <c r="G117" s="239" t="s">
        <v>464</v>
      </c>
      <c r="H117" s="240">
        <f t="shared" si="1"/>
        <v>76660</v>
      </c>
      <c r="I117" s="241"/>
      <c r="J117" s="221" t="b">
        <f>EXACT(E118,[1]Main!E118)</f>
        <v>1</v>
      </c>
    </row>
    <row r="118" spans="1:10" x14ac:dyDescent="0.25">
      <c r="A118" s="249">
        <v>45109</v>
      </c>
      <c r="B118" s="237"/>
      <c r="C118" s="238"/>
      <c r="D118" s="239"/>
      <c r="E118" s="237">
        <v>3000</v>
      </c>
      <c r="F118" s="242" t="s">
        <v>183</v>
      </c>
      <c r="G118" s="239" t="s">
        <v>930</v>
      </c>
      <c r="H118" s="240">
        <f t="shared" si="1"/>
        <v>73660</v>
      </c>
      <c r="I118" s="241"/>
      <c r="J118" s="221" t="b">
        <f>EXACT(E119,[1]Main!E119)</f>
        <v>1</v>
      </c>
    </row>
    <row r="119" spans="1:10" x14ac:dyDescent="0.25">
      <c r="A119" s="249">
        <v>45109</v>
      </c>
      <c r="B119" s="237"/>
      <c r="C119" s="238"/>
      <c r="D119" s="239"/>
      <c r="E119" s="237">
        <v>500</v>
      </c>
      <c r="F119" s="242" t="s">
        <v>169</v>
      </c>
      <c r="G119" s="239" t="s">
        <v>464</v>
      </c>
      <c r="H119" s="240">
        <f t="shared" si="1"/>
        <v>73160</v>
      </c>
      <c r="I119" s="241"/>
      <c r="J119" s="221" t="b">
        <f>EXACT(E120,[1]Main!E120)</f>
        <v>1</v>
      </c>
    </row>
    <row r="120" spans="1:10" x14ac:dyDescent="0.25">
      <c r="A120" s="249">
        <v>45109</v>
      </c>
      <c r="B120" s="237"/>
      <c r="C120" s="238"/>
      <c r="D120" s="239"/>
      <c r="E120" s="237">
        <v>210</v>
      </c>
      <c r="F120" s="242" t="s">
        <v>170</v>
      </c>
      <c r="G120" s="239" t="s">
        <v>945</v>
      </c>
      <c r="H120" s="240">
        <f t="shared" si="1"/>
        <v>72950</v>
      </c>
      <c r="I120" s="241"/>
      <c r="J120" s="221" t="b">
        <f>EXACT(E121,[1]Main!E121)</f>
        <v>1</v>
      </c>
    </row>
    <row r="121" spans="1:10" x14ac:dyDescent="0.25">
      <c r="A121" s="249">
        <v>45109</v>
      </c>
      <c r="B121" s="237"/>
      <c r="C121" s="238"/>
      <c r="D121" s="239"/>
      <c r="E121" s="237">
        <v>110</v>
      </c>
      <c r="F121" s="242" t="s">
        <v>171</v>
      </c>
      <c r="G121" s="239" t="s">
        <v>930</v>
      </c>
      <c r="H121" s="240">
        <f t="shared" si="1"/>
        <v>72840</v>
      </c>
      <c r="I121" s="241"/>
      <c r="J121" s="221" t="b">
        <f>EXACT(E122,[1]Main!E122)</f>
        <v>1</v>
      </c>
    </row>
    <row r="122" spans="1:10" x14ac:dyDescent="0.25">
      <c r="A122" s="249">
        <v>45109</v>
      </c>
      <c r="B122" s="237"/>
      <c r="C122" s="238"/>
      <c r="D122" s="239"/>
      <c r="E122" s="237">
        <v>170</v>
      </c>
      <c r="F122" s="242" t="s">
        <v>172</v>
      </c>
      <c r="G122" s="239" t="s">
        <v>930</v>
      </c>
      <c r="H122" s="240">
        <f t="shared" si="1"/>
        <v>72670</v>
      </c>
      <c r="I122" s="241"/>
      <c r="J122" s="221" t="b">
        <f>EXACT(E123,[1]Main!E123)</f>
        <v>1</v>
      </c>
    </row>
    <row r="123" spans="1:10" x14ac:dyDescent="0.25">
      <c r="A123" s="249">
        <v>45109</v>
      </c>
      <c r="B123" s="237"/>
      <c r="C123" s="238"/>
      <c r="D123" s="239"/>
      <c r="E123" s="237">
        <v>65</v>
      </c>
      <c r="F123" s="242" t="s">
        <v>178</v>
      </c>
      <c r="G123" s="239" t="s">
        <v>930</v>
      </c>
      <c r="H123" s="240">
        <f t="shared" si="1"/>
        <v>72605</v>
      </c>
      <c r="I123" s="241"/>
      <c r="J123" s="221" t="b">
        <f>EXACT(E124,[1]Main!E124)</f>
        <v>1</v>
      </c>
    </row>
    <row r="124" spans="1:10" x14ac:dyDescent="0.25">
      <c r="A124" s="249">
        <v>45109</v>
      </c>
      <c r="B124" s="237"/>
      <c r="C124" s="238"/>
      <c r="D124" s="239"/>
      <c r="E124" s="237">
        <v>175</v>
      </c>
      <c r="F124" s="242" t="s">
        <v>173</v>
      </c>
      <c r="G124" s="239" t="s">
        <v>930</v>
      </c>
      <c r="H124" s="240">
        <f t="shared" si="1"/>
        <v>72430</v>
      </c>
      <c r="I124" s="241"/>
      <c r="J124" s="221" t="b">
        <f>EXACT(E125,[1]Main!E125)</f>
        <v>1</v>
      </c>
    </row>
    <row r="125" spans="1:10" x14ac:dyDescent="0.25">
      <c r="A125" s="249">
        <v>45109</v>
      </c>
      <c r="B125" s="237"/>
      <c r="C125" s="238"/>
      <c r="D125" s="239"/>
      <c r="E125" s="237">
        <v>50</v>
      </c>
      <c r="F125" s="242" t="s">
        <v>464</v>
      </c>
      <c r="G125" s="239" t="s">
        <v>464</v>
      </c>
      <c r="H125" s="240">
        <f t="shared" si="1"/>
        <v>72380</v>
      </c>
      <c r="I125" s="242" t="s">
        <v>174</v>
      </c>
      <c r="J125" s="221" t="b">
        <f>EXACT(E126,[1]Main!E126)</f>
        <v>1</v>
      </c>
    </row>
    <row r="126" spans="1:10" x14ac:dyDescent="0.25">
      <c r="A126" s="249">
        <v>45109</v>
      </c>
      <c r="B126" s="237"/>
      <c r="C126" s="238"/>
      <c r="D126" s="239"/>
      <c r="E126" s="237">
        <v>110</v>
      </c>
      <c r="F126" s="242" t="s">
        <v>464</v>
      </c>
      <c r="G126" s="239" t="s">
        <v>464</v>
      </c>
      <c r="H126" s="240">
        <f t="shared" si="1"/>
        <v>72270</v>
      </c>
      <c r="I126" s="242" t="s">
        <v>175</v>
      </c>
      <c r="J126" s="221" t="b">
        <f>EXACT(E127,[1]Main!E127)</f>
        <v>1</v>
      </c>
    </row>
    <row r="127" spans="1:10" x14ac:dyDescent="0.25">
      <c r="A127" s="249">
        <v>45109</v>
      </c>
      <c r="B127" s="237"/>
      <c r="C127" s="238"/>
      <c r="D127" s="239"/>
      <c r="E127" s="237">
        <v>25</v>
      </c>
      <c r="F127" s="242" t="s">
        <v>176</v>
      </c>
      <c r="G127" s="239" t="s">
        <v>464</v>
      </c>
      <c r="H127" s="240">
        <f t="shared" si="1"/>
        <v>72245</v>
      </c>
      <c r="I127" s="241"/>
      <c r="J127" s="221" t="b">
        <f>EXACT(E128,[1]Main!E128)</f>
        <v>1</v>
      </c>
    </row>
    <row r="128" spans="1:10" x14ac:dyDescent="0.25">
      <c r="A128" s="249">
        <v>45109</v>
      </c>
      <c r="B128" s="237"/>
      <c r="C128" s="238"/>
      <c r="D128" s="239"/>
      <c r="E128" s="237">
        <v>1080</v>
      </c>
      <c r="F128" s="242" t="s">
        <v>737</v>
      </c>
      <c r="G128" s="239" t="s">
        <v>928</v>
      </c>
      <c r="H128" s="240">
        <f t="shared" si="1"/>
        <v>71165</v>
      </c>
      <c r="I128" s="241" t="s">
        <v>787</v>
      </c>
      <c r="J128" s="221" t="b">
        <f>EXACT(E129,[1]Main!E129)</f>
        <v>1</v>
      </c>
    </row>
    <row r="129" spans="1:10" x14ac:dyDescent="0.25">
      <c r="A129" s="249">
        <v>45109</v>
      </c>
      <c r="B129" s="237"/>
      <c r="C129" s="238"/>
      <c r="D129" s="239"/>
      <c r="E129" s="237">
        <v>3000</v>
      </c>
      <c r="F129" s="242" t="s">
        <v>182</v>
      </c>
      <c r="G129" s="239" t="s">
        <v>941</v>
      </c>
      <c r="H129" s="240">
        <f t="shared" si="1"/>
        <v>68165</v>
      </c>
      <c r="I129" s="241"/>
      <c r="J129" s="221" t="b">
        <f>EXACT(E130,[1]Main!E130)</f>
        <v>1</v>
      </c>
    </row>
    <row r="130" spans="1:10" x14ac:dyDescent="0.25">
      <c r="A130" s="249">
        <v>45109</v>
      </c>
      <c r="B130" s="237"/>
      <c r="C130" s="238"/>
      <c r="D130" s="239"/>
      <c r="E130" s="237">
        <v>1000</v>
      </c>
      <c r="F130" s="242" t="s">
        <v>788</v>
      </c>
      <c r="G130" s="239" t="s">
        <v>928</v>
      </c>
      <c r="H130" s="240">
        <f t="shared" si="1"/>
        <v>67165</v>
      </c>
      <c r="I130" s="241" t="s">
        <v>789</v>
      </c>
      <c r="J130" s="221" t="b">
        <f>EXACT(E131,[1]Main!E131)</f>
        <v>1</v>
      </c>
    </row>
    <row r="131" spans="1:10" x14ac:dyDescent="0.25">
      <c r="A131" s="249">
        <v>45109</v>
      </c>
      <c r="B131" s="237"/>
      <c r="C131" s="238"/>
      <c r="D131" s="239"/>
      <c r="E131" s="237">
        <v>11000</v>
      </c>
      <c r="F131" s="242" t="s">
        <v>584</v>
      </c>
      <c r="G131" s="239" t="s">
        <v>936</v>
      </c>
      <c r="H131" s="240">
        <f t="shared" si="1"/>
        <v>56165</v>
      </c>
      <c r="I131" s="241"/>
      <c r="J131" s="221" t="b">
        <f>EXACT(E132,[1]Main!E132)</f>
        <v>1</v>
      </c>
    </row>
    <row r="132" spans="1:10" x14ac:dyDescent="0.25">
      <c r="A132" s="249">
        <v>45109</v>
      </c>
      <c r="B132" s="237"/>
      <c r="C132" s="238"/>
      <c r="D132" s="239"/>
      <c r="E132" s="237">
        <v>4140</v>
      </c>
      <c r="F132" s="242" t="s">
        <v>464</v>
      </c>
      <c r="G132" s="239" t="s">
        <v>464</v>
      </c>
      <c r="H132" s="240">
        <f t="shared" si="1"/>
        <v>52025</v>
      </c>
      <c r="I132" s="241" t="s">
        <v>188</v>
      </c>
      <c r="J132" s="221" t="b">
        <f>EXACT(E133,[1]Main!E133)</f>
        <v>1</v>
      </c>
    </row>
    <row r="133" spans="1:10" x14ac:dyDescent="0.25">
      <c r="A133" s="249">
        <v>45109</v>
      </c>
      <c r="B133" s="237"/>
      <c r="C133" s="238"/>
      <c r="D133" s="239"/>
      <c r="E133" s="237">
        <v>115</v>
      </c>
      <c r="F133" s="242" t="s">
        <v>19</v>
      </c>
      <c r="G133" s="239" t="s">
        <v>930</v>
      </c>
      <c r="H133" s="240">
        <f t="shared" si="1"/>
        <v>51910</v>
      </c>
      <c r="I133" s="241"/>
      <c r="J133" s="221" t="b">
        <f>EXACT(E134,[1]Main!E134)</f>
        <v>1</v>
      </c>
    </row>
    <row r="134" spans="1:10" x14ac:dyDescent="0.25">
      <c r="A134" s="249">
        <v>45109</v>
      </c>
      <c r="B134" s="237"/>
      <c r="C134" s="238"/>
      <c r="D134" s="239"/>
      <c r="E134" s="237">
        <v>95</v>
      </c>
      <c r="F134" s="242" t="s">
        <v>27</v>
      </c>
      <c r="G134" s="239" t="s">
        <v>943</v>
      </c>
      <c r="H134" s="240">
        <f t="shared" si="1"/>
        <v>51815</v>
      </c>
      <c r="I134" s="241"/>
      <c r="J134" s="221" t="b">
        <f>EXACT(E135,[1]Main!E135)</f>
        <v>1</v>
      </c>
    </row>
    <row r="135" spans="1:10" x14ac:dyDescent="0.25">
      <c r="A135" s="249">
        <v>45109</v>
      </c>
      <c r="B135" s="237"/>
      <c r="C135" s="238"/>
      <c r="D135" s="239"/>
      <c r="E135" s="237">
        <v>50</v>
      </c>
      <c r="F135" s="242" t="s">
        <v>464</v>
      </c>
      <c r="G135" s="239" t="s">
        <v>464</v>
      </c>
      <c r="H135" s="240">
        <f t="shared" ref="H135:H198" si="2">H134+B135-E135</f>
        <v>51765</v>
      </c>
      <c r="I135" s="241" t="s">
        <v>118</v>
      </c>
      <c r="J135" s="221" t="b">
        <f>EXACT(E136,[1]Main!E136)</f>
        <v>1</v>
      </c>
    </row>
    <row r="136" spans="1:10" x14ac:dyDescent="0.25">
      <c r="A136" s="249">
        <v>45109</v>
      </c>
      <c r="B136" s="237"/>
      <c r="C136" s="238"/>
      <c r="D136" s="239"/>
      <c r="E136" s="237">
        <v>100</v>
      </c>
      <c r="F136" s="242" t="s">
        <v>31</v>
      </c>
      <c r="G136" s="239" t="s">
        <v>931</v>
      </c>
      <c r="H136" s="240">
        <f t="shared" si="2"/>
        <v>51665</v>
      </c>
      <c r="I136" s="241"/>
      <c r="J136" s="221" t="b">
        <f>EXACT(E137,[1]Main!E137)</f>
        <v>1</v>
      </c>
    </row>
    <row r="137" spans="1:10" x14ac:dyDescent="0.25">
      <c r="A137" s="244">
        <v>45109</v>
      </c>
      <c r="B137" s="245"/>
      <c r="C137" s="246"/>
      <c r="D137" s="247"/>
      <c r="E137" s="245">
        <v>10000</v>
      </c>
      <c r="F137" s="303" t="s">
        <v>266</v>
      </c>
      <c r="G137" s="247" t="s">
        <v>928</v>
      </c>
      <c r="H137" s="240">
        <f t="shared" si="2"/>
        <v>41665</v>
      </c>
      <c r="I137" s="241" t="s">
        <v>791</v>
      </c>
      <c r="J137" s="221" t="b">
        <f>EXACT(E138,[1]Main!E138)</f>
        <v>1</v>
      </c>
    </row>
    <row r="138" spans="1:10" x14ac:dyDescent="0.25">
      <c r="A138" s="249">
        <v>45110</v>
      </c>
      <c r="B138" s="237">
        <v>13480</v>
      </c>
      <c r="C138" s="238" t="s">
        <v>9</v>
      </c>
      <c r="D138" s="239" t="s">
        <v>763</v>
      </c>
      <c r="E138" s="237">
        <v>980</v>
      </c>
      <c r="F138" s="242" t="s">
        <v>580</v>
      </c>
      <c r="G138" s="239" t="s">
        <v>928</v>
      </c>
      <c r="H138" s="240">
        <f t="shared" si="2"/>
        <v>54165</v>
      </c>
      <c r="I138" s="241"/>
      <c r="J138" s="221" t="b">
        <f>EXACT(E139,[1]Main!E139)</f>
        <v>1</v>
      </c>
    </row>
    <row r="139" spans="1:10" x14ac:dyDescent="0.25">
      <c r="A139" s="249">
        <v>45110</v>
      </c>
      <c r="B139" s="237">
        <v>875</v>
      </c>
      <c r="C139" s="238" t="s">
        <v>28</v>
      </c>
      <c r="D139" s="239" t="s">
        <v>765</v>
      </c>
      <c r="E139" s="237">
        <v>13360</v>
      </c>
      <c r="F139" s="242" t="s">
        <v>53</v>
      </c>
      <c r="G139" s="239" t="s">
        <v>928</v>
      </c>
      <c r="H139" s="240">
        <f t="shared" si="2"/>
        <v>41680</v>
      </c>
      <c r="I139" s="241"/>
      <c r="J139" s="221" t="b">
        <f>EXACT(E140,[1]Main!E140)</f>
        <v>1</v>
      </c>
    </row>
    <row r="140" spans="1:10" x14ac:dyDescent="0.25">
      <c r="A140" s="249">
        <v>45110</v>
      </c>
      <c r="B140" s="237">
        <v>6000</v>
      </c>
      <c r="C140" s="238" t="s">
        <v>25</v>
      </c>
      <c r="D140" s="239" t="s">
        <v>925</v>
      </c>
      <c r="E140" s="237">
        <v>265</v>
      </c>
      <c r="F140" s="242" t="s">
        <v>63</v>
      </c>
      <c r="G140" s="239" t="s">
        <v>928</v>
      </c>
      <c r="H140" s="240">
        <f t="shared" si="2"/>
        <v>47415</v>
      </c>
      <c r="I140" s="241"/>
      <c r="J140" s="221" t="b">
        <f>EXACT(E141,[1]Main!E141)</f>
        <v>1</v>
      </c>
    </row>
    <row r="141" spans="1:10" x14ac:dyDescent="0.25">
      <c r="A141" s="249">
        <v>45110</v>
      </c>
      <c r="B141" s="237">
        <v>8874</v>
      </c>
      <c r="C141" s="238" t="s">
        <v>80</v>
      </c>
      <c r="D141" s="239" t="s">
        <v>763</v>
      </c>
      <c r="E141" s="237">
        <v>3470</v>
      </c>
      <c r="F141" s="242" t="s">
        <v>336</v>
      </c>
      <c r="G141" s="239" t="s">
        <v>928</v>
      </c>
      <c r="H141" s="240">
        <f t="shared" si="2"/>
        <v>52819</v>
      </c>
      <c r="I141" s="241" t="s">
        <v>792</v>
      </c>
      <c r="J141" s="221" t="b">
        <f>EXACT(E142,[1]Main!E142)</f>
        <v>1</v>
      </c>
    </row>
    <row r="142" spans="1:10" x14ac:dyDescent="0.25">
      <c r="A142" s="249">
        <v>45110</v>
      </c>
      <c r="B142" s="237">
        <v>899</v>
      </c>
      <c r="C142" s="238" t="s">
        <v>81</v>
      </c>
      <c r="D142" s="239" t="s">
        <v>765</v>
      </c>
      <c r="E142" s="237">
        <v>55</v>
      </c>
      <c r="F142" s="242" t="s">
        <v>33</v>
      </c>
      <c r="G142" s="239" t="s">
        <v>464</v>
      </c>
      <c r="H142" s="240">
        <f t="shared" si="2"/>
        <v>53663</v>
      </c>
      <c r="I142" s="241"/>
      <c r="J142" s="221" t="b">
        <f>EXACT(E143,[1]Main!E143)</f>
        <v>1</v>
      </c>
    </row>
    <row r="143" spans="1:10" x14ac:dyDescent="0.25">
      <c r="A143" s="249">
        <v>45110</v>
      </c>
      <c r="B143" s="237">
        <v>11887</v>
      </c>
      <c r="C143" s="238" t="s">
        <v>85</v>
      </c>
      <c r="D143" s="239" t="s">
        <v>766</v>
      </c>
      <c r="E143" s="237">
        <v>100</v>
      </c>
      <c r="F143" s="242" t="s">
        <v>142</v>
      </c>
      <c r="G143" s="239" t="s">
        <v>464</v>
      </c>
      <c r="H143" s="240">
        <f t="shared" si="2"/>
        <v>65450</v>
      </c>
      <c r="I143" s="241"/>
      <c r="J143" s="221" t="b">
        <f>EXACT(E144,[1]Main!E144)</f>
        <v>1</v>
      </c>
    </row>
    <row r="144" spans="1:10" x14ac:dyDescent="0.25">
      <c r="A144" s="249">
        <v>45110</v>
      </c>
      <c r="B144" s="237">
        <v>20</v>
      </c>
      <c r="C144" s="238" t="s">
        <v>35</v>
      </c>
      <c r="D144" s="239" t="s">
        <v>937</v>
      </c>
      <c r="E144" s="237">
        <v>145</v>
      </c>
      <c r="F144" s="242" t="s">
        <v>10</v>
      </c>
      <c r="G144" s="239" t="s">
        <v>930</v>
      </c>
      <c r="H144" s="240">
        <f t="shared" si="2"/>
        <v>65325</v>
      </c>
      <c r="I144" s="241"/>
      <c r="J144" s="221" t="b">
        <f>EXACT(E145,[1]Main!E145)</f>
        <v>1</v>
      </c>
    </row>
    <row r="145" spans="1:10" x14ac:dyDescent="0.25">
      <c r="A145" s="249">
        <v>45110</v>
      </c>
      <c r="B145" s="237">
        <v>17079</v>
      </c>
      <c r="C145" s="238" t="s">
        <v>15</v>
      </c>
      <c r="D145" s="239" t="s">
        <v>766</v>
      </c>
      <c r="E145" s="237">
        <v>5280</v>
      </c>
      <c r="F145" s="242" t="s">
        <v>793</v>
      </c>
      <c r="G145" s="239" t="s">
        <v>928</v>
      </c>
      <c r="H145" s="240">
        <f t="shared" si="2"/>
        <v>77124</v>
      </c>
      <c r="I145" s="241" t="s">
        <v>191</v>
      </c>
      <c r="J145" s="221" t="b">
        <f>EXACT(E146,[1]Main!E146)</f>
        <v>1</v>
      </c>
    </row>
    <row r="146" spans="1:10" x14ac:dyDescent="0.25">
      <c r="A146" s="249">
        <v>45110</v>
      </c>
      <c r="B146" s="237">
        <v>855</v>
      </c>
      <c r="C146" s="238" t="s">
        <v>90</v>
      </c>
      <c r="D146" s="239" t="s">
        <v>768</v>
      </c>
      <c r="E146" s="237">
        <v>3300</v>
      </c>
      <c r="F146" s="242" t="s">
        <v>222</v>
      </c>
      <c r="G146" s="239" t="s">
        <v>928</v>
      </c>
      <c r="H146" s="240">
        <f t="shared" si="2"/>
        <v>74679</v>
      </c>
      <c r="I146" s="241"/>
      <c r="J146" s="221" t="b">
        <f>EXACT(E147,[1]Main!E147)</f>
        <v>1</v>
      </c>
    </row>
    <row r="147" spans="1:10" x14ac:dyDescent="0.25">
      <c r="A147" s="249">
        <v>45110</v>
      </c>
      <c r="B147" s="237">
        <v>25</v>
      </c>
      <c r="C147" s="238" t="s">
        <v>202</v>
      </c>
      <c r="D147" s="239" t="s">
        <v>937</v>
      </c>
      <c r="E147" s="237">
        <v>610</v>
      </c>
      <c r="F147" s="242" t="s">
        <v>34</v>
      </c>
      <c r="G147" s="239" t="s">
        <v>928</v>
      </c>
      <c r="H147" s="240">
        <f t="shared" si="2"/>
        <v>74094</v>
      </c>
      <c r="I147" s="241"/>
      <c r="J147" s="221" t="b">
        <f>EXACT(E148,[1]Main!E148)</f>
        <v>1</v>
      </c>
    </row>
    <row r="148" spans="1:10" x14ac:dyDescent="0.25">
      <c r="A148" s="249">
        <v>45110</v>
      </c>
      <c r="B148" s="237">
        <v>8672</v>
      </c>
      <c r="C148" s="238" t="s">
        <v>6</v>
      </c>
      <c r="D148" s="239" t="s">
        <v>766</v>
      </c>
      <c r="E148" s="237">
        <v>4498</v>
      </c>
      <c r="F148" s="242" t="s">
        <v>505</v>
      </c>
      <c r="G148" s="239" t="s">
        <v>928</v>
      </c>
      <c r="H148" s="240">
        <f t="shared" si="2"/>
        <v>78268</v>
      </c>
      <c r="I148" s="241" t="s">
        <v>794</v>
      </c>
      <c r="J148" s="221" t="b">
        <f>EXACT(E149,[1]Main!E149)</f>
        <v>1</v>
      </c>
    </row>
    <row r="149" spans="1:10" x14ac:dyDescent="0.25">
      <c r="A149" s="249">
        <v>45110</v>
      </c>
      <c r="B149" s="237">
        <v>635</v>
      </c>
      <c r="C149" s="238" t="s">
        <v>93</v>
      </c>
      <c r="D149" s="239" t="s">
        <v>768</v>
      </c>
      <c r="E149" s="237">
        <v>4100</v>
      </c>
      <c r="F149" s="242" t="s">
        <v>659</v>
      </c>
      <c r="G149" s="239" t="s">
        <v>928</v>
      </c>
      <c r="H149" s="240">
        <f t="shared" si="2"/>
        <v>74803</v>
      </c>
      <c r="I149" s="241"/>
      <c r="J149" s="221" t="b">
        <f>EXACT(E150,[1]Main!E150)</f>
        <v>1</v>
      </c>
    </row>
    <row r="150" spans="1:10" x14ac:dyDescent="0.25">
      <c r="A150" s="249">
        <v>45110</v>
      </c>
      <c r="B150" s="237">
        <v>15916</v>
      </c>
      <c r="C150" s="238" t="s">
        <v>88</v>
      </c>
      <c r="D150" s="239" t="s">
        <v>766</v>
      </c>
      <c r="E150" s="237">
        <v>3760</v>
      </c>
      <c r="F150" s="242" t="s">
        <v>192</v>
      </c>
      <c r="G150" s="239" t="s">
        <v>464</v>
      </c>
      <c r="H150" s="240">
        <f t="shared" si="2"/>
        <v>86959</v>
      </c>
      <c r="I150" s="241"/>
      <c r="J150" s="221" t="b">
        <f>EXACT(E151,[1]Main!E151)</f>
        <v>1</v>
      </c>
    </row>
    <row r="151" spans="1:10" x14ac:dyDescent="0.25">
      <c r="A151" s="249">
        <v>45110</v>
      </c>
      <c r="B151" s="237">
        <v>940</v>
      </c>
      <c r="C151" s="238" t="s">
        <v>747</v>
      </c>
      <c r="D151" s="239" t="s">
        <v>768</v>
      </c>
      <c r="E151" s="237">
        <v>1500</v>
      </c>
      <c r="F151" s="242" t="s">
        <v>220</v>
      </c>
      <c r="G151" s="239" t="s">
        <v>928</v>
      </c>
      <c r="H151" s="240">
        <f t="shared" si="2"/>
        <v>86399</v>
      </c>
      <c r="I151" s="241"/>
      <c r="J151" s="221" t="b">
        <f>EXACT(E152,[1]Main!E152)</f>
        <v>1</v>
      </c>
    </row>
    <row r="152" spans="1:10" x14ac:dyDescent="0.25">
      <c r="A152" s="249">
        <v>45110</v>
      </c>
      <c r="B152" s="237">
        <v>10000</v>
      </c>
      <c r="C152" s="238" t="s">
        <v>217</v>
      </c>
      <c r="D152" s="239" t="s">
        <v>766</v>
      </c>
      <c r="E152" s="237">
        <v>1160</v>
      </c>
      <c r="F152" s="242" t="s">
        <v>17</v>
      </c>
      <c r="G152" s="239" t="s">
        <v>928</v>
      </c>
      <c r="H152" s="240">
        <f t="shared" si="2"/>
        <v>95239</v>
      </c>
      <c r="I152" s="241"/>
      <c r="J152" s="221" t="b">
        <f>EXACT(E153,[1]Main!E153)</f>
        <v>1</v>
      </c>
    </row>
    <row r="153" spans="1:10" x14ac:dyDescent="0.25">
      <c r="A153" s="249">
        <v>45110</v>
      </c>
      <c r="B153" s="237">
        <v>1000</v>
      </c>
      <c r="C153" s="238" t="s">
        <v>38</v>
      </c>
      <c r="D153" s="239" t="s">
        <v>931</v>
      </c>
      <c r="E153" s="237">
        <v>140</v>
      </c>
      <c r="F153" s="242" t="s">
        <v>61</v>
      </c>
      <c r="G153" s="239" t="s">
        <v>928</v>
      </c>
      <c r="H153" s="240">
        <f t="shared" si="2"/>
        <v>96099</v>
      </c>
      <c r="I153" s="241"/>
      <c r="J153" s="221" t="b">
        <f>EXACT(E154,[1]Main!E154)</f>
        <v>1</v>
      </c>
    </row>
    <row r="154" spans="1:10" x14ac:dyDescent="0.25">
      <c r="A154" s="249">
        <v>45110</v>
      </c>
      <c r="B154" s="237">
        <v>505</v>
      </c>
      <c r="C154" s="238" t="s">
        <v>27</v>
      </c>
      <c r="D154" s="239" t="s">
        <v>772</v>
      </c>
      <c r="E154" s="237">
        <v>5</v>
      </c>
      <c r="F154" s="242" t="s">
        <v>13</v>
      </c>
      <c r="G154" s="239" t="s">
        <v>930</v>
      </c>
      <c r="H154" s="240">
        <f t="shared" si="2"/>
        <v>96599</v>
      </c>
      <c r="I154" s="241"/>
      <c r="J154" s="221" t="b">
        <f>EXACT(E155,[1]Main!E155)</f>
        <v>1</v>
      </c>
    </row>
    <row r="155" spans="1:10" x14ac:dyDescent="0.25">
      <c r="A155" s="249">
        <v>45110</v>
      </c>
      <c r="B155" s="237">
        <v>55</v>
      </c>
      <c r="C155" s="238" t="s">
        <v>227</v>
      </c>
      <c r="D155" s="239" t="s">
        <v>763</v>
      </c>
      <c r="E155" s="237">
        <v>1105</v>
      </c>
      <c r="F155" s="242" t="s">
        <v>66</v>
      </c>
      <c r="G155" s="239" t="s">
        <v>928</v>
      </c>
      <c r="H155" s="240">
        <f t="shared" si="2"/>
        <v>95549</v>
      </c>
      <c r="I155" s="241"/>
      <c r="J155" s="221" t="b">
        <f>EXACT(E156,[1]Main!E156)</f>
        <v>1</v>
      </c>
    </row>
    <row r="156" spans="1:10" x14ac:dyDescent="0.25">
      <c r="A156" s="249">
        <v>45110</v>
      </c>
      <c r="B156" s="237">
        <v>25910</v>
      </c>
      <c r="C156" s="238" t="s">
        <v>19</v>
      </c>
      <c r="D156" s="239" t="s">
        <v>763</v>
      </c>
      <c r="E156" s="237">
        <v>255</v>
      </c>
      <c r="F156" s="242" t="s">
        <v>73</v>
      </c>
      <c r="G156" s="239" t="s">
        <v>945</v>
      </c>
      <c r="H156" s="240">
        <f t="shared" si="2"/>
        <v>121204</v>
      </c>
      <c r="I156" s="241"/>
      <c r="J156" s="221" t="b">
        <f>EXACT(E157,[1]Main!E157)</f>
        <v>1</v>
      </c>
    </row>
    <row r="157" spans="1:10" x14ac:dyDescent="0.25">
      <c r="A157" s="249">
        <v>45110</v>
      </c>
      <c r="B157" s="237">
        <v>2635</v>
      </c>
      <c r="C157" s="238" t="s">
        <v>60</v>
      </c>
      <c r="D157" s="239" t="s">
        <v>763</v>
      </c>
      <c r="E157" s="237">
        <v>5224</v>
      </c>
      <c r="F157" s="242" t="s">
        <v>44</v>
      </c>
      <c r="G157" s="239" t="s">
        <v>928</v>
      </c>
      <c r="H157" s="240">
        <f t="shared" si="2"/>
        <v>118615</v>
      </c>
      <c r="I157" s="241"/>
      <c r="J157" s="221" t="b">
        <f>EXACT(E158,[1]Main!E158)</f>
        <v>1</v>
      </c>
    </row>
    <row r="158" spans="1:10" x14ac:dyDescent="0.25">
      <c r="A158" s="249">
        <v>45110</v>
      </c>
      <c r="B158" s="237">
        <v>1783</v>
      </c>
      <c r="C158" s="238" t="s">
        <v>233</v>
      </c>
      <c r="D158" s="239" t="s">
        <v>765</v>
      </c>
      <c r="E158" s="237">
        <v>255</v>
      </c>
      <c r="F158" s="242" t="s">
        <v>8</v>
      </c>
      <c r="G158" s="239" t="s">
        <v>930</v>
      </c>
      <c r="H158" s="240">
        <f t="shared" si="2"/>
        <v>120143</v>
      </c>
      <c r="I158" s="241"/>
      <c r="J158" s="221" t="b">
        <f>EXACT(E159,[1]Main!E159)</f>
        <v>1</v>
      </c>
    </row>
    <row r="159" spans="1:10" x14ac:dyDescent="0.25">
      <c r="A159" s="249">
        <v>45110</v>
      </c>
      <c r="B159" s="237">
        <v>15997</v>
      </c>
      <c r="C159" s="238" t="s">
        <v>241</v>
      </c>
      <c r="D159" s="239" t="s">
        <v>766</v>
      </c>
      <c r="E159" s="237">
        <v>1</v>
      </c>
      <c r="F159" s="242" t="s">
        <v>194</v>
      </c>
      <c r="G159" s="239" t="s">
        <v>464</v>
      </c>
      <c r="H159" s="240">
        <f t="shared" si="2"/>
        <v>136139</v>
      </c>
      <c r="I159" s="241"/>
      <c r="J159" s="221" t="b">
        <f>EXACT(E160,[1]Main!E160)</f>
        <v>1</v>
      </c>
    </row>
    <row r="160" spans="1:10" x14ac:dyDescent="0.25">
      <c r="A160" s="249">
        <v>45110</v>
      </c>
      <c r="B160" s="237">
        <v>14867</v>
      </c>
      <c r="C160" s="238" t="s">
        <v>249</v>
      </c>
      <c r="D160" s="239" t="s">
        <v>766</v>
      </c>
      <c r="E160" s="237">
        <v>16</v>
      </c>
      <c r="F160" s="242" t="s">
        <v>73</v>
      </c>
      <c r="G160" s="239" t="s">
        <v>945</v>
      </c>
      <c r="H160" s="240">
        <f t="shared" si="2"/>
        <v>150990</v>
      </c>
      <c r="I160" s="241"/>
      <c r="J160" s="221" t="b">
        <f>EXACT(E161,[1]Main!E161)</f>
        <v>1</v>
      </c>
    </row>
    <row r="161" spans="1:10" x14ac:dyDescent="0.25">
      <c r="A161" s="249">
        <v>45110</v>
      </c>
      <c r="B161" s="237">
        <v>253</v>
      </c>
      <c r="C161" s="238" t="s">
        <v>250</v>
      </c>
      <c r="D161" s="239" t="s">
        <v>768</v>
      </c>
      <c r="E161" s="237">
        <v>500</v>
      </c>
      <c r="F161" s="242" t="s">
        <v>464</v>
      </c>
      <c r="G161" s="239" t="s">
        <v>464</v>
      </c>
      <c r="H161" s="240">
        <f t="shared" si="2"/>
        <v>150743</v>
      </c>
      <c r="I161" s="241"/>
      <c r="J161" s="221" t="b">
        <f>EXACT(E162,[1]Main!E162)</f>
        <v>1</v>
      </c>
    </row>
    <row r="162" spans="1:10" x14ac:dyDescent="0.25">
      <c r="A162" s="249">
        <v>45110</v>
      </c>
      <c r="B162" s="237">
        <v>15975</v>
      </c>
      <c r="C162" s="238" t="s">
        <v>251</v>
      </c>
      <c r="D162" s="239" t="s">
        <v>766</v>
      </c>
      <c r="E162" s="237">
        <v>135</v>
      </c>
      <c r="F162" s="242" t="s">
        <v>73</v>
      </c>
      <c r="G162" s="239" t="s">
        <v>945</v>
      </c>
      <c r="H162" s="240">
        <f t="shared" si="2"/>
        <v>166583</v>
      </c>
      <c r="I162" s="241"/>
      <c r="J162" s="221" t="b">
        <f>EXACT(E163,[1]Main!E163)</f>
        <v>1</v>
      </c>
    </row>
    <row r="163" spans="1:10" x14ac:dyDescent="0.25">
      <c r="A163" s="249">
        <v>45110</v>
      </c>
      <c r="B163" s="237">
        <v>920</v>
      </c>
      <c r="C163" s="238" t="s">
        <v>747</v>
      </c>
      <c r="D163" s="239" t="s">
        <v>768</v>
      </c>
      <c r="E163" s="237">
        <v>210</v>
      </c>
      <c r="F163" s="242" t="s">
        <v>464</v>
      </c>
      <c r="G163" s="239" t="s">
        <v>464</v>
      </c>
      <c r="H163" s="240">
        <f t="shared" si="2"/>
        <v>167293</v>
      </c>
      <c r="I163" s="241"/>
      <c r="J163" s="221" t="b">
        <f>EXACT(E164,[1]Main!E164)</f>
        <v>1</v>
      </c>
    </row>
    <row r="164" spans="1:10" x14ac:dyDescent="0.25">
      <c r="A164" s="249">
        <v>45110</v>
      </c>
      <c r="B164" s="237">
        <v>8005</v>
      </c>
      <c r="C164" s="238" t="s">
        <v>257</v>
      </c>
      <c r="D164" s="239" t="s">
        <v>766</v>
      </c>
      <c r="E164" s="237">
        <v>350</v>
      </c>
      <c r="F164" s="242" t="s">
        <v>83</v>
      </c>
      <c r="G164" s="239" t="s">
        <v>935</v>
      </c>
      <c r="H164" s="240">
        <f t="shared" si="2"/>
        <v>174948</v>
      </c>
      <c r="I164" s="241"/>
      <c r="J164" s="221" t="b">
        <f>EXACT(E165,[1]Main!E165)</f>
        <v>1</v>
      </c>
    </row>
    <row r="165" spans="1:10" x14ac:dyDescent="0.25">
      <c r="A165" s="249">
        <v>45110</v>
      </c>
      <c r="B165" s="237">
        <v>945</v>
      </c>
      <c r="C165" s="238" t="s">
        <v>258</v>
      </c>
      <c r="D165" s="239" t="s">
        <v>768</v>
      </c>
      <c r="E165" s="237">
        <v>100</v>
      </c>
      <c r="F165" s="242" t="s">
        <v>464</v>
      </c>
      <c r="G165" s="239" t="s">
        <v>464</v>
      </c>
      <c r="H165" s="240">
        <f t="shared" si="2"/>
        <v>175793</v>
      </c>
      <c r="I165" s="241"/>
      <c r="J165" s="221" t="b">
        <f>EXACT(E166,[1]Main!E166)</f>
        <v>1</v>
      </c>
    </row>
    <row r="166" spans="1:10" x14ac:dyDescent="0.25">
      <c r="A166" s="249">
        <v>45110</v>
      </c>
      <c r="B166" s="237"/>
      <c r="C166" s="238"/>
      <c r="D166" s="239"/>
      <c r="E166" s="237">
        <v>4555</v>
      </c>
      <c r="F166" s="242" t="s">
        <v>199</v>
      </c>
      <c r="G166" s="239" t="s">
        <v>928</v>
      </c>
      <c r="H166" s="240">
        <f t="shared" si="2"/>
        <v>171238</v>
      </c>
      <c r="I166" s="241"/>
      <c r="J166" s="221" t="b">
        <f>EXACT(E167,[1]Main!E167)</f>
        <v>1</v>
      </c>
    </row>
    <row r="167" spans="1:10" x14ac:dyDescent="0.25">
      <c r="A167" s="249">
        <v>45110</v>
      </c>
      <c r="B167" s="237"/>
      <c r="C167" s="238"/>
      <c r="D167" s="239"/>
      <c r="E167" s="237">
        <v>130</v>
      </c>
      <c r="F167" s="242" t="s">
        <v>197</v>
      </c>
      <c r="G167" s="239" t="s">
        <v>930</v>
      </c>
      <c r="H167" s="240">
        <f t="shared" si="2"/>
        <v>171108</v>
      </c>
      <c r="I167" s="241"/>
      <c r="J167" s="221" t="b">
        <f>EXACT(E168,[1]Main!E168)</f>
        <v>1</v>
      </c>
    </row>
    <row r="168" spans="1:10" x14ac:dyDescent="0.25">
      <c r="A168" s="249">
        <v>45110</v>
      </c>
      <c r="B168" s="237"/>
      <c r="C168" s="238"/>
      <c r="D168" s="239"/>
      <c r="E168" s="237">
        <v>1609</v>
      </c>
      <c r="F168" s="242" t="s">
        <v>198</v>
      </c>
      <c r="G168" s="239" t="s">
        <v>928</v>
      </c>
      <c r="H168" s="240">
        <f t="shared" si="2"/>
        <v>169499</v>
      </c>
      <c r="I168" s="241"/>
      <c r="J168" s="221" t="b">
        <f>EXACT(E169,[1]Main!E169)</f>
        <v>1</v>
      </c>
    </row>
    <row r="169" spans="1:10" x14ac:dyDescent="0.25">
      <c r="A169" s="249">
        <v>45110</v>
      </c>
      <c r="B169" s="237"/>
      <c r="C169" s="238"/>
      <c r="D169" s="239"/>
      <c r="E169" s="237">
        <v>155</v>
      </c>
      <c r="F169" s="242" t="s">
        <v>92</v>
      </c>
      <c r="G169" s="239" t="s">
        <v>930</v>
      </c>
      <c r="H169" s="240">
        <f t="shared" si="2"/>
        <v>169344</v>
      </c>
      <c r="I169" s="241"/>
      <c r="J169" s="221" t="b">
        <f>EXACT(E170,[1]Main!E170)</f>
        <v>1</v>
      </c>
    </row>
    <row r="170" spans="1:10" x14ac:dyDescent="0.25">
      <c r="A170" s="249">
        <v>45110</v>
      </c>
      <c r="B170" s="237"/>
      <c r="C170" s="238"/>
      <c r="D170" s="239"/>
      <c r="E170" s="237">
        <v>1520</v>
      </c>
      <c r="F170" s="242" t="s">
        <v>12</v>
      </c>
      <c r="G170" s="239" t="s">
        <v>974</v>
      </c>
      <c r="H170" s="240">
        <f t="shared" si="2"/>
        <v>167824</v>
      </c>
      <c r="I170" s="241"/>
      <c r="J170" s="221" t="b">
        <f>EXACT(E171,[1]Main!E171)</f>
        <v>1</v>
      </c>
    </row>
    <row r="171" spans="1:10" x14ac:dyDescent="0.25">
      <c r="A171" s="249">
        <v>45110</v>
      </c>
      <c r="B171" s="237"/>
      <c r="C171" s="238"/>
      <c r="D171" s="239"/>
      <c r="E171" s="237">
        <v>120</v>
      </c>
      <c r="F171" s="242" t="s">
        <v>38</v>
      </c>
      <c r="G171" s="239" t="s">
        <v>930</v>
      </c>
      <c r="H171" s="240">
        <f t="shared" si="2"/>
        <v>167704</v>
      </c>
      <c r="I171" s="241"/>
      <c r="J171" s="221" t="b">
        <f>EXACT(E172,[1]Main!E172)</f>
        <v>1</v>
      </c>
    </row>
    <row r="172" spans="1:10" x14ac:dyDescent="0.25">
      <c r="A172" s="249">
        <v>45110</v>
      </c>
      <c r="B172" s="237"/>
      <c r="C172" s="238"/>
      <c r="D172" s="239"/>
      <c r="E172" s="237">
        <v>50</v>
      </c>
      <c r="F172" s="242" t="s">
        <v>13</v>
      </c>
      <c r="G172" s="239" t="s">
        <v>930</v>
      </c>
      <c r="H172" s="240">
        <f t="shared" si="2"/>
        <v>167654</v>
      </c>
      <c r="I172" s="241"/>
      <c r="J172" s="221" t="b">
        <f>EXACT(E173,[1]Main!E173)</f>
        <v>1</v>
      </c>
    </row>
    <row r="173" spans="1:10" x14ac:dyDescent="0.25">
      <c r="A173" s="249">
        <v>45110</v>
      </c>
      <c r="B173" s="237"/>
      <c r="C173" s="238"/>
      <c r="D173" s="239"/>
      <c r="E173" s="237">
        <v>1800</v>
      </c>
      <c r="F173" s="242" t="s">
        <v>200</v>
      </c>
      <c r="G173" s="239" t="s">
        <v>928</v>
      </c>
      <c r="H173" s="240">
        <f t="shared" si="2"/>
        <v>165854</v>
      </c>
      <c r="I173" s="241"/>
      <c r="J173" s="221" t="b">
        <f>EXACT(E174,[1]Main!E174)</f>
        <v>1</v>
      </c>
    </row>
    <row r="174" spans="1:10" x14ac:dyDescent="0.25">
      <c r="A174" s="249">
        <v>45110</v>
      </c>
      <c r="B174" s="237"/>
      <c r="C174" s="238"/>
      <c r="D174" s="239"/>
      <c r="E174" s="237">
        <v>2000</v>
      </c>
      <c r="F174" s="242" t="s">
        <v>214</v>
      </c>
      <c r="G174" s="239" t="s">
        <v>928</v>
      </c>
      <c r="H174" s="240">
        <f t="shared" si="2"/>
        <v>163854</v>
      </c>
      <c r="I174" s="241" t="s">
        <v>796</v>
      </c>
      <c r="J174" s="221" t="b">
        <f>EXACT(E175,[1]Main!E175)</f>
        <v>1</v>
      </c>
    </row>
    <row r="175" spans="1:10" x14ac:dyDescent="0.25">
      <c r="A175" s="249">
        <v>45110</v>
      </c>
      <c r="B175" s="237"/>
      <c r="C175" s="238"/>
      <c r="D175" s="239"/>
      <c r="E175" s="237">
        <v>30</v>
      </c>
      <c r="F175" s="242" t="s">
        <v>204</v>
      </c>
      <c r="G175" s="239" t="s">
        <v>464</v>
      </c>
      <c r="H175" s="240">
        <f t="shared" si="2"/>
        <v>163824</v>
      </c>
      <c r="I175" s="241"/>
      <c r="J175" s="221" t="b">
        <f>EXACT(E176,[1]Main!E176)</f>
        <v>1</v>
      </c>
    </row>
    <row r="176" spans="1:10" x14ac:dyDescent="0.25">
      <c r="A176" s="249">
        <v>45110</v>
      </c>
      <c r="B176" s="237"/>
      <c r="C176" s="238"/>
      <c r="D176" s="239"/>
      <c r="E176" s="237">
        <v>22</v>
      </c>
      <c r="F176" s="242" t="s">
        <v>205</v>
      </c>
      <c r="G176" s="239" t="s">
        <v>945</v>
      </c>
      <c r="H176" s="240">
        <f t="shared" si="2"/>
        <v>163802</v>
      </c>
      <c r="I176" s="241"/>
      <c r="J176" s="221" t="b">
        <f>EXACT(E177,[1]Main!E177)</f>
        <v>1</v>
      </c>
    </row>
    <row r="177" spans="1:10" x14ac:dyDescent="0.25">
      <c r="A177" s="249">
        <v>45110</v>
      </c>
      <c r="B177" s="237"/>
      <c r="C177" s="238"/>
      <c r="D177" s="239"/>
      <c r="E177" s="237">
        <v>175</v>
      </c>
      <c r="F177" s="242" t="s">
        <v>797</v>
      </c>
      <c r="G177" s="239" t="s">
        <v>930</v>
      </c>
      <c r="H177" s="240">
        <f t="shared" si="2"/>
        <v>163627</v>
      </c>
      <c r="I177" s="241" t="s">
        <v>798</v>
      </c>
      <c r="J177" s="221" t="b">
        <f>EXACT(E178,[1]Main!E178)</f>
        <v>1</v>
      </c>
    </row>
    <row r="178" spans="1:10" x14ac:dyDescent="0.25">
      <c r="A178" s="249">
        <v>45110</v>
      </c>
      <c r="B178" s="237"/>
      <c r="C178" s="238"/>
      <c r="D178" s="239"/>
      <c r="E178" s="237">
        <v>1000</v>
      </c>
      <c r="F178" s="242" t="s">
        <v>207</v>
      </c>
      <c r="G178" s="239" t="s">
        <v>464</v>
      </c>
      <c r="H178" s="240">
        <f t="shared" si="2"/>
        <v>162627</v>
      </c>
      <c r="I178" s="241"/>
      <c r="J178" s="221" t="b">
        <f>EXACT(E179,[1]Main!E179)</f>
        <v>1</v>
      </c>
    </row>
    <row r="179" spans="1:10" x14ac:dyDescent="0.25">
      <c r="A179" s="249">
        <v>45110</v>
      </c>
      <c r="B179" s="237"/>
      <c r="C179" s="238"/>
      <c r="D179" s="239"/>
      <c r="E179" s="237">
        <v>132</v>
      </c>
      <c r="F179" s="242" t="s">
        <v>208</v>
      </c>
      <c r="G179" s="239" t="s">
        <v>945</v>
      </c>
      <c r="H179" s="240">
        <f t="shared" si="2"/>
        <v>162495</v>
      </c>
      <c r="I179" s="241"/>
      <c r="J179" s="221" t="b">
        <f>EXACT(E180,[1]Main!E180)</f>
        <v>1</v>
      </c>
    </row>
    <row r="180" spans="1:10" x14ac:dyDescent="0.25">
      <c r="A180" s="249">
        <v>45110</v>
      </c>
      <c r="B180" s="237"/>
      <c r="C180" s="238"/>
      <c r="D180" s="239"/>
      <c r="E180" s="237">
        <v>240</v>
      </c>
      <c r="F180" s="242" t="s">
        <v>209</v>
      </c>
      <c r="G180" s="239" t="s">
        <v>935</v>
      </c>
      <c r="H180" s="240">
        <f t="shared" si="2"/>
        <v>162255</v>
      </c>
      <c r="I180" s="241"/>
      <c r="J180" s="221" t="b">
        <f>EXACT(E181,[1]Main!E181)</f>
        <v>1</v>
      </c>
    </row>
    <row r="181" spans="1:10" x14ac:dyDescent="0.25">
      <c r="A181" s="249">
        <v>45110</v>
      </c>
      <c r="B181" s="237"/>
      <c r="C181" s="238"/>
      <c r="D181" s="239"/>
      <c r="E181" s="237">
        <v>110</v>
      </c>
      <c r="F181" s="242" t="s">
        <v>9</v>
      </c>
      <c r="G181" s="239" t="s">
        <v>930</v>
      </c>
      <c r="H181" s="240">
        <f t="shared" si="2"/>
        <v>162145</v>
      </c>
      <c r="I181" s="241"/>
      <c r="J181" s="221" t="b">
        <f>EXACT(E182,[1]Main!E182)</f>
        <v>1</v>
      </c>
    </row>
    <row r="182" spans="1:10" x14ac:dyDescent="0.25">
      <c r="A182" s="249">
        <v>45110</v>
      </c>
      <c r="B182" s="237"/>
      <c r="C182" s="238"/>
      <c r="D182" s="239"/>
      <c r="E182" s="237">
        <v>105</v>
      </c>
      <c r="F182" s="242" t="s">
        <v>210</v>
      </c>
      <c r="G182" s="239" t="s">
        <v>930</v>
      </c>
      <c r="H182" s="240">
        <f t="shared" si="2"/>
        <v>162040</v>
      </c>
      <c r="I182" s="241"/>
      <c r="J182" s="221" t="b">
        <f>EXACT(E183,[1]Main!E183)</f>
        <v>1</v>
      </c>
    </row>
    <row r="183" spans="1:10" x14ac:dyDescent="0.25">
      <c r="A183" s="249">
        <v>45110</v>
      </c>
      <c r="B183" s="237"/>
      <c r="C183" s="238"/>
      <c r="D183" s="239"/>
      <c r="E183" s="237">
        <v>200</v>
      </c>
      <c r="F183" s="242" t="s">
        <v>86</v>
      </c>
      <c r="G183" s="239" t="s">
        <v>930</v>
      </c>
      <c r="H183" s="240">
        <f t="shared" si="2"/>
        <v>161840</v>
      </c>
      <c r="I183" s="241"/>
      <c r="J183" s="221" t="b">
        <f>EXACT(E184,[1]Main!E184)</f>
        <v>1</v>
      </c>
    </row>
    <row r="184" spans="1:10" x14ac:dyDescent="0.25">
      <c r="A184" s="249">
        <v>45110</v>
      </c>
      <c r="B184" s="237"/>
      <c r="C184" s="238"/>
      <c r="D184" s="239"/>
      <c r="E184" s="237">
        <v>2000</v>
      </c>
      <c r="F184" s="242" t="s">
        <v>88</v>
      </c>
      <c r="G184" s="239" t="s">
        <v>930</v>
      </c>
      <c r="H184" s="240">
        <f t="shared" si="2"/>
        <v>159840</v>
      </c>
      <c r="I184" s="241"/>
      <c r="J184" s="221" t="b">
        <f>EXACT(E185,[1]Main!E185)</f>
        <v>1</v>
      </c>
    </row>
    <row r="185" spans="1:10" x14ac:dyDescent="0.25">
      <c r="A185" s="249">
        <v>45110</v>
      </c>
      <c r="B185" s="237"/>
      <c r="C185" s="238"/>
      <c r="D185" s="239"/>
      <c r="E185" s="237">
        <v>6000</v>
      </c>
      <c r="F185" s="242" t="s">
        <v>211</v>
      </c>
      <c r="G185" s="239" t="s">
        <v>930</v>
      </c>
      <c r="H185" s="240">
        <f t="shared" si="2"/>
        <v>153840</v>
      </c>
      <c r="I185" s="241"/>
      <c r="J185" s="221" t="b">
        <f>EXACT(E186,[1]Main!E186)</f>
        <v>1</v>
      </c>
    </row>
    <row r="186" spans="1:10" x14ac:dyDescent="0.25">
      <c r="A186" s="249">
        <v>45110</v>
      </c>
      <c r="B186" s="237"/>
      <c r="C186" s="238"/>
      <c r="D186" s="239"/>
      <c r="E186" s="237">
        <v>30</v>
      </c>
      <c r="F186" s="242" t="s">
        <v>212</v>
      </c>
      <c r="G186" s="239" t="s">
        <v>464</v>
      </c>
      <c r="H186" s="240">
        <f t="shared" si="2"/>
        <v>153810</v>
      </c>
      <c r="I186" s="241"/>
      <c r="J186" s="221" t="b">
        <f>EXACT(E187,[1]Main!E187)</f>
        <v>1</v>
      </c>
    </row>
    <row r="187" spans="1:10" x14ac:dyDescent="0.25">
      <c r="A187" s="249">
        <v>45110</v>
      </c>
      <c r="B187" s="237"/>
      <c r="C187" s="238"/>
      <c r="D187" s="239"/>
      <c r="E187" s="237">
        <v>50</v>
      </c>
      <c r="F187" s="242" t="s">
        <v>799</v>
      </c>
      <c r="G187" s="239" t="s">
        <v>930</v>
      </c>
      <c r="H187" s="240">
        <f t="shared" si="2"/>
        <v>153760</v>
      </c>
      <c r="I187" s="241" t="s">
        <v>800</v>
      </c>
      <c r="J187" s="221" t="b">
        <f>EXACT(E188,[1]Main!E188)</f>
        <v>1</v>
      </c>
    </row>
    <row r="188" spans="1:10" x14ac:dyDescent="0.25">
      <c r="A188" s="249">
        <v>45110</v>
      </c>
      <c r="B188" s="237"/>
      <c r="C188" s="238"/>
      <c r="D188" s="239"/>
      <c r="E188" s="237">
        <v>235</v>
      </c>
      <c r="F188" s="242" t="s">
        <v>7</v>
      </c>
      <c r="G188" s="239" t="s">
        <v>930</v>
      </c>
      <c r="H188" s="240">
        <f t="shared" si="2"/>
        <v>153525</v>
      </c>
      <c r="I188" s="241"/>
      <c r="J188" s="221" t="b">
        <f>EXACT(E189,[1]Main!E189)</f>
        <v>1</v>
      </c>
    </row>
    <row r="189" spans="1:10" x14ac:dyDescent="0.25">
      <c r="A189" s="249">
        <v>45110</v>
      </c>
      <c r="B189" s="237"/>
      <c r="C189" s="238"/>
      <c r="D189" s="239"/>
      <c r="E189" s="237">
        <v>125</v>
      </c>
      <c r="F189" s="242" t="s">
        <v>89</v>
      </c>
      <c r="G189" s="239" t="s">
        <v>930</v>
      </c>
      <c r="H189" s="240">
        <f t="shared" si="2"/>
        <v>153400</v>
      </c>
      <c r="I189" s="241"/>
      <c r="J189" s="221" t="b">
        <f>EXACT(E190,[1]Main!E190)</f>
        <v>1</v>
      </c>
    </row>
    <row r="190" spans="1:10" x14ac:dyDescent="0.25">
      <c r="A190" s="249">
        <v>45110</v>
      </c>
      <c r="B190" s="237"/>
      <c r="C190" s="238"/>
      <c r="D190" s="239"/>
      <c r="E190" s="237">
        <v>590</v>
      </c>
      <c r="F190" s="242" t="s">
        <v>214</v>
      </c>
      <c r="G190" s="239" t="s">
        <v>928</v>
      </c>
      <c r="H190" s="240">
        <f t="shared" si="2"/>
        <v>152810</v>
      </c>
      <c r="I190" s="241"/>
      <c r="J190" s="221" t="b">
        <f>EXACT(E191,[1]Main!E191)</f>
        <v>1</v>
      </c>
    </row>
    <row r="191" spans="1:10" x14ac:dyDescent="0.25">
      <c r="A191" s="249">
        <v>45110</v>
      </c>
      <c r="B191" s="237"/>
      <c r="C191" s="238"/>
      <c r="D191" s="239"/>
      <c r="E191" s="237">
        <v>577</v>
      </c>
      <c r="F191" s="242" t="s">
        <v>45</v>
      </c>
      <c r="G191" s="239" t="s">
        <v>928</v>
      </c>
      <c r="H191" s="240">
        <f t="shared" si="2"/>
        <v>152233</v>
      </c>
      <c r="I191" s="241"/>
      <c r="J191" s="221" t="b">
        <f>EXACT(E192,[1]Main!E192)</f>
        <v>1</v>
      </c>
    </row>
    <row r="192" spans="1:10" x14ac:dyDescent="0.25">
      <c r="A192" s="249">
        <v>45110</v>
      </c>
      <c r="B192" s="237"/>
      <c r="C192" s="238"/>
      <c r="D192" s="239"/>
      <c r="E192" s="237">
        <v>645</v>
      </c>
      <c r="F192" s="242" t="s">
        <v>58</v>
      </c>
      <c r="G192" s="239" t="s">
        <v>928</v>
      </c>
      <c r="H192" s="240">
        <f t="shared" si="2"/>
        <v>151588</v>
      </c>
      <c r="I192" s="241"/>
      <c r="J192" s="221" t="b">
        <f>EXACT(E193,[1]Main!E193)</f>
        <v>1</v>
      </c>
    </row>
    <row r="193" spans="1:10" x14ac:dyDescent="0.25">
      <c r="A193" s="249">
        <v>45110</v>
      </c>
      <c r="B193" s="237"/>
      <c r="C193" s="238"/>
      <c r="D193" s="239"/>
      <c r="E193" s="237">
        <v>380</v>
      </c>
      <c r="F193" s="242" t="s">
        <v>215</v>
      </c>
      <c r="G193" s="239" t="s">
        <v>935</v>
      </c>
      <c r="H193" s="240">
        <f t="shared" si="2"/>
        <v>151208</v>
      </c>
      <c r="I193" s="241"/>
      <c r="J193" s="221" t="b">
        <f>EXACT(E194,[1]Main!E194)</f>
        <v>1</v>
      </c>
    </row>
    <row r="194" spans="1:10" x14ac:dyDescent="0.25">
      <c r="A194" s="249">
        <v>45110</v>
      </c>
      <c r="B194" s="237"/>
      <c r="C194" s="238"/>
      <c r="D194" s="239"/>
      <c r="E194" s="237">
        <v>10000</v>
      </c>
      <c r="F194" s="242" t="s">
        <v>594</v>
      </c>
      <c r="G194" s="239" t="s">
        <v>928</v>
      </c>
      <c r="H194" s="240">
        <f t="shared" si="2"/>
        <v>141208</v>
      </c>
      <c r="I194" s="241" t="s">
        <v>801</v>
      </c>
      <c r="J194" s="221" t="b">
        <f>EXACT(E195,[1]Main!E195)</f>
        <v>1</v>
      </c>
    </row>
    <row r="195" spans="1:10" x14ac:dyDescent="0.25">
      <c r="A195" s="249">
        <v>45110</v>
      </c>
      <c r="B195" s="237"/>
      <c r="C195" s="238"/>
      <c r="D195" s="239"/>
      <c r="E195" s="237">
        <v>4585</v>
      </c>
      <c r="F195" s="242" t="s">
        <v>975</v>
      </c>
      <c r="G195" s="239" t="s">
        <v>928</v>
      </c>
      <c r="H195" s="240">
        <f t="shared" si="2"/>
        <v>136623</v>
      </c>
      <c r="I195" s="241" t="s">
        <v>789</v>
      </c>
      <c r="J195" s="221" t="b">
        <f>EXACT(E196,[1]Main!E196)</f>
        <v>1</v>
      </c>
    </row>
    <row r="196" spans="1:10" x14ac:dyDescent="0.25">
      <c r="A196" s="249">
        <v>45110</v>
      </c>
      <c r="B196" s="237"/>
      <c r="C196" s="238"/>
      <c r="D196" s="239"/>
      <c r="E196" s="237">
        <v>280</v>
      </c>
      <c r="F196" s="242" t="s">
        <v>29</v>
      </c>
      <c r="G196" s="239" t="s">
        <v>930</v>
      </c>
      <c r="H196" s="240">
        <f t="shared" si="2"/>
        <v>136343</v>
      </c>
      <c r="I196" s="241"/>
      <c r="J196" s="221" t="b">
        <f>EXACT(E197,[1]Main!E197)</f>
        <v>1</v>
      </c>
    </row>
    <row r="197" spans="1:10" x14ac:dyDescent="0.25">
      <c r="A197" s="249">
        <v>45110</v>
      </c>
      <c r="B197" s="237"/>
      <c r="C197" s="238"/>
      <c r="D197" s="239"/>
      <c r="E197" s="237">
        <v>85</v>
      </c>
      <c r="F197" s="242" t="s">
        <v>223</v>
      </c>
      <c r="G197" s="239" t="s">
        <v>930</v>
      </c>
      <c r="H197" s="240">
        <f t="shared" si="2"/>
        <v>136258</v>
      </c>
      <c r="I197" s="241"/>
      <c r="J197" s="221" t="b">
        <f>EXACT(E198,[1]Main!E198)</f>
        <v>1</v>
      </c>
    </row>
    <row r="198" spans="1:10" x14ac:dyDescent="0.25">
      <c r="A198" s="249">
        <v>45110</v>
      </c>
      <c r="B198" s="237"/>
      <c r="C198" s="238"/>
      <c r="D198" s="239"/>
      <c r="E198" s="237">
        <v>100</v>
      </c>
      <c r="F198" s="242" t="s">
        <v>224</v>
      </c>
      <c r="G198" s="239" t="s">
        <v>464</v>
      </c>
      <c r="H198" s="240">
        <f t="shared" si="2"/>
        <v>136158</v>
      </c>
      <c r="I198" s="241"/>
      <c r="J198" s="221" t="b">
        <f>EXACT(E199,[1]Main!E199)</f>
        <v>1</v>
      </c>
    </row>
    <row r="199" spans="1:10" x14ac:dyDescent="0.25">
      <c r="A199" s="249">
        <v>45110</v>
      </c>
      <c r="B199" s="237"/>
      <c r="C199" s="238"/>
      <c r="D199" s="239"/>
      <c r="E199" s="237">
        <v>60</v>
      </c>
      <c r="F199" s="242" t="s">
        <v>225</v>
      </c>
      <c r="G199" s="239" t="s">
        <v>929</v>
      </c>
      <c r="H199" s="240">
        <f t="shared" ref="H199:H262" si="3">H198+B199-E199</f>
        <v>136098</v>
      </c>
      <c r="I199" s="241"/>
      <c r="J199" s="221" t="b">
        <f>EXACT(E200,[1]Main!E200)</f>
        <v>1</v>
      </c>
    </row>
    <row r="200" spans="1:10" x14ac:dyDescent="0.25">
      <c r="A200" s="249">
        <v>45110</v>
      </c>
      <c r="B200" s="237"/>
      <c r="C200" s="238"/>
      <c r="D200" s="239"/>
      <c r="E200" s="237">
        <v>1690</v>
      </c>
      <c r="F200" s="242" t="s">
        <v>14</v>
      </c>
      <c r="G200" s="239" t="s">
        <v>935</v>
      </c>
      <c r="H200" s="240">
        <f t="shared" si="3"/>
        <v>134408</v>
      </c>
      <c r="I200" s="241"/>
      <c r="J200" s="221" t="b">
        <f>EXACT(E201,[1]Main!E201)</f>
        <v>1</v>
      </c>
    </row>
    <row r="201" spans="1:10" x14ac:dyDescent="0.25">
      <c r="A201" s="249">
        <v>45110</v>
      </c>
      <c r="B201" s="237"/>
      <c r="C201" s="238"/>
      <c r="D201" s="239"/>
      <c r="E201" s="237">
        <v>6550</v>
      </c>
      <c r="F201" s="242" t="s">
        <v>228</v>
      </c>
      <c r="G201" s="239" t="s">
        <v>928</v>
      </c>
      <c r="H201" s="240">
        <f t="shared" si="3"/>
        <v>127858</v>
      </c>
      <c r="I201" s="241"/>
      <c r="J201" s="221" t="b">
        <f>EXACT(E202,[1]Main!E202)</f>
        <v>1</v>
      </c>
    </row>
    <row r="202" spans="1:10" x14ac:dyDescent="0.25">
      <c r="A202" s="249">
        <v>45110</v>
      </c>
      <c r="B202" s="237"/>
      <c r="C202" s="238"/>
      <c r="D202" s="239"/>
      <c r="E202" s="237">
        <v>100</v>
      </c>
      <c r="F202" s="242" t="s">
        <v>464</v>
      </c>
      <c r="G202" s="239" t="s">
        <v>464</v>
      </c>
      <c r="H202" s="240">
        <f t="shared" si="3"/>
        <v>127758</v>
      </c>
      <c r="I202" s="241" t="s">
        <v>229</v>
      </c>
      <c r="J202" s="221" t="b">
        <f>EXACT(E203,[1]Main!E203)</f>
        <v>1</v>
      </c>
    </row>
    <row r="203" spans="1:10" x14ac:dyDescent="0.25">
      <c r="A203" s="249">
        <v>45110</v>
      </c>
      <c r="B203" s="237"/>
      <c r="C203" s="238"/>
      <c r="D203" s="239"/>
      <c r="E203" s="237">
        <v>1925</v>
      </c>
      <c r="F203" s="242" t="s">
        <v>230</v>
      </c>
      <c r="G203" s="239" t="s">
        <v>928</v>
      </c>
      <c r="H203" s="240">
        <f t="shared" si="3"/>
        <v>125833</v>
      </c>
      <c r="I203" s="241" t="s">
        <v>802</v>
      </c>
      <c r="J203" s="221" t="b">
        <f>EXACT(E204,[1]Main!E204)</f>
        <v>1</v>
      </c>
    </row>
    <row r="204" spans="1:10" x14ac:dyDescent="0.25">
      <c r="A204" s="249">
        <v>45110</v>
      </c>
      <c r="B204" s="237"/>
      <c r="C204" s="238"/>
      <c r="D204" s="239"/>
      <c r="E204" s="237">
        <v>50</v>
      </c>
      <c r="F204" s="242" t="s">
        <v>127</v>
      </c>
      <c r="G204" s="239" t="s">
        <v>938</v>
      </c>
      <c r="H204" s="240">
        <f t="shared" si="3"/>
        <v>125783</v>
      </c>
      <c r="I204" s="241"/>
      <c r="J204" s="221" t="b">
        <f>EXACT(E205,[1]Main!E205)</f>
        <v>1</v>
      </c>
    </row>
    <row r="205" spans="1:10" x14ac:dyDescent="0.25">
      <c r="A205" s="249">
        <v>45110</v>
      </c>
      <c r="B205" s="237"/>
      <c r="C205" s="238"/>
      <c r="D205" s="239"/>
      <c r="E205" s="237">
        <v>450</v>
      </c>
      <c r="F205" s="242" t="s">
        <v>231</v>
      </c>
      <c r="G205" s="239" t="s">
        <v>464</v>
      </c>
      <c r="H205" s="240">
        <f t="shared" si="3"/>
        <v>125333</v>
      </c>
      <c r="I205" s="241"/>
      <c r="J205" s="221" t="b">
        <f>EXACT(E206,[1]Main!E206)</f>
        <v>1</v>
      </c>
    </row>
    <row r="206" spans="1:10" x14ac:dyDescent="0.25">
      <c r="A206" s="249">
        <v>45110</v>
      </c>
      <c r="B206" s="237"/>
      <c r="C206" s="238"/>
      <c r="D206" s="239"/>
      <c r="E206" s="237">
        <v>75</v>
      </c>
      <c r="F206" s="242" t="s">
        <v>26</v>
      </c>
      <c r="G206" s="239" t="s">
        <v>930</v>
      </c>
      <c r="H206" s="240">
        <f t="shared" si="3"/>
        <v>125258</v>
      </c>
      <c r="I206" s="241"/>
      <c r="J206" s="221" t="b">
        <f>EXACT(E207,[1]Main!E207)</f>
        <v>1</v>
      </c>
    </row>
    <row r="207" spans="1:10" x14ac:dyDescent="0.25">
      <c r="A207" s="249">
        <v>45110</v>
      </c>
      <c r="B207" s="237"/>
      <c r="C207" s="238"/>
      <c r="D207" s="239"/>
      <c r="E207" s="237">
        <v>125</v>
      </c>
      <c r="F207" s="242" t="s">
        <v>60</v>
      </c>
      <c r="G207" s="239" t="s">
        <v>930</v>
      </c>
      <c r="H207" s="240">
        <f t="shared" si="3"/>
        <v>125133</v>
      </c>
      <c r="I207" s="241"/>
      <c r="J207" s="221" t="b">
        <f>EXACT(E208,[1]Main!E208)</f>
        <v>1</v>
      </c>
    </row>
    <row r="208" spans="1:10" x14ac:dyDescent="0.25">
      <c r="A208" s="249">
        <v>45110</v>
      </c>
      <c r="B208" s="237"/>
      <c r="C208" s="238"/>
      <c r="D208" s="239"/>
      <c r="E208" s="237">
        <v>135</v>
      </c>
      <c r="F208" s="242" t="s">
        <v>19</v>
      </c>
      <c r="G208" s="239" t="s">
        <v>930</v>
      </c>
      <c r="H208" s="240">
        <f t="shared" si="3"/>
        <v>124998</v>
      </c>
      <c r="I208" s="241"/>
      <c r="J208" s="221" t="b">
        <f>EXACT(E209,[1]Main!E209)</f>
        <v>1</v>
      </c>
    </row>
    <row r="209" spans="1:10" x14ac:dyDescent="0.25">
      <c r="A209" s="249">
        <v>45110</v>
      </c>
      <c r="B209" s="237"/>
      <c r="C209" s="238"/>
      <c r="D209" s="239"/>
      <c r="E209" s="237">
        <v>4853</v>
      </c>
      <c r="F209" s="242" t="s">
        <v>236</v>
      </c>
      <c r="G209" s="239" t="s">
        <v>928</v>
      </c>
      <c r="H209" s="240">
        <f t="shared" si="3"/>
        <v>120145</v>
      </c>
      <c r="I209" s="241"/>
      <c r="J209" s="221" t="b">
        <f>EXACT(E210,[1]Main!E210)</f>
        <v>1</v>
      </c>
    </row>
    <row r="210" spans="1:10" x14ac:dyDescent="0.25">
      <c r="A210" s="249">
        <v>45110</v>
      </c>
      <c r="B210" s="237"/>
      <c r="C210" s="238"/>
      <c r="D210" s="239"/>
      <c r="E210" s="237">
        <v>60</v>
      </c>
      <c r="F210" s="242" t="s">
        <v>237</v>
      </c>
      <c r="G210" s="239" t="s">
        <v>935</v>
      </c>
      <c r="H210" s="240">
        <f t="shared" si="3"/>
        <v>120085</v>
      </c>
      <c r="I210" s="241"/>
      <c r="J210" s="221" t="b">
        <f>EXACT(E211,[1]Main!E211)</f>
        <v>1</v>
      </c>
    </row>
    <row r="211" spans="1:10" x14ac:dyDescent="0.25">
      <c r="A211" s="249">
        <v>45110</v>
      </c>
      <c r="B211" s="237"/>
      <c r="C211" s="238"/>
      <c r="D211" s="239"/>
      <c r="E211" s="237">
        <v>100</v>
      </c>
      <c r="F211" s="242" t="s">
        <v>87</v>
      </c>
      <c r="G211" s="239" t="s">
        <v>930</v>
      </c>
      <c r="H211" s="240">
        <f t="shared" si="3"/>
        <v>119985</v>
      </c>
      <c r="I211" s="241"/>
      <c r="J211" s="221" t="b">
        <f>EXACT(E212,[1]Main!E212)</f>
        <v>1</v>
      </c>
    </row>
    <row r="212" spans="1:10" x14ac:dyDescent="0.25">
      <c r="A212" s="249">
        <v>45110</v>
      </c>
      <c r="B212" s="237"/>
      <c r="C212" s="238"/>
      <c r="D212" s="239"/>
      <c r="E212" s="237">
        <v>115</v>
      </c>
      <c r="F212" s="242" t="s">
        <v>240</v>
      </c>
      <c r="G212" s="239" t="s">
        <v>930</v>
      </c>
      <c r="H212" s="240">
        <f t="shared" si="3"/>
        <v>119870</v>
      </c>
      <c r="I212" s="241"/>
      <c r="J212" s="221" t="b">
        <f>EXACT(E213,[1]Main!E213)</f>
        <v>1</v>
      </c>
    </row>
    <row r="213" spans="1:10" x14ac:dyDescent="0.25">
      <c r="A213" s="249">
        <v>45110</v>
      </c>
      <c r="B213" s="237"/>
      <c r="C213" s="238"/>
      <c r="D213" s="239"/>
      <c r="E213" s="237">
        <v>10</v>
      </c>
      <c r="F213" s="242" t="s">
        <v>239</v>
      </c>
      <c r="G213" s="239" t="s">
        <v>930</v>
      </c>
      <c r="H213" s="240">
        <f t="shared" si="3"/>
        <v>119860</v>
      </c>
      <c r="I213" s="241"/>
      <c r="J213" s="221" t="b">
        <f>EXACT(E214,[1]Main!E214)</f>
        <v>1</v>
      </c>
    </row>
    <row r="214" spans="1:10" x14ac:dyDescent="0.25">
      <c r="A214" s="249">
        <v>45110</v>
      </c>
      <c r="B214" s="237"/>
      <c r="C214" s="238"/>
      <c r="D214" s="239"/>
      <c r="E214" s="237">
        <v>33</v>
      </c>
      <c r="F214" s="242" t="s">
        <v>238</v>
      </c>
      <c r="G214" s="239" t="s">
        <v>464</v>
      </c>
      <c r="H214" s="240">
        <f t="shared" si="3"/>
        <v>119827</v>
      </c>
      <c r="I214" s="241"/>
      <c r="J214" s="221" t="b">
        <f>EXACT(E215,[1]Main!E215)</f>
        <v>1</v>
      </c>
    </row>
    <row r="215" spans="1:10" x14ac:dyDescent="0.25">
      <c r="A215" s="249">
        <v>45110</v>
      </c>
      <c r="B215" s="237"/>
      <c r="C215" s="238"/>
      <c r="D215" s="239"/>
      <c r="E215" s="237">
        <v>1500</v>
      </c>
      <c r="F215" s="242" t="s">
        <v>803</v>
      </c>
      <c r="G215" s="239" t="s">
        <v>928</v>
      </c>
      <c r="H215" s="240">
        <f t="shared" si="3"/>
        <v>118327</v>
      </c>
      <c r="I215" s="241" t="s">
        <v>787</v>
      </c>
      <c r="J215" s="221" t="b">
        <f>EXACT(E216,[1]Main!E216)</f>
        <v>1</v>
      </c>
    </row>
    <row r="216" spans="1:10" x14ac:dyDescent="0.25">
      <c r="A216" s="249">
        <v>45110</v>
      </c>
      <c r="B216" s="237"/>
      <c r="C216" s="238"/>
      <c r="D216" s="239"/>
      <c r="E216" s="237">
        <v>60</v>
      </c>
      <c r="F216" s="242" t="s">
        <v>242</v>
      </c>
      <c r="G216" s="239" t="s">
        <v>945</v>
      </c>
      <c r="H216" s="240">
        <f t="shared" si="3"/>
        <v>118267</v>
      </c>
      <c r="I216" s="241"/>
      <c r="J216" s="221" t="b">
        <f>EXACT(E217,[1]Main!E217)</f>
        <v>1</v>
      </c>
    </row>
    <row r="217" spans="1:10" x14ac:dyDescent="0.25">
      <c r="A217" s="249">
        <v>45110</v>
      </c>
      <c r="B217" s="237"/>
      <c r="C217" s="238"/>
      <c r="D217" s="239"/>
      <c r="E217" s="237">
        <v>350</v>
      </c>
      <c r="F217" s="242" t="s">
        <v>243</v>
      </c>
      <c r="G217" s="239" t="s">
        <v>929</v>
      </c>
      <c r="H217" s="240">
        <f t="shared" si="3"/>
        <v>117917</v>
      </c>
      <c r="I217" s="241"/>
      <c r="J217" s="221" t="b">
        <f>EXACT(E218,[1]Main!E218)</f>
        <v>1</v>
      </c>
    </row>
    <row r="218" spans="1:10" x14ac:dyDescent="0.25">
      <c r="A218" s="249">
        <v>45110</v>
      </c>
      <c r="B218" s="237"/>
      <c r="C218" s="238"/>
      <c r="D218" s="239"/>
      <c r="E218" s="237">
        <v>612</v>
      </c>
      <c r="F218" s="242" t="s">
        <v>245</v>
      </c>
      <c r="G218" s="239" t="s">
        <v>928</v>
      </c>
      <c r="H218" s="240">
        <f t="shared" si="3"/>
        <v>117305</v>
      </c>
      <c r="I218" s="241"/>
      <c r="J218" s="221" t="b">
        <f>EXACT(E219,[1]Main!E219)</f>
        <v>1</v>
      </c>
    </row>
    <row r="219" spans="1:10" x14ac:dyDescent="0.25">
      <c r="A219" s="249">
        <v>45110</v>
      </c>
      <c r="B219" s="237"/>
      <c r="C219" s="238"/>
      <c r="D219" s="239"/>
      <c r="E219" s="237">
        <v>800</v>
      </c>
      <c r="F219" s="242" t="s">
        <v>246</v>
      </c>
      <c r="G219" s="239" t="s">
        <v>464</v>
      </c>
      <c r="H219" s="240">
        <f t="shared" si="3"/>
        <v>116505</v>
      </c>
      <c r="I219" s="241"/>
      <c r="J219" s="221" t="b">
        <f>EXACT(E220,[1]Main!E220)</f>
        <v>1</v>
      </c>
    </row>
    <row r="220" spans="1:10" x14ac:dyDescent="0.25">
      <c r="A220" s="249">
        <v>45110</v>
      </c>
      <c r="B220" s="237"/>
      <c r="C220" s="238"/>
      <c r="D220" s="239"/>
      <c r="E220" s="237">
        <v>65</v>
      </c>
      <c r="F220" s="242" t="s">
        <v>247</v>
      </c>
      <c r="G220" s="239" t="s">
        <v>930</v>
      </c>
      <c r="H220" s="240">
        <f t="shared" si="3"/>
        <v>116440</v>
      </c>
      <c r="I220" s="241"/>
      <c r="J220" s="221" t="b">
        <f>EXACT(E221,[1]Main!E221)</f>
        <v>1</v>
      </c>
    </row>
    <row r="221" spans="1:10" x14ac:dyDescent="0.25">
      <c r="A221" s="249">
        <v>45110</v>
      </c>
      <c r="B221" s="237"/>
      <c r="C221" s="238"/>
      <c r="D221" s="239"/>
      <c r="E221" s="237">
        <v>80</v>
      </c>
      <c r="F221" s="242" t="s">
        <v>248</v>
      </c>
      <c r="G221" s="239" t="s">
        <v>930</v>
      </c>
      <c r="H221" s="240">
        <f t="shared" si="3"/>
        <v>116360</v>
      </c>
      <c r="I221" s="241"/>
      <c r="J221" s="221" t="b">
        <f>EXACT(E222,[1]Main!E222)</f>
        <v>1</v>
      </c>
    </row>
    <row r="222" spans="1:10" x14ac:dyDescent="0.25">
      <c r="A222" s="249">
        <v>45110</v>
      </c>
      <c r="B222" s="237"/>
      <c r="C222" s="238"/>
      <c r="D222" s="239"/>
      <c r="E222" s="237">
        <v>155</v>
      </c>
      <c r="F222" s="242" t="s">
        <v>107</v>
      </c>
      <c r="G222" s="239" t="s">
        <v>930</v>
      </c>
      <c r="H222" s="240">
        <f t="shared" si="3"/>
        <v>116205</v>
      </c>
      <c r="I222" s="241"/>
      <c r="J222" s="221" t="b">
        <f>EXACT(E223,[1]Main!E223)</f>
        <v>1</v>
      </c>
    </row>
    <row r="223" spans="1:10" x14ac:dyDescent="0.25">
      <c r="A223" s="249">
        <v>45110</v>
      </c>
      <c r="B223" s="237"/>
      <c r="C223" s="238"/>
      <c r="D223" s="239"/>
      <c r="E223" s="237">
        <v>225</v>
      </c>
      <c r="F223" s="242" t="s">
        <v>210</v>
      </c>
      <c r="G223" s="239" t="s">
        <v>930</v>
      </c>
      <c r="H223" s="240">
        <f t="shared" si="3"/>
        <v>115980</v>
      </c>
      <c r="I223" s="241"/>
      <c r="J223" s="221" t="b">
        <f>EXACT(E224,[1]Main!E224)</f>
        <v>1</v>
      </c>
    </row>
    <row r="224" spans="1:10" x14ac:dyDescent="0.25">
      <c r="A224" s="249">
        <v>45110</v>
      </c>
      <c r="B224" s="237"/>
      <c r="C224" s="238"/>
      <c r="D224" s="239"/>
      <c r="E224" s="237">
        <v>100</v>
      </c>
      <c r="F224" s="242" t="s">
        <v>9</v>
      </c>
      <c r="G224" s="239" t="s">
        <v>930</v>
      </c>
      <c r="H224" s="240">
        <f t="shared" si="3"/>
        <v>115880</v>
      </c>
      <c r="I224" s="241"/>
      <c r="J224" s="221" t="b">
        <f>EXACT(E225,[1]Main!E225)</f>
        <v>1</v>
      </c>
    </row>
    <row r="225" spans="1:10" x14ac:dyDescent="0.25">
      <c r="A225" s="249">
        <v>45110</v>
      </c>
      <c r="B225" s="237"/>
      <c r="C225" s="238"/>
      <c r="D225" s="239"/>
      <c r="E225" s="237">
        <v>170</v>
      </c>
      <c r="F225" s="242" t="s">
        <v>86</v>
      </c>
      <c r="G225" s="239" t="s">
        <v>930</v>
      </c>
      <c r="H225" s="240">
        <f t="shared" si="3"/>
        <v>115710</v>
      </c>
      <c r="I225" s="241"/>
      <c r="J225" s="221" t="b">
        <f>EXACT(E226,[1]Main!E226)</f>
        <v>1</v>
      </c>
    </row>
    <row r="226" spans="1:10" x14ac:dyDescent="0.25">
      <c r="A226" s="249">
        <v>45110</v>
      </c>
      <c r="B226" s="237"/>
      <c r="C226" s="238"/>
      <c r="D226" s="239"/>
      <c r="E226" s="237">
        <v>10000</v>
      </c>
      <c r="F226" s="242" t="s">
        <v>127</v>
      </c>
      <c r="G226" s="239" t="s">
        <v>938</v>
      </c>
      <c r="H226" s="240">
        <f t="shared" si="3"/>
        <v>105710</v>
      </c>
      <c r="I226" s="241"/>
      <c r="J226" s="221" t="b">
        <f>EXACT(E227,[1]Main!E227)</f>
        <v>1</v>
      </c>
    </row>
    <row r="227" spans="1:10" x14ac:dyDescent="0.25">
      <c r="A227" s="249">
        <v>45110</v>
      </c>
      <c r="B227" s="237"/>
      <c r="C227" s="238"/>
      <c r="D227" s="239"/>
      <c r="E227" s="237">
        <v>957</v>
      </c>
      <c r="F227" s="242" t="s">
        <v>252</v>
      </c>
      <c r="G227" s="239" t="s">
        <v>928</v>
      </c>
      <c r="H227" s="240">
        <f t="shared" si="3"/>
        <v>104753</v>
      </c>
      <c r="I227" s="241"/>
      <c r="J227" s="221" t="b">
        <f>EXACT(E228,[1]Main!E228)</f>
        <v>1</v>
      </c>
    </row>
    <row r="228" spans="1:10" x14ac:dyDescent="0.25">
      <c r="A228" s="249">
        <v>45110</v>
      </c>
      <c r="B228" s="237"/>
      <c r="C228" s="238"/>
      <c r="D228" s="239"/>
      <c r="E228" s="237">
        <v>100</v>
      </c>
      <c r="F228" s="242" t="s">
        <v>89</v>
      </c>
      <c r="G228" s="239" t="s">
        <v>930</v>
      </c>
      <c r="H228" s="240">
        <f t="shared" si="3"/>
        <v>104653</v>
      </c>
      <c r="I228" s="241"/>
      <c r="J228" s="221" t="b">
        <f>EXACT(E229,[1]Main!E229)</f>
        <v>1</v>
      </c>
    </row>
    <row r="229" spans="1:10" x14ac:dyDescent="0.25">
      <c r="A229" s="249">
        <v>45110</v>
      </c>
      <c r="B229" s="237"/>
      <c r="C229" s="238"/>
      <c r="D229" s="239"/>
      <c r="E229" s="237">
        <v>3515</v>
      </c>
      <c r="F229" s="242" t="s">
        <v>253</v>
      </c>
      <c r="G229" s="239" t="s">
        <v>928</v>
      </c>
      <c r="H229" s="240">
        <f t="shared" si="3"/>
        <v>101138</v>
      </c>
      <c r="I229" s="241"/>
      <c r="J229" s="221" t="b">
        <f>EXACT(E230,[1]Main!E230)</f>
        <v>1</v>
      </c>
    </row>
    <row r="230" spans="1:10" x14ac:dyDescent="0.25">
      <c r="A230" s="249">
        <v>45110</v>
      </c>
      <c r="B230" s="237"/>
      <c r="C230" s="238"/>
      <c r="D230" s="239"/>
      <c r="E230" s="237">
        <v>435</v>
      </c>
      <c r="F230" s="242" t="s">
        <v>215</v>
      </c>
      <c r="G230" s="239" t="s">
        <v>935</v>
      </c>
      <c r="H230" s="240">
        <f t="shared" si="3"/>
        <v>100703</v>
      </c>
      <c r="I230" s="241"/>
      <c r="J230" s="221" t="b">
        <f>EXACT(E231,[1]Main!E231)</f>
        <v>1</v>
      </c>
    </row>
    <row r="231" spans="1:10" x14ac:dyDescent="0.25">
      <c r="A231" s="249">
        <v>45110</v>
      </c>
      <c r="B231" s="237"/>
      <c r="C231" s="238"/>
      <c r="D231" s="239"/>
      <c r="E231" s="237">
        <v>420</v>
      </c>
      <c r="F231" s="242" t="s">
        <v>34</v>
      </c>
      <c r="G231" s="239" t="s">
        <v>935</v>
      </c>
      <c r="H231" s="240">
        <f t="shared" si="3"/>
        <v>100283</v>
      </c>
      <c r="I231" s="241"/>
      <c r="J231" s="221" t="b">
        <f>EXACT(E232,[1]Main!E232)</f>
        <v>1</v>
      </c>
    </row>
    <row r="232" spans="1:10" x14ac:dyDescent="0.25">
      <c r="A232" s="249">
        <v>45110</v>
      </c>
      <c r="B232" s="237"/>
      <c r="C232" s="238"/>
      <c r="D232" s="239"/>
      <c r="E232" s="237">
        <v>120</v>
      </c>
      <c r="F232" s="242" t="s">
        <v>255</v>
      </c>
      <c r="G232" s="239" t="s">
        <v>930</v>
      </c>
      <c r="H232" s="240">
        <f t="shared" si="3"/>
        <v>100163</v>
      </c>
      <c r="I232" s="241"/>
      <c r="J232" s="221" t="b">
        <f>EXACT(E233,[1]Main!E233)</f>
        <v>1</v>
      </c>
    </row>
    <row r="233" spans="1:10" x14ac:dyDescent="0.25">
      <c r="A233" s="249">
        <v>45110</v>
      </c>
      <c r="B233" s="237"/>
      <c r="C233" s="238"/>
      <c r="D233" s="239"/>
      <c r="E233" s="237">
        <v>305</v>
      </c>
      <c r="F233" s="242" t="s">
        <v>7</v>
      </c>
      <c r="G233" s="239" t="s">
        <v>930</v>
      </c>
      <c r="H233" s="240">
        <f t="shared" si="3"/>
        <v>99858</v>
      </c>
      <c r="I233" s="241"/>
      <c r="J233" s="221" t="b">
        <f>EXACT(E234,[1]Main!E234)</f>
        <v>1</v>
      </c>
    </row>
    <row r="234" spans="1:10" x14ac:dyDescent="0.25">
      <c r="A234" s="249">
        <v>45110</v>
      </c>
      <c r="B234" s="237"/>
      <c r="C234" s="238"/>
      <c r="D234" s="239"/>
      <c r="E234" s="237">
        <v>210</v>
      </c>
      <c r="F234" s="242" t="s">
        <v>56</v>
      </c>
      <c r="G234" s="239" t="s">
        <v>928</v>
      </c>
      <c r="H234" s="240">
        <f t="shared" si="3"/>
        <v>99648</v>
      </c>
      <c r="I234" s="241"/>
      <c r="J234" s="221" t="b">
        <f>EXACT(E235,[1]Main!E235)</f>
        <v>1</v>
      </c>
    </row>
    <row r="235" spans="1:10" x14ac:dyDescent="0.25">
      <c r="A235" s="249">
        <v>45110</v>
      </c>
      <c r="B235" s="237"/>
      <c r="C235" s="238"/>
      <c r="D235" s="239"/>
      <c r="E235" s="237">
        <v>30</v>
      </c>
      <c r="F235" s="242" t="s">
        <v>32</v>
      </c>
      <c r="G235" s="239" t="s">
        <v>930</v>
      </c>
      <c r="H235" s="240">
        <f t="shared" si="3"/>
        <v>99618</v>
      </c>
      <c r="I235" s="241" t="s">
        <v>24</v>
      </c>
      <c r="J235" s="221" t="b">
        <f>EXACT(E236,[1]Main!E236)</f>
        <v>1</v>
      </c>
    </row>
    <row r="236" spans="1:10" x14ac:dyDescent="0.25">
      <c r="A236" s="249">
        <v>45110</v>
      </c>
      <c r="B236" s="237"/>
      <c r="C236" s="238"/>
      <c r="D236" s="239"/>
      <c r="E236" s="237">
        <v>1930</v>
      </c>
      <c r="F236" s="242" t="s">
        <v>37</v>
      </c>
      <c r="G236" s="239" t="s">
        <v>928</v>
      </c>
      <c r="H236" s="240">
        <f t="shared" si="3"/>
        <v>97688</v>
      </c>
      <c r="I236" s="241"/>
      <c r="J236" s="221" t="b">
        <f>EXACT(E237,[1]Main!E237)</f>
        <v>1</v>
      </c>
    </row>
    <row r="237" spans="1:10" x14ac:dyDescent="0.25">
      <c r="A237" s="249">
        <v>45110</v>
      </c>
      <c r="B237" s="237"/>
      <c r="C237" s="238"/>
      <c r="D237" s="239"/>
      <c r="E237" s="237">
        <v>80</v>
      </c>
      <c r="F237" s="242" t="s">
        <v>260</v>
      </c>
      <c r="G237" s="239" t="s">
        <v>930</v>
      </c>
      <c r="H237" s="240">
        <f t="shared" si="3"/>
        <v>97608</v>
      </c>
      <c r="I237" s="241"/>
      <c r="J237" s="221" t="b">
        <f>EXACT(E238,[1]Main!E238)</f>
        <v>1</v>
      </c>
    </row>
    <row r="238" spans="1:10" x14ac:dyDescent="0.25">
      <c r="A238" s="249">
        <v>45110</v>
      </c>
      <c r="B238" s="237"/>
      <c r="C238" s="238"/>
      <c r="D238" s="239"/>
      <c r="E238" s="237">
        <v>820</v>
      </c>
      <c r="F238" s="242" t="s">
        <v>804</v>
      </c>
      <c r="G238" s="239" t="s">
        <v>930</v>
      </c>
      <c r="H238" s="240">
        <f t="shared" si="3"/>
        <v>96788</v>
      </c>
      <c r="I238" s="241" t="s">
        <v>805</v>
      </c>
      <c r="J238" s="221" t="b">
        <f>EXACT(E239,[1]Main!E239)</f>
        <v>1</v>
      </c>
    </row>
    <row r="239" spans="1:10" x14ac:dyDescent="0.25">
      <c r="A239" s="249">
        <v>45110</v>
      </c>
      <c r="B239" s="237"/>
      <c r="C239" s="238"/>
      <c r="D239" s="239"/>
      <c r="E239" s="237">
        <v>125</v>
      </c>
      <c r="F239" s="242" t="s">
        <v>60</v>
      </c>
      <c r="G239" s="239" t="s">
        <v>930</v>
      </c>
      <c r="H239" s="240">
        <f t="shared" si="3"/>
        <v>96663</v>
      </c>
      <c r="I239" s="241"/>
      <c r="J239" s="221" t="b">
        <f>EXACT(E240,[1]Main!E240)</f>
        <v>1</v>
      </c>
    </row>
    <row r="240" spans="1:10" x14ac:dyDescent="0.25">
      <c r="A240" s="249">
        <v>45110</v>
      </c>
      <c r="B240" s="237"/>
      <c r="C240" s="238"/>
      <c r="D240" s="239"/>
      <c r="E240" s="237">
        <v>10000</v>
      </c>
      <c r="F240" s="242" t="s">
        <v>127</v>
      </c>
      <c r="G240" s="239" t="s">
        <v>938</v>
      </c>
      <c r="H240" s="240">
        <f t="shared" si="3"/>
        <v>86663</v>
      </c>
      <c r="I240" s="241" t="s">
        <v>790</v>
      </c>
      <c r="J240" s="221" t="b">
        <f>EXACT(E241,[1]Main!E241)</f>
        <v>1</v>
      </c>
    </row>
    <row r="241" spans="1:10" x14ac:dyDescent="0.25">
      <c r="A241" s="249">
        <v>45110</v>
      </c>
      <c r="B241" s="237"/>
      <c r="C241" s="238"/>
      <c r="D241" s="239"/>
      <c r="E241" s="237">
        <v>15</v>
      </c>
      <c r="F241" s="242" t="s">
        <v>234</v>
      </c>
      <c r="G241" s="239" t="s">
        <v>930</v>
      </c>
      <c r="H241" s="240">
        <f t="shared" si="3"/>
        <v>86648</v>
      </c>
      <c r="I241" s="241"/>
      <c r="J241" s="221" t="b">
        <f>EXACT(E242,[1]Main!E242)</f>
        <v>1</v>
      </c>
    </row>
    <row r="242" spans="1:10" x14ac:dyDescent="0.25">
      <c r="A242" s="249">
        <v>45110</v>
      </c>
      <c r="B242" s="237"/>
      <c r="C242" s="238"/>
      <c r="D242" s="239"/>
      <c r="E242" s="237">
        <v>9000</v>
      </c>
      <c r="F242" s="242" t="s">
        <v>27</v>
      </c>
      <c r="G242" s="239" t="s">
        <v>943</v>
      </c>
      <c r="H242" s="240">
        <f t="shared" si="3"/>
        <v>77648</v>
      </c>
      <c r="I242" s="241"/>
      <c r="J242" s="221" t="b">
        <f>EXACT(E243,[1]Main!E243)</f>
        <v>1</v>
      </c>
    </row>
    <row r="243" spans="1:10" x14ac:dyDescent="0.25">
      <c r="A243" s="249">
        <v>45110</v>
      </c>
      <c r="B243" s="237"/>
      <c r="C243" s="238"/>
      <c r="D243" s="239"/>
      <c r="E243" s="237">
        <v>2220</v>
      </c>
      <c r="F243" s="242" t="s">
        <v>74</v>
      </c>
      <c r="G243" s="239" t="s">
        <v>464</v>
      </c>
      <c r="H243" s="240">
        <f t="shared" si="3"/>
        <v>75428</v>
      </c>
      <c r="I243" s="241" t="s">
        <v>806</v>
      </c>
      <c r="J243" s="221" t="b">
        <f>EXACT(E244,[1]Main!E244)</f>
        <v>1</v>
      </c>
    </row>
    <row r="244" spans="1:10" x14ac:dyDescent="0.25">
      <c r="A244" s="249">
        <v>45110</v>
      </c>
      <c r="B244" s="237"/>
      <c r="C244" s="238"/>
      <c r="D244" s="239"/>
      <c r="E244" s="237">
        <v>345</v>
      </c>
      <c r="F244" s="242" t="s">
        <v>27</v>
      </c>
      <c r="G244" s="239" t="s">
        <v>943</v>
      </c>
      <c r="H244" s="240">
        <f t="shared" si="3"/>
        <v>75083</v>
      </c>
      <c r="I244" s="241"/>
      <c r="J244" s="221" t="b">
        <f>EXACT(E245,[1]Main!E245)</f>
        <v>1</v>
      </c>
    </row>
    <row r="245" spans="1:10" x14ac:dyDescent="0.25">
      <c r="A245" s="249">
        <v>45110</v>
      </c>
      <c r="B245" s="237"/>
      <c r="C245" s="238"/>
      <c r="D245" s="239"/>
      <c r="E245" s="237">
        <v>495</v>
      </c>
      <c r="F245" s="242" t="s">
        <v>27</v>
      </c>
      <c r="G245" s="239" t="s">
        <v>943</v>
      </c>
      <c r="H245" s="240">
        <f t="shared" si="3"/>
        <v>74588</v>
      </c>
      <c r="I245" s="241"/>
      <c r="J245" s="221" t="b">
        <f>EXACT(E246,[1]Main!E246)</f>
        <v>1</v>
      </c>
    </row>
    <row r="246" spans="1:10" x14ac:dyDescent="0.25">
      <c r="A246" s="249">
        <v>45110</v>
      </c>
      <c r="B246" s="237"/>
      <c r="C246" s="238"/>
      <c r="D246" s="239"/>
      <c r="E246" s="237">
        <v>195</v>
      </c>
      <c r="F246" s="242" t="s">
        <v>27</v>
      </c>
      <c r="G246" s="239" t="s">
        <v>943</v>
      </c>
      <c r="H246" s="240">
        <f t="shared" si="3"/>
        <v>74393</v>
      </c>
      <c r="I246" s="241"/>
      <c r="J246" s="221" t="b">
        <f>EXACT(E247,[1]Main!E247)</f>
        <v>1</v>
      </c>
    </row>
    <row r="247" spans="1:10" x14ac:dyDescent="0.25">
      <c r="A247" s="249">
        <v>45110</v>
      </c>
      <c r="B247" s="237"/>
      <c r="C247" s="238"/>
      <c r="D247" s="239"/>
      <c r="E247" s="237">
        <v>5300</v>
      </c>
      <c r="F247" s="242" t="s">
        <v>74</v>
      </c>
      <c r="G247" s="239" t="s">
        <v>464</v>
      </c>
      <c r="H247" s="240">
        <f t="shared" si="3"/>
        <v>69093</v>
      </c>
      <c r="I247" s="241" t="s">
        <v>807</v>
      </c>
      <c r="J247" s="221" t="b">
        <f>EXACT(E248,[1]Main!E248)</f>
        <v>1</v>
      </c>
    </row>
    <row r="248" spans="1:10" x14ac:dyDescent="0.25">
      <c r="A248" s="249">
        <v>45110</v>
      </c>
      <c r="B248" s="237"/>
      <c r="C248" s="238"/>
      <c r="D248" s="239"/>
      <c r="E248" s="237">
        <v>15</v>
      </c>
      <c r="F248" s="242" t="s">
        <v>127</v>
      </c>
      <c r="G248" s="239" t="s">
        <v>938</v>
      </c>
      <c r="H248" s="240">
        <f t="shared" si="3"/>
        <v>69078</v>
      </c>
      <c r="I248" s="241" t="s">
        <v>412</v>
      </c>
      <c r="J248" s="221" t="b">
        <f>EXACT(E249,[1]Main!E249)</f>
        <v>1</v>
      </c>
    </row>
    <row r="249" spans="1:10" x14ac:dyDescent="0.25">
      <c r="A249" s="249">
        <v>45110</v>
      </c>
      <c r="B249" s="237"/>
      <c r="C249" s="238"/>
      <c r="D249" s="239"/>
      <c r="E249" s="237">
        <v>245</v>
      </c>
      <c r="F249" s="242" t="s">
        <v>27</v>
      </c>
      <c r="G249" s="239" t="s">
        <v>943</v>
      </c>
      <c r="H249" s="240">
        <f t="shared" si="3"/>
        <v>68833</v>
      </c>
      <c r="I249" s="241"/>
      <c r="J249" s="221" t="b">
        <f>EXACT(E250,[1]Main!E250)</f>
        <v>1</v>
      </c>
    </row>
    <row r="250" spans="1:10" x14ac:dyDescent="0.25">
      <c r="A250" s="244">
        <v>45110</v>
      </c>
      <c r="B250" s="245"/>
      <c r="C250" s="246"/>
      <c r="D250" s="247"/>
      <c r="E250" s="245">
        <v>315</v>
      </c>
      <c r="F250" s="248" t="s">
        <v>31</v>
      </c>
      <c r="G250" s="247" t="s">
        <v>931</v>
      </c>
      <c r="H250" s="240">
        <f t="shared" si="3"/>
        <v>68518</v>
      </c>
      <c r="I250" s="241"/>
      <c r="J250" s="221" t="b">
        <f>EXACT(E251,[1]Main!E251)</f>
        <v>1</v>
      </c>
    </row>
    <row r="251" spans="1:10" x14ac:dyDescent="0.25">
      <c r="A251" s="249">
        <v>45111</v>
      </c>
      <c r="B251" s="237">
        <v>16638</v>
      </c>
      <c r="C251" s="238" t="s">
        <v>9</v>
      </c>
      <c r="D251" s="239" t="s">
        <v>763</v>
      </c>
      <c r="E251" s="237">
        <v>2645</v>
      </c>
      <c r="F251" s="242" t="s">
        <v>12</v>
      </c>
      <c r="G251" s="239" t="s">
        <v>974</v>
      </c>
      <c r="H251" s="240">
        <f t="shared" si="3"/>
        <v>82511</v>
      </c>
      <c r="I251" s="241"/>
      <c r="J251" s="221" t="b">
        <f>EXACT(E252,[1]Main!E252)</f>
        <v>1</v>
      </c>
    </row>
    <row r="252" spans="1:10" x14ac:dyDescent="0.25">
      <c r="A252" s="249">
        <v>45111</v>
      </c>
      <c r="B252" s="237">
        <v>1078</v>
      </c>
      <c r="C252" s="238" t="s">
        <v>28</v>
      </c>
      <c r="D252" s="239" t="s">
        <v>765</v>
      </c>
      <c r="E252" s="237">
        <v>40</v>
      </c>
      <c r="F252" s="242" t="s">
        <v>464</v>
      </c>
      <c r="G252" s="239" t="s">
        <v>464</v>
      </c>
      <c r="H252" s="240">
        <f t="shared" si="3"/>
        <v>83549</v>
      </c>
      <c r="I252" s="242" t="s">
        <v>262</v>
      </c>
      <c r="J252" s="221" t="b">
        <f>EXACT(E253,[1]Main!E253)</f>
        <v>1</v>
      </c>
    </row>
    <row r="253" spans="1:10" x14ac:dyDescent="0.25">
      <c r="A253" s="249">
        <v>45111</v>
      </c>
      <c r="B253" s="237">
        <v>14237</v>
      </c>
      <c r="C253" s="238" t="s">
        <v>80</v>
      </c>
      <c r="D253" s="239" t="s">
        <v>763</v>
      </c>
      <c r="E253" s="237">
        <v>1960</v>
      </c>
      <c r="F253" s="242" t="s">
        <v>263</v>
      </c>
      <c r="G253" s="239" t="s">
        <v>928</v>
      </c>
      <c r="H253" s="240">
        <f t="shared" si="3"/>
        <v>95826</v>
      </c>
      <c r="I253" s="241"/>
      <c r="J253" s="221" t="b">
        <f>EXACT(E254,[1]Main!E254)</f>
        <v>1</v>
      </c>
    </row>
    <row r="254" spans="1:10" x14ac:dyDescent="0.25">
      <c r="A254" s="249">
        <v>45111</v>
      </c>
      <c r="B254" s="237">
        <v>932</v>
      </c>
      <c r="C254" s="238" t="s">
        <v>81</v>
      </c>
      <c r="D254" s="239" t="s">
        <v>765</v>
      </c>
      <c r="E254" s="237">
        <v>400</v>
      </c>
      <c r="F254" s="242" t="s">
        <v>50</v>
      </c>
      <c r="G254" s="239" t="s">
        <v>931</v>
      </c>
      <c r="H254" s="240">
        <f t="shared" si="3"/>
        <v>96358</v>
      </c>
      <c r="I254" s="241"/>
      <c r="J254" s="221" t="b">
        <f>EXACT(E255,[1]Main!E255)</f>
        <v>1</v>
      </c>
    </row>
    <row r="255" spans="1:10" x14ac:dyDescent="0.25">
      <c r="A255" s="249">
        <v>45111</v>
      </c>
      <c r="B255" s="237">
        <v>3500</v>
      </c>
      <c r="C255" s="261" t="s">
        <v>273</v>
      </c>
      <c r="D255" s="239" t="s">
        <v>772</v>
      </c>
      <c r="E255" s="237">
        <v>50</v>
      </c>
      <c r="F255" s="242" t="s">
        <v>464</v>
      </c>
      <c r="G255" s="239" t="s">
        <v>464</v>
      </c>
      <c r="H255" s="240">
        <f t="shared" si="3"/>
        <v>99808</v>
      </c>
      <c r="I255" s="242" t="s">
        <v>33</v>
      </c>
      <c r="J255" s="221" t="b">
        <f>EXACT(E256,[1]Main!E256)</f>
        <v>1</v>
      </c>
    </row>
    <row r="256" spans="1:10" x14ac:dyDescent="0.25">
      <c r="A256" s="249">
        <v>45111</v>
      </c>
      <c r="B256" s="250"/>
      <c r="C256" s="251" t="s">
        <v>274</v>
      </c>
      <c r="D256" s="239"/>
      <c r="E256" s="237">
        <v>8500</v>
      </c>
      <c r="F256" s="242" t="s">
        <v>266</v>
      </c>
      <c r="G256" s="239" t="s">
        <v>931</v>
      </c>
      <c r="H256" s="240">
        <f t="shared" si="3"/>
        <v>91308</v>
      </c>
      <c r="I256" s="241"/>
      <c r="J256" s="221" t="b">
        <f>EXACT(E257,[1]Main!E257)</f>
        <v>1</v>
      </c>
    </row>
    <row r="257" spans="1:10" x14ac:dyDescent="0.25">
      <c r="A257" s="249">
        <v>45111</v>
      </c>
      <c r="B257" s="320">
        <v>10</v>
      </c>
      <c r="C257" s="415" t="s">
        <v>277</v>
      </c>
      <c r="D257" s="416"/>
      <c r="E257" s="237">
        <v>85</v>
      </c>
      <c r="F257" s="242" t="s">
        <v>73</v>
      </c>
      <c r="G257" s="239" t="s">
        <v>945</v>
      </c>
      <c r="H257" s="240">
        <f t="shared" si="3"/>
        <v>91233</v>
      </c>
      <c r="I257" s="241"/>
      <c r="J257" s="221" t="b">
        <f>EXACT(E258,[1]Main!E258)</f>
        <v>1</v>
      </c>
    </row>
    <row r="258" spans="1:10" x14ac:dyDescent="0.25">
      <c r="A258" s="249">
        <v>45111</v>
      </c>
      <c r="B258" s="320">
        <v>60</v>
      </c>
      <c r="C258" s="415" t="s">
        <v>279</v>
      </c>
      <c r="D258" s="416"/>
      <c r="E258" s="237">
        <v>85</v>
      </c>
      <c r="F258" s="242" t="s">
        <v>10</v>
      </c>
      <c r="G258" s="239" t="s">
        <v>930</v>
      </c>
      <c r="H258" s="240">
        <f t="shared" si="3"/>
        <v>91208</v>
      </c>
      <c r="I258" s="241"/>
      <c r="J258" s="221" t="b">
        <f>EXACT(E259,[1]Main!E259)</f>
        <v>1</v>
      </c>
    </row>
    <row r="259" spans="1:10" x14ac:dyDescent="0.25">
      <c r="A259" s="249">
        <v>45111</v>
      </c>
      <c r="B259" s="237">
        <v>6303</v>
      </c>
      <c r="C259" s="238" t="s">
        <v>6</v>
      </c>
      <c r="D259" s="239" t="s">
        <v>766</v>
      </c>
      <c r="E259" s="237">
        <v>140</v>
      </c>
      <c r="F259" s="242" t="s">
        <v>265</v>
      </c>
      <c r="G259" s="239" t="s">
        <v>935</v>
      </c>
      <c r="H259" s="240">
        <f t="shared" si="3"/>
        <v>97371</v>
      </c>
      <c r="I259" s="241"/>
      <c r="J259" s="221" t="b">
        <f>EXACT(E260,[1]Main!E260)</f>
        <v>1</v>
      </c>
    </row>
    <row r="260" spans="1:10" x14ac:dyDescent="0.25">
      <c r="A260" s="249">
        <v>45111</v>
      </c>
      <c r="B260" s="237">
        <v>437</v>
      </c>
      <c r="C260" s="238" t="s">
        <v>93</v>
      </c>
      <c r="D260" s="239" t="s">
        <v>768</v>
      </c>
      <c r="E260" s="237">
        <v>2443</v>
      </c>
      <c r="F260" s="242" t="s">
        <v>808</v>
      </c>
      <c r="G260" s="239" t="s">
        <v>928</v>
      </c>
      <c r="H260" s="240">
        <f t="shared" si="3"/>
        <v>95365</v>
      </c>
      <c r="I260" s="241" t="s">
        <v>809</v>
      </c>
      <c r="J260" s="221" t="b">
        <f>EXACT(E261,[1]Main!E261)</f>
        <v>1</v>
      </c>
    </row>
    <row r="261" spans="1:10" x14ac:dyDescent="0.25">
      <c r="A261" s="249">
        <v>45111</v>
      </c>
      <c r="B261" s="237">
        <v>13373</v>
      </c>
      <c r="C261" s="238" t="s">
        <v>88</v>
      </c>
      <c r="D261" s="239" t="s">
        <v>766</v>
      </c>
      <c r="E261" s="237">
        <v>1515</v>
      </c>
      <c r="F261" s="242" t="s">
        <v>268</v>
      </c>
      <c r="G261" s="239" t="s">
        <v>928</v>
      </c>
      <c r="H261" s="240">
        <f t="shared" si="3"/>
        <v>107223</v>
      </c>
      <c r="I261" s="241"/>
      <c r="J261" s="221" t="b">
        <f>EXACT(E262,[1]Main!E262)</f>
        <v>1</v>
      </c>
    </row>
    <row r="262" spans="1:10" x14ac:dyDescent="0.25">
      <c r="A262" s="249">
        <v>45111</v>
      </c>
      <c r="B262" s="237">
        <v>365</v>
      </c>
      <c r="C262" s="238" t="s">
        <v>747</v>
      </c>
      <c r="D262" s="239" t="s">
        <v>768</v>
      </c>
      <c r="E262" s="237">
        <v>720</v>
      </c>
      <c r="F262" s="242" t="s">
        <v>269</v>
      </c>
      <c r="G262" s="239" t="s">
        <v>929</v>
      </c>
      <c r="H262" s="240">
        <f t="shared" si="3"/>
        <v>106868</v>
      </c>
      <c r="I262" s="241"/>
      <c r="J262" s="221" t="b">
        <f>EXACT(E263,[1]Main!E263)</f>
        <v>1</v>
      </c>
    </row>
    <row r="263" spans="1:10" x14ac:dyDescent="0.25">
      <c r="A263" s="249">
        <v>45111</v>
      </c>
      <c r="B263" s="237">
        <v>15122</v>
      </c>
      <c r="C263" s="238" t="s">
        <v>19</v>
      </c>
      <c r="D263" s="239" t="s">
        <v>763</v>
      </c>
      <c r="E263" s="237">
        <v>283</v>
      </c>
      <c r="F263" s="242" t="s">
        <v>37</v>
      </c>
      <c r="G263" s="239" t="s">
        <v>928</v>
      </c>
      <c r="H263" s="240">
        <f t="shared" ref="H263:H326" si="4">H262+B263-E263</f>
        <v>121707</v>
      </c>
      <c r="I263" s="241"/>
      <c r="J263" s="221" t="b">
        <f>EXACT(E264,[1]Main!E264)</f>
        <v>1</v>
      </c>
    </row>
    <row r="264" spans="1:10" x14ac:dyDescent="0.25">
      <c r="A264" s="249">
        <v>45111</v>
      </c>
      <c r="B264" s="237">
        <v>1040</v>
      </c>
      <c r="C264" s="238" t="s">
        <v>27</v>
      </c>
      <c r="D264" s="239" t="s">
        <v>772</v>
      </c>
      <c r="E264" s="237">
        <v>4420</v>
      </c>
      <c r="F264" s="242" t="s">
        <v>270</v>
      </c>
      <c r="G264" s="239" t="s">
        <v>928</v>
      </c>
      <c r="H264" s="240">
        <f t="shared" si="4"/>
        <v>118327</v>
      </c>
      <c r="I264" s="241"/>
      <c r="J264" s="221" t="b">
        <f>EXACT(E265,[1]Main!E265)</f>
        <v>1</v>
      </c>
    </row>
    <row r="265" spans="1:10" x14ac:dyDescent="0.25">
      <c r="A265" s="249">
        <v>45111</v>
      </c>
      <c r="B265" s="237">
        <v>9160</v>
      </c>
      <c r="C265" s="238" t="s">
        <v>305</v>
      </c>
      <c r="D265" s="239" t="s">
        <v>763</v>
      </c>
      <c r="E265" s="237">
        <v>8</v>
      </c>
      <c r="F265" s="242" t="s">
        <v>464</v>
      </c>
      <c r="G265" s="239" t="s">
        <v>464</v>
      </c>
      <c r="H265" s="240">
        <f t="shared" si="4"/>
        <v>127479</v>
      </c>
      <c r="I265" s="242" t="s">
        <v>272</v>
      </c>
      <c r="J265" s="221" t="b">
        <f>EXACT(E266,[1]Main!E266)</f>
        <v>1</v>
      </c>
    </row>
    <row r="266" spans="1:10" x14ac:dyDescent="0.25">
      <c r="A266" s="249">
        <v>45111</v>
      </c>
      <c r="B266" s="237">
        <v>1583</v>
      </c>
      <c r="C266" s="238" t="s">
        <v>233</v>
      </c>
      <c r="D266" s="239" t="s">
        <v>765</v>
      </c>
      <c r="E266" s="237">
        <v>450</v>
      </c>
      <c r="F266" s="242" t="s">
        <v>34</v>
      </c>
      <c r="G266" s="239" t="s">
        <v>930</v>
      </c>
      <c r="H266" s="240">
        <f t="shared" si="4"/>
        <v>128612</v>
      </c>
      <c r="I266" s="241"/>
      <c r="J266" s="221" t="b">
        <f>EXACT(E267,[1]Main!E267)</f>
        <v>1</v>
      </c>
    </row>
    <row r="267" spans="1:10" x14ac:dyDescent="0.25">
      <c r="A267" s="249">
        <v>45111</v>
      </c>
      <c r="B267" s="237"/>
      <c r="C267" s="238"/>
      <c r="D267" s="239"/>
      <c r="E267" s="237">
        <v>270</v>
      </c>
      <c r="F267" s="242" t="s">
        <v>8</v>
      </c>
      <c r="G267" s="239" t="s">
        <v>930</v>
      </c>
      <c r="H267" s="240">
        <f t="shared" si="4"/>
        <v>128342</v>
      </c>
      <c r="I267" s="241"/>
      <c r="J267" s="221" t="b">
        <f>EXACT(E268,[1]Main!E268)</f>
        <v>1</v>
      </c>
    </row>
    <row r="268" spans="1:10" x14ac:dyDescent="0.25">
      <c r="A268" s="249">
        <v>45111</v>
      </c>
      <c r="B268" s="237"/>
      <c r="C268" s="238"/>
      <c r="D268" s="239"/>
      <c r="E268" s="237">
        <v>44</v>
      </c>
      <c r="F268" s="242" t="s">
        <v>73</v>
      </c>
      <c r="G268" s="239" t="s">
        <v>945</v>
      </c>
      <c r="H268" s="240">
        <f t="shared" si="4"/>
        <v>128298</v>
      </c>
      <c r="I268" s="241"/>
      <c r="J268" s="221" t="b">
        <f>EXACT(E269,[1]Main!E269)</f>
        <v>1</v>
      </c>
    </row>
    <row r="269" spans="1:10" x14ac:dyDescent="0.25">
      <c r="A269" s="249">
        <v>45111</v>
      </c>
      <c r="B269" s="237"/>
      <c r="C269" s="238"/>
      <c r="D269" s="239"/>
      <c r="E269" s="237">
        <v>1925</v>
      </c>
      <c r="F269" s="242" t="s">
        <v>275</v>
      </c>
      <c r="G269" s="239" t="s">
        <v>928</v>
      </c>
      <c r="H269" s="240">
        <f t="shared" si="4"/>
        <v>126373</v>
      </c>
      <c r="I269" s="241"/>
      <c r="J269" s="221" t="b">
        <f>EXACT(E270,[1]Main!E270)</f>
        <v>1</v>
      </c>
    </row>
    <row r="270" spans="1:10" x14ac:dyDescent="0.25">
      <c r="A270" s="249">
        <v>45111</v>
      </c>
      <c r="B270" s="237"/>
      <c r="C270" s="238"/>
      <c r="D270" s="239"/>
      <c r="E270" s="237">
        <v>1120</v>
      </c>
      <c r="F270" s="242" t="s">
        <v>737</v>
      </c>
      <c r="G270" s="239" t="s">
        <v>928</v>
      </c>
      <c r="H270" s="240">
        <f t="shared" si="4"/>
        <v>125253</v>
      </c>
      <c r="I270" s="241" t="s">
        <v>810</v>
      </c>
      <c r="J270" s="221" t="b">
        <f>EXACT(E271,[1]Main!E271)</f>
        <v>1</v>
      </c>
    </row>
    <row r="271" spans="1:10" x14ac:dyDescent="0.25">
      <c r="A271" s="249">
        <v>45111</v>
      </c>
      <c r="B271" s="237"/>
      <c r="C271" s="238"/>
      <c r="D271" s="239"/>
      <c r="E271" s="237">
        <v>120</v>
      </c>
      <c r="F271" s="242" t="s">
        <v>38</v>
      </c>
      <c r="G271" s="239" t="s">
        <v>930</v>
      </c>
      <c r="H271" s="240">
        <f t="shared" si="4"/>
        <v>125133</v>
      </c>
      <c r="I271" s="241"/>
      <c r="J271" s="221" t="b">
        <f>EXACT(E272,[1]Main!E272)</f>
        <v>1</v>
      </c>
    </row>
    <row r="272" spans="1:10" x14ac:dyDescent="0.25">
      <c r="A272" s="249">
        <v>45111</v>
      </c>
      <c r="B272" s="237"/>
      <c r="C272" s="238"/>
      <c r="D272" s="239"/>
      <c r="E272" s="237">
        <v>50</v>
      </c>
      <c r="F272" s="242" t="s">
        <v>13</v>
      </c>
      <c r="G272" s="239" t="s">
        <v>930</v>
      </c>
      <c r="H272" s="240">
        <f t="shared" si="4"/>
        <v>125083</v>
      </c>
      <c r="I272" s="241"/>
      <c r="J272" s="221" t="b">
        <f>EXACT(E273,[1]Main!E273)</f>
        <v>1</v>
      </c>
    </row>
    <row r="273" spans="1:10" x14ac:dyDescent="0.25">
      <c r="A273" s="249">
        <v>45111</v>
      </c>
      <c r="B273" s="237"/>
      <c r="C273" s="238"/>
      <c r="D273" s="239"/>
      <c r="E273" s="237">
        <v>400</v>
      </c>
      <c r="F273" s="242" t="s">
        <v>278</v>
      </c>
      <c r="G273" s="239" t="s">
        <v>935</v>
      </c>
      <c r="H273" s="240">
        <f t="shared" si="4"/>
        <v>124683</v>
      </c>
      <c r="I273" s="241"/>
      <c r="J273" s="221" t="b">
        <f>EXACT(E274,[1]Main!E274)</f>
        <v>1</v>
      </c>
    </row>
    <row r="274" spans="1:10" x14ac:dyDescent="0.25">
      <c r="A274" s="249">
        <v>45111</v>
      </c>
      <c r="B274" s="237"/>
      <c r="C274" s="238"/>
      <c r="D274" s="239"/>
      <c r="E274" s="237">
        <v>4090</v>
      </c>
      <c r="F274" s="242" t="s">
        <v>230</v>
      </c>
      <c r="G274" s="239" t="s">
        <v>928</v>
      </c>
      <c r="H274" s="240">
        <f t="shared" si="4"/>
        <v>120593</v>
      </c>
      <c r="I274" s="241" t="s">
        <v>811</v>
      </c>
      <c r="J274" s="221" t="b">
        <f>EXACT(E275,[1]Main!E275)</f>
        <v>1</v>
      </c>
    </row>
    <row r="275" spans="1:10" x14ac:dyDescent="0.25">
      <c r="A275" s="249">
        <v>45111</v>
      </c>
      <c r="B275" s="237"/>
      <c r="C275" s="238"/>
      <c r="D275" s="239"/>
      <c r="E275" s="237">
        <v>4650</v>
      </c>
      <c r="F275" s="242" t="s">
        <v>281</v>
      </c>
      <c r="G275" s="239" t="s">
        <v>929</v>
      </c>
      <c r="H275" s="240">
        <f t="shared" si="4"/>
        <v>115943</v>
      </c>
      <c r="I275" s="241"/>
      <c r="J275" s="221" t="b">
        <f>EXACT(E276,[1]Main!E276)</f>
        <v>1</v>
      </c>
    </row>
    <row r="276" spans="1:10" x14ac:dyDescent="0.25">
      <c r="A276" s="249">
        <v>45111</v>
      </c>
      <c r="B276" s="237"/>
      <c r="C276" s="238"/>
      <c r="D276" s="239"/>
      <c r="E276" s="237">
        <v>680</v>
      </c>
      <c r="F276" s="242" t="s">
        <v>282</v>
      </c>
      <c r="G276" s="239" t="s">
        <v>929</v>
      </c>
      <c r="H276" s="240">
        <f t="shared" si="4"/>
        <v>115263</v>
      </c>
      <c r="I276" s="241"/>
      <c r="J276" s="221" t="b">
        <f>EXACT(E277,[1]Main!E277)</f>
        <v>1</v>
      </c>
    </row>
    <row r="277" spans="1:10" x14ac:dyDescent="0.25">
      <c r="A277" s="249">
        <v>45111</v>
      </c>
      <c r="B277" s="237"/>
      <c r="C277" s="238"/>
      <c r="D277" s="239"/>
      <c r="E277" s="237">
        <v>350</v>
      </c>
      <c r="F277" s="242" t="s">
        <v>464</v>
      </c>
      <c r="G277" s="239" t="s">
        <v>464</v>
      </c>
      <c r="H277" s="240">
        <f t="shared" si="4"/>
        <v>114913</v>
      </c>
      <c r="I277" s="241" t="s">
        <v>283</v>
      </c>
      <c r="J277" s="221" t="b">
        <f>EXACT(E278,[1]Main!E278)</f>
        <v>1</v>
      </c>
    </row>
    <row r="278" spans="1:10" x14ac:dyDescent="0.25">
      <c r="A278" s="249">
        <v>45111</v>
      </c>
      <c r="B278" s="237"/>
      <c r="C278" s="238"/>
      <c r="D278" s="239"/>
      <c r="E278" s="237">
        <v>115</v>
      </c>
      <c r="F278" s="242" t="s">
        <v>284</v>
      </c>
      <c r="G278" s="239" t="s">
        <v>930</v>
      </c>
      <c r="H278" s="240">
        <f t="shared" si="4"/>
        <v>114798</v>
      </c>
      <c r="I278" s="241"/>
      <c r="J278" s="221" t="b">
        <f>EXACT(E279,[1]Main!E279)</f>
        <v>1</v>
      </c>
    </row>
    <row r="279" spans="1:10" x14ac:dyDescent="0.25">
      <c r="A279" s="249">
        <v>45111</v>
      </c>
      <c r="B279" s="237"/>
      <c r="C279" s="238"/>
      <c r="D279" s="239"/>
      <c r="E279" s="237">
        <v>290</v>
      </c>
      <c r="F279" s="242" t="s">
        <v>7</v>
      </c>
      <c r="G279" s="239" t="s">
        <v>930</v>
      </c>
      <c r="H279" s="240">
        <f t="shared" si="4"/>
        <v>114508</v>
      </c>
      <c r="I279" s="241"/>
      <c r="J279" s="221" t="b">
        <f>EXACT(E280,[1]Main!E280)</f>
        <v>1</v>
      </c>
    </row>
    <row r="280" spans="1:10" x14ac:dyDescent="0.25">
      <c r="A280" s="249">
        <v>45111</v>
      </c>
      <c r="B280" s="237"/>
      <c r="C280" s="238"/>
      <c r="D280" s="239"/>
      <c r="E280" s="237">
        <v>2298</v>
      </c>
      <c r="F280" s="242" t="s">
        <v>285</v>
      </c>
      <c r="G280" s="239" t="s">
        <v>928</v>
      </c>
      <c r="H280" s="240">
        <f t="shared" si="4"/>
        <v>112210</v>
      </c>
      <c r="I280" s="241"/>
      <c r="J280" s="221" t="b">
        <f>EXACT(E281,[1]Main!E281)</f>
        <v>1</v>
      </c>
    </row>
    <row r="281" spans="1:10" x14ac:dyDescent="0.25">
      <c r="A281" s="249">
        <v>45111</v>
      </c>
      <c r="B281" s="237"/>
      <c r="C281" s="238"/>
      <c r="D281" s="239"/>
      <c r="E281" s="237">
        <v>270</v>
      </c>
      <c r="F281" s="242" t="s">
        <v>86</v>
      </c>
      <c r="G281" s="239" t="s">
        <v>930</v>
      </c>
      <c r="H281" s="240">
        <f t="shared" si="4"/>
        <v>111940</v>
      </c>
      <c r="I281" s="241"/>
      <c r="J281" s="221" t="b">
        <f>EXACT(E282,[1]Main!E282)</f>
        <v>1</v>
      </c>
    </row>
    <row r="282" spans="1:10" x14ac:dyDescent="0.25">
      <c r="A282" s="249">
        <v>45111</v>
      </c>
      <c r="B282" s="237"/>
      <c r="C282" s="238"/>
      <c r="D282" s="239"/>
      <c r="E282" s="237">
        <v>2640</v>
      </c>
      <c r="F282" s="242" t="s">
        <v>47</v>
      </c>
      <c r="G282" s="239" t="s">
        <v>928</v>
      </c>
      <c r="H282" s="240">
        <f t="shared" si="4"/>
        <v>109300</v>
      </c>
      <c r="I282" s="241" t="s">
        <v>812</v>
      </c>
      <c r="J282" s="221" t="b">
        <f>EXACT(E283,[1]Main!E283)</f>
        <v>1</v>
      </c>
    </row>
    <row r="283" spans="1:10" x14ac:dyDescent="0.25">
      <c r="A283" s="249">
        <v>45111</v>
      </c>
      <c r="B283" s="237"/>
      <c r="C283" s="238"/>
      <c r="D283" s="239"/>
      <c r="E283" s="237">
        <v>180</v>
      </c>
      <c r="F283" s="242" t="s">
        <v>210</v>
      </c>
      <c r="G283" s="239" t="s">
        <v>930</v>
      </c>
      <c r="H283" s="240">
        <f t="shared" si="4"/>
        <v>109120</v>
      </c>
      <c r="I283" s="241"/>
      <c r="J283" s="221" t="b">
        <f>EXACT(E284,[1]Main!E284)</f>
        <v>1</v>
      </c>
    </row>
    <row r="284" spans="1:10" x14ac:dyDescent="0.25">
      <c r="A284" s="249">
        <v>45111</v>
      </c>
      <c r="B284" s="237"/>
      <c r="C284" s="238"/>
      <c r="D284" s="239"/>
      <c r="E284" s="237">
        <v>100</v>
      </c>
      <c r="F284" s="242" t="s">
        <v>9</v>
      </c>
      <c r="G284" s="239" t="s">
        <v>930</v>
      </c>
      <c r="H284" s="240">
        <f t="shared" si="4"/>
        <v>109020</v>
      </c>
      <c r="I284" s="241"/>
      <c r="J284" s="221" t="b">
        <f>EXACT(E285,[1]Main!E285)</f>
        <v>1</v>
      </c>
    </row>
    <row r="285" spans="1:10" x14ac:dyDescent="0.25">
      <c r="A285" s="249">
        <v>45111</v>
      </c>
      <c r="B285" s="237"/>
      <c r="C285" s="238"/>
      <c r="D285" s="239"/>
      <c r="E285" s="237">
        <v>100</v>
      </c>
      <c r="F285" s="242" t="s">
        <v>288</v>
      </c>
      <c r="G285" s="239" t="s">
        <v>464</v>
      </c>
      <c r="H285" s="240">
        <f t="shared" si="4"/>
        <v>108920</v>
      </c>
      <c r="I285" s="241"/>
      <c r="J285" s="221" t="b">
        <f>EXACT(E286,[1]Main!E286)</f>
        <v>1</v>
      </c>
    </row>
    <row r="286" spans="1:10" x14ac:dyDescent="0.25">
      <c r="A286" s="249">
        <v>45111</v>
      </c>
      <c r="B286" s="237"/>
      <c r="C286" s="238"/>
      <c r="D286" s="239"/>
      <c r="E286" s="237">
        <v>8</v>
      </c>
      <c r="F286" s="242" t="s">
        <v>212</v>
      </c>
      <c r="G286" s="239" t="s">
        <v>464</v>
      </c>
      <c r="H286" s="240">
        <f t="shared" si="4"/>
        <v>108912</v>
      </c>
      <c r="I286" s="241"/>
      <c r="J286" s="221" t="b">
        <f>EXACT(E287,[1]Main!E287)</f>
        <v>1</v>
      </c>
    </row>
    <row r="287" spans="1:10" x14ac:dyDescent="0.25">
      <c r="A287" s="249">
        <v>45111</v>
      </c>
      <c r="B287" s="237"/>
      <c r="C287" s="238"/>
      <c r="D287" s="239"/>
      <c r="E287" s="237">
        <v>130</v>
      </c>
      <c r="F287" s="242" t="s">
        <v>34</v>
      </c>
      <c r="G287" s="239" t="s">
        <v>930</v>
      </c>
      <c r="H287" s="240">
        <f t="shared" si="4"/>
        <v>108782</v>
      </c>
      <c r="I287" s="241"/>
      <c r="J287" s="221" t="b">
        <f>EXACT(E288,[1]Main!E288)</f>
        <v>1</v>
      </c>
    </row>
    <row r="288" spans="1:10" x14ac:dyDescent="0.25">
      <c r="A288" s="249">
        <v>45111</v>
      </c>
      <c r="B288" s="237"/>
      <c r="C288" s="238"/>
      <c r="D288" s="239"/>
      <c r="E288" s="237">
        <v>2120</v>
      </c>
      <c r="F288" s="242" t="s">
        <v>289</v>
      </c>
      <c r="G288" s="239" t="s">
        <v>928</v>
      </c>
      <c r="H288" s="240">
        <f t="shared" si="4"/>
        <v>106662</v>
      </c>
      <c r="I288" s="241"/>
      <c r="J288" s="221" t="b">
        <f>EXACT(E289,[1]Main!E289)</f>
        <v>1</v>
      </c>
    </row>
    <row r="289" spans="1:10" x14ac:dyDescent="0.25">
      <c r="A289" s="249">
        <v>45111</v>
      </c>
      <c r="B289" s="237"/>
      <c r="C289" s="238"/>
      <c r="D289" s="239"/>
      <c r="E289" s="237">
        <v>500</v>
      </c>
      <c r="F289" s="242" t="s">
        <v>255</v>
      </c>
      <c r="G289" s="239" t="s">
        <v>930</v>
      </c>
      <c r="H289" s="240">
        <f t="shared" si="4"/>
        <v>106162</v>
      </c>
      <c r="I289" s="241"/>
      <c r="J289" s="221" t="b">
        <f>EXACT(E290,[1]Main!E290)</f>
        <v>1</v>
      </c>
    </row>
    <row r="290" spans="1:10" x14ac:dyDescent="0.25">
      <c r="A290" s="249">
        <v>45111</v>
      </c>
      <c r="B290" s="237"/>
      <c r="C290" s="238"/>
      <c r="D290" s="239"/>
      <c r="E290" s="237">
        <v>80</v>
      </c>
      <c r="F290" s="242" t="s">
        <v>290</v>
      </c>
      <c r="G290" s="239" t="s">
        <v>935</v>
      </c>
      <c r="H290" s="240">
        <f t="shared" si="4"/>
        <v>106082</v>
      </c>
      <c r="I290" s="241"/>
      <c r="J290" s="221" t="b">
        <f>EXACT(E291,[1]Main!E291)</f>
        <v>1</v>
      </c>
    </row>
    <row r="291" spans="1:10" x14ac:dyDescent="0.25">
      <c r="A291" s="249">
        <v>45111</v>
      </c>
      <c r="B291" s="237"/>
      <c r="C291" s="238"/>
      <c r="D291" s="239"/>
      <c r="E291" s="237">
        <v>5000</v>
      </c>
      <c r="F291" s="242" t="s">
        <v>43</v>
      </c>
      <c r="G291" s="239" t="s">
        <v>941</v>
      </c>
      <c r="H291" s="240">
        <f t="shared" si="4"/>
        <v>101082</v>
      </c>
      <c r="I291" s="241"/>
      <c r="J291" s="221" t="b">
        <f>EXACT(E292,[1]Main!E292)</f>
        <v>1</v>
      </c>
    </row>
    <row r="292" spans="1:10" x14ac:dyDescent="0.25">
      <c r="A292" s="249">
        <v>45111</v>
      </c>
      <c r="B292" s="237"/>
      <c r="C292" s="238"/>
      <c r="D292" s="239"/>
      <c r="E292" s="237">
        <v>340</v>
      </c>
      <c r="F292" s="242" t="s">
        <v>291</v>
      </c>
      <c r="G292" s="239" t="s">
        <v>930</v>
      </c>
      <c r="H292" s="240">
        <f t="shared" si="4"/>
        <v>100742</v>
      </c>
      <c r="I292" s="241"/>
      <c r="J292" s="221" t="b">
        <f>EXACT(E293,[1]Main!E293)</f>
        <v>1</v>
      </c>
    </row>
    <row r="293" spans="1:10" x14ac:dyDescent="0.25">
      <c r="A293" s="249">
        <v>45111</v>
      </c>
      <c r="B293" s="237"/>
      <c r="C293" s="238"/>
      <c r="D293" s="239"/>
      <c r="E293" s="237">
        <v>14995</v>
      </c>
      <c r="F293" s="242" t="s">
        <v>16</v>
      </c>
      <c r="G293" s="239" t="s">
        <v>936</v>
      </c>
      <c r="H293" s="240">
        <f t="shared" si="4"/>
        <v>85747</v>
      </c>
      <c r="I293" s="241"/>
      <c r="J293" s="221" t="b">
        <f>EXACT(E294,[1]Main!E294)</f>
        <v>1</v>
      </c>
    </row>
    <row r="294" spans="1:10" x14ac:dyDescent="0.25">
      <c r="A294" s="249">
        <v>45111</v>
      </c>
      <c r="B294" s="237"/>
      <c r="C294" s="238"/>
      <c r="D294" s="239"/>
      <c r="E294" s="237">
        <v>6940</v>
      </c>
      <c r="F294" s="242" t="s">
        <v>292</v>
      </c>
      <c r="G294" s="239" t="s">
        <v>928</v>
      </c>
      <c r="H294" s="240">
        <f t="shared" si="4"/>
        <v>78807</v>
      </c>
      <c r="I294" s="241"/>
      <c r="J294" s="221" t="b">
        <f>EXACT(E295,[1]Main!E295)</f>
        <v>1</v>
      </c>
    </row>
    <row r="295" spans="1:10" x14ac:dyDescent="0.25">
      <c r="A295" s="249">
        <v>45111</v>
      </c>
      <c r="B295" s="237"/>
      <c r="C295" s="238"/>
      <c r="D295" s="239"/>
      <c r="E295" s="237">
        <v>2080</v>
      </c>
      <c r="F295" s="242" t="s">
        <v>785</v>
      </c>
      <c r="G295" s="239" t="s">
        <v>928</v>
      </c>
      <c r="H295" s="240">
        <f t="shared" si="4"/>
        <v>76727</v>
      </c>
      <c r="I295" s="241" t="s">
        <v>813</v>
      </c>
      <c r="J295" s="221" t="b">
        <f>EXACT(E296,[1]Main!E296)</f>
        <v>1</v>
      </c>
    </row>
    <row r="296" spans="1:10" x14ac:dyDescent="0.25">
      <c r="A296" s="249">
        <v>45111</v>
      </c>
      <c r="B296" s="237"/>
      <c r="C296" s="238"/>
      <c r="D296" s="239"/>
      <c r="E296" s="237">
        <v>1410</v>
      </c>
      <c r="F296" s="242" t="s">
        <v>294</v>
      </c>
      <c r="G296" s="239" t="s">
        <v>928</v>
      </c>
      <c r="H296" s="240">
        <f t="shared" si="4"/>
        <v>75317</v>
      </c>
      <c r="I296" s="241"/>
      <c r="J296" s="221" t="b">
        <f>EXACT(E297,[1]Main!E297)</f>
        <v>1</v>
      </c>
    </row>
    <row r="297" spans="1:10" x14ac:dyDescent="0.25">
      <c r="A297" s="249">
        <v>45111</v>
      </c>
      <c r="B297" s="237"/>
      <c r="C297" s="238"/>
      <c r="D297" s="239"/>
      <c r="E297" s="237">
        <v>2650</v>
      </c>
      <c r="F297" s="242" t="s">
        <v>17</v>
      </c>
      <c r="G297" s="239" t="s">
        <v>928</v>
      </c>
      <c r="H297" s="240">
        <f t="shared" si="4"/>
        <v>72667</v>
      </c>
      <c r="I297" s="241"/>
      <c r="J297" s="221" t="b">
        <f>EXACT(E298,[1]Main!E298)</f>
        <v>1</v>
      </c>
    </row>
    <row r="298" spans="1:10" x14ac:dyDescent="0.25">
      <c r="A298" s="249">
        <v>45111</v>
      </c>
      <c r="B298" s="237"/>
      <c r="C298" s="238"/>
      <c r="D298" s="239"/>
      <c r="E298" s="237">
        <v>200</v>
      </c>
      <c r="F298" s="242" t="s">
        <v>295</v>
      </c>
      <c r="G298" s="239" t="s">
        <v>464</v>
      </c>
      <c r="H298" s="240">
        <f t="shared" si="4"/>
        <v>72467</v>
      </c>
      <c r="I298" s="241"/>
      <c r="J298" s="221" t="b">
        <f>EXACT(E299,[1]Main!E299)</f>
        <v>1</v>
      </c>
    </row>
    <row r="299" spans="1:10" x14ac:dyDescent="0.25">
      <c r="A299" s="249">
        <v>45111</v>
      </c>
      <c r="B299" s="237"/>
      <c r="C299" s="238"/>
      <c r="D299" s="239"/>
      <c r="E299" s="237">
        <v>7200</v>
      </c>
      <c r="F299" s="242" t="s">
        <v>814</v>
      </c>
      <c r="G299" s="239" t="s">
        <v>928</v>
      </c>
      <c r="H299" s="240">
        <f t="shared" si="4"/>
        <v>65267</v>
      </c>
      <c r="I299" s="241" t="s">
        <v>815</v>
      </c>
      <c r="J299" s="221" t="b">
        <f>EXACT(E300,[1]Main!E300)</f>
        <v>1</v>
      </c>
    </row>
    <row r="300" spans="1:10" x14ac:dyDescent="0.25">
      <c r="A300" s="249">
        <v>45111</v>
      </c>
      <c r="B300" s="237"/>
      <c r="C300" s="238"/>
      <c r="D300" s="239"/>
      <c r="E300" s="237">
        <v>85</v>
      </c>
      <c r="F300" s="242" t="s">
        <v>223</v>
      </c>
      <c r="G300" s="239" t="s">
        <v>930</v>
      </c>
      <c r="H300" s="240">
        <f t="shared" si="4"/>
        <v>65182</v>
      </c>
      <c r="I300" s="241"/>
      <c r="J300" s="221" t="b">
        <f>EXACT(E301,[1]Main!E301)</f>
        <v>1</v>
      </c>
    </row>
    <row r="301" spans="1:10" x14ac:dyDescent="0.25">
      <c r="A301" s="249">
        <v>45111</v>
      </c>
      <c r="B301" s="237"/>
      <c r="C301" s="238"/>
      <c r="D301" s="239"/>
      <c r="E301" s="237">
        <v>4000</v>
      </c>
      <c r="F301" s="242" t="s">
        <v>816</v>
      </c>
      <c r="G301" s="239" t="s">
        <v>928</v>
      </c>
      <c r="H301" s="240">
        <f t="shared" si="4"/>
        <v>61182</v>
      </c>
      <c r="I301" s="241" t="s">
        <v>817</v>
      </c>
      <c r="J301" s="221" t="b">
        <f>EXACT(E302,[1]Main!E302)</f>
        <v>1</v>
      </c>
    </row>
    <row r="302" spans="1:10" x14ac:dyDescent="0.25">
      <c r="A302" s="249">
        <v>45111</v>
      </c>
      <c r="B302" s="237"/>
      <c r="C302" s="238"/>
      <c r="D302" s="239"/>
      <c r="E302" s="237">
        <v>250</v>
      </c>
      <c r="F302" s="242" t="s">
        <v>236</v>
      </c>
      <c r="G302" s="239" t="s">
        <v>928</v>
      </c>
      <c r="H302" s="240">
        <f t="shared" si="4"/>
        <v>60932</v>
      </c>
      <c r="I302" s="241"/>
      <c r="J302" s="221" t="b">
        <f>EXACT(E303,[1]Main!E303)</f>
        <v>1</v>
      </c>
    </row>
    <row r="303" spans="1:10" x14ac:dyDescent="0.25">
      <c r="A303" s="249">
        <v>45111</v>
      </c>
      <c r="B303" s="237"/>
      <c r="C303" s="238"/>
      <c r="D303" s="239"/>
      <c r="E303" s="237">
        <v>145</v>
      </c>
      <c r="F303" s="242" t="s">
        <v>302</v>
      </c>
      <c r="G303" s="239" t="s">
        <v>928</v>
      </c>
      <c r="H303" s="240">
        <f t="shared" si="4"/>
        <v>60787</v>
      </c>
      <c r="I303" s="241"/>
      <c r="J303" s="221" t="b">
        <f>EXACT(E304,[1]Main!E304)</f>
        <v>1</v>
      </c>
    </row>
    <row r="304" spans="1:10" x14ac:dyDescent="0.25">
      <c r="A304" s="249">
        <v>45111</v>
      </c>
      <c r="B304" s="237"/>
      <c r="C304" s="238"/>
      <c r="D304" s="239"/>
      <c r="E304" s="237">
        <v>95</v>
      </c>
      <c r="F304" s="242" t="s">
        <v>27</v>
      </c>
      <c r="G304" s="239" t="s">
        <v>943</v>
      </c>
      <c r="H304" s="240">
        <f t="shared" si="4"/>
        <v>60692</v>
      </c>
      <c r="I304" s="241"/>
      <c r="J304" s="221" t="b">
        <f>EXACT(E305,[1]Main!E305)</f>
        <v>1</v>
      </c>
    </row>
    <row r="305" spans="1:10" x14ac:dyDescent="0.25">
      <c r="A305" s="249">
        <v>45111</v>
      </c>
      <c r="B305" s="237"/>
      <c r="C305" s="238"/>
      <c r="D305" s="239"/>
      <c r="E305" s="237">
        <v>2090</v>
      </c>
      <c r="F305" s="242" t="s">
        <v>14</v>
      </c>
      <c r="G305" s="239" t="s">
        <v>935</v>
      </c>
      <c r="H305" s="240">
        <f t="shared" si="4"/>
        <v>58602</v>
      </c>
      <c r="I305" s="241"/>
      <c r="J305" s="221" t="b">
        <f>EXACT(E306,[1]Main!E306)</f>
        <v>1</v>
      </c>
    </row>
    <row r="306" spans="1:10" x14ac:dyDescent="0.25">
      <c r="A306" s="249">
        <v>45111</v>
      </c>
      <c r="B306" s="237"/>
      <c r="C306" s="238"/>
      <c r="D306" s="239"/>
      <c r="E306" s="237">
        <v>206</v>
      </c>
      <c r="F306" s="242" t="s">
        <v>464</v>
      </c>
      <c r="G306" s="239" t="s">
        <v>464</v>
      </c>
      <c r="H306" s="240">
        <f t="shared" si="4"/>
        <v>58396</v>
      </c>
      <c r="I306" s="242" t="s">
        <v>307</v>
      </c>
      <c r="J306" s="221" t="b">
        <f>EXACT(E307,[1]Main!E307)</f>
        <v>1</v>
      </c>
    </row>
    <row r="307" spans="1:10" x14ac:dyDescent="0.25">
      <c r="A307" s="249">
        <v>45111</v>
      </c>
      <c r="B307" s="237"/>
      <c r="C307" s="238"/>
      <c r="D307" s="239"/>
      <c r="E307" s="237">
        <v>10000</v>
      </c>
      <c r="F307" s="242" t="s">
        <v>818</v>
      </c>
      <c r="G307" s="239" t="s">
        <v>928</v>
      </c>
      <c r="H307" s="240">
        <f t="shared" si="4"/>
        <v>48396</v>
      </c>
      <c r="I307" s="241" t="s">
        <v>819</v>
      </c>
      <c r="J307" s="221" t="b">
        <f>EXACT(E308,[1]Main!E308)</f>
        <v>1</v>
      </c>
    </row>
    <row r="308" spans="1:10" x14ac:dyDescent="0.25">
      <c r="A308" s="249">
        <v>45111</v>
      </c>
      <c r="B308" s="237"/>
      <c r="C308" s="238"/>
      <c r="D308" s="239"/>
      <c r="E308" s="237">
        <v>75</v>
      </c>
      <c r="F308" s="242" t="s">
        <v>26</v>
      </c>
      <c r="G308" s="239" t="s">
        <v>930</v>
      </c>
      <c r="H308" s="240">
        <f t="shared" si="4"/>
        <v>48321</v>
      </c>
      <c r="I308" s="241"/>
      <c r="J308" s="221" t="b">
        <f>EXACT(E309,[1]Main!E309)</f>
        <v>1</v>
      </c>
    </row>
    <row r="309" spans="1:10" x14ac:dyDescent="0.25">
      <c r="A309" s="249">
        <v>45111</v>
      </c>
      <c r="B309" s="237"/>
      <c r="C309" s="238"/>
      <c r="D309" s="239"/>
      <c r="E309" s="237">
        <v>244</v>
      </c>
      <c r="F309" s="242" t="s">
        <v>820</v>
      </c>
      <c r="G309" s="239" t="s">
        <v>931</v>
      </c>
      <c r="H309" s="240">
        <f t="shared" si="4"/>
        <v>48077</v>
      </c>
      <c r="I309" s="241" t="s">
        <v>412</v>
      </c>
      <c r="J309" s="221" t="b">
        <f>EXACT(E310,[1]Main!E310)</f>
        <v>1</v>
      </c>
    </row>
    <row r="310" spans="1:10" x14ac:dyDescent="0.25">
      <c r="A310" s="249">
        <v>45111</v>
      </c>
      <c r="B310" s="237"/>
      <c r="C310" s="238"/>
      <c r="D310" s="239"/>
      <c r="E310" s="237">
        <v>500</v>
      </c>
      <c r="F310" s="242" t="s">
        <v>821</v>
      </c>
      <c r="G310" s="239" t="s">
        <v>930</v>
      </c>
      <c r="H310" s="240">
        <f t="shared" si="4"/>
        <v>47577</v>
      </c>
      <c r="I310" s="241" t="s">
        <v>822</v>
      </c>
      <c r="J310" s="221" t="b">
        <f>EXACT(E311,[1]Main!E311)</f>
        <v>1</v>
      </c>
    </row>
    <row r="311" spans="1:10" x14ac:dyDescent="0.25">
      <c r="A311" s="249">
        <v>45111</v>
      </c>
      <c r="B311" s="237"/>
      <c r="C311" s="238"/>
      <c r="D311" s="239"/>
      <c r="E311" s="237">
        <v>300</v>
      </c>
      <c r="F311" s="242" t="s">
        <v>296</v>
      </c>
      <c r="G311" s="239" t="s">
        <v>464</v>
      </c>
      <c r="H311" s="240">
        <f t="shared" si="4"/>
        <v>47277</v>
      </c>
      <c r="I311" s="241"/>
      <c r="J311" s="221" t="b">
        <f>EXACT(E312,[1]Main!E312)</f>
        <v>1</v>
      </c>
    </row>
    <row r="312" spans="1:10" x14ac:dyDescent="0.25">
      <c r="A312" s="249">
        <v>45111</v>
      </c>
      <c r="B312" s="237"/>
      <c r="C312" s="238"/>
      <c r="D312" s="239"/>
      <c r="E312" s="237">
        <v>9500</v>
      </c>
      <c r="F312" s="242" t="s">
        <v>127</v>
      </c>
      <c r="G312" s="239" t="s">
        <v>938</v>
      </c>
      <c r="H312" s="240">
        <f t="shared" si="4"/>
        <v>37777</v>
      </c>
      <c r="I312" s="241" t="s">
        <v>823</v>
      </c>
      <c r="J312" s="221" t="b">
        <f>EXACT(E313,[1]Main!E313)</f>
        <v>1</v>
      </c>
    </row>
    <row r="313" spans="1:10" x14ac:dyDescent="0.25">
      <c r="A313" s="249">
        <v>45111</v>
      </c>
      <c r="B313" s="237"/>
      <c r="C313" s="238"/>
      <c r="D313" s="239"/>
      <c r="E313" s="237">
        <v>400</v>
      </c>
      <c r="F313" s="242" t="s">
        <v>296</v>
      </c>
      <c r="G313" s="239" t="s">
        <v>464</v>
      </c>
      <c r="H313" s="240">
        <f t="shared" si="4"/>
        <v>37377</v>
      </c>
      <c r="I313" s="241"/>
      <c r="J313" s="221" t="b">
        <f>EXACT(E314,[1]Main!E314)</f>
        <v>1</v>
      </c>
    </row>
    <row r="314" spans="1:10" x14ac:dyDescent="0.25">
      <c r="A314" s="249">
        <v>45111</v>
      </c>
      <c r="B314" s="237"/>
      <c r="C314" s="238"/>
      <c r="D314" s="239"/>
      <c r="E314" s="237">
        <v>345</v>
      </c>
      <c r="F314" s="242" t="s">
        <v>27</v>
      </c>
      <c r="G314" s="239" t="s">
        <v>943</v>
      </c>
      <c r="H314" s="240">
        <f t="shared" si="4"/>
        <v>37032</v>
      </c>
      <c r="I314" s="241"/>
      <c r="J314" s="221" t="b">
        <f>EXACT(E315,[1]Main!E315)</f>
        <v>1</v>
      </c>
    </row>
    <row r="315" spans="1:10" x14ac:dyDescent="0.25">
      <c r="A315" s="244">
        <v>45111</v>
      </c>
      <c r="B315" s="245"/>
      <c r="C315" s="246"/>
      <c r="D315" s="247"/>
      <c r="E315" s="245">
        <v>990</v>
      </c>
      <c r="F315" s="248" t="s">
        <v>27</v>
      </c>
      <c r="G315" s="247" t="s">
        <v>943</v>
      </c>
      <c r="H315" s="240">
        <f t="shared" si="4"/>
        <v>36042</v>
      </c>
      <c r="I315" s="241"/>
      <c r="J315" s="221" t="b">
        <f>EXACT(E316,[1]Main!E316)</f>
        <v>1</v>
      </c>
    </row>
    <row r="316" spans="1:10" x14ac:dyDescent="0.25">
      <c r="A316" s="249">
        <v>45112</v>
      </c>
      <c r="B316" s="237">
        <v>25000</v>
      </c>
      <c r="C316" s="238" t="s">
        <v>358</v>
      </c>
      <c r="D316" s="239" t="s">
        <v>938</v>
      </c>
      <c r="E316" s="267">
        <v>145</v>
      </c>
      <c r="F316" s="268" t="s">
        <v>19</v>
      </c>
      <c r="G316" s="239" t="s">
        <v>930</v>
      </c>
      <c r="H316" s="240">
        <f t="shared" si="4"/>
        <v>60897</v>
      </c>
      <c r="I316" s="241"/>
      <c r="J316" s="221" t="b">
        <f>EXACT(E317,[1]Main!E317)</f>
        <v>1</v>
      </c>
    </row>
    <row r="317" spans="1:10" x14ac:dyDescent="0.25">
      <c r="A317" s="249">
        <v>45112</v>
      </c>
      <c r="B317" s="237">
        <v>15880</v>
      </c>
      <c r="C317" s="238" t="s">
        <v>9</v>
      </c>
      <c r="D317" s="239" t="s">
        <v>763</v>
      </c>
      <c r="E317" s="237">
        <v>120</v>
      </c>
      <c r="F317" s="242" t="s">
        <v>310</v>
      </c>
      <c r="G317" s="239" t="s">
        <v>930</v>
      </c>
      <c r="H317" s="240">
        <f t="shared" si="4"/>
        <v>76657</v>
      </c>
      <c r="I317" s="241"/>
      <c r="J317" s="221" t="b">
        <f>EXACT(E318,[1]Main!E318)</f>
        <v>1</v>
      </c>
    </row>
    <row r="318" spans="1:10" x14ac:dyDescent="0.25">
      <c r="A318" s="249">
        <v>45112</v>
      </c>
      <c r="B318" s="237">
        <v>1226</v>
      </c>
      <c r="C318" s="238" t="s">
        <v>28</v>
      </c>
      <c r="D318" s="239" t="s">
        <v>765</v>
      </c>
      <c r="E318" s="237">
        <v>70</v>
      </c>
      <c r="F318" s="242" t="s">
        <v>27</v>
      </c>
      <c r="G318" s="239" t="s">
        <v>943</v>
      </c>
      <c r="H318" s="240">
        <f t="shared" si="4"/>
        <v>77813</v>
      </c>
      <c r="I318" s="241"/>
      <c r="J318" s="221" t="b">
        <f>EXACT(E319,[1]Main!E319)</f>
        <v>1</v>
      </c>
    </row>
    <row r="319" spans="1:10" x14ac:dyDescent="0.25">
      <c r="A319" s="249">
        <v>45112</v>
      </c>
      <c r="B319" s="237">
        <v>205</v>
      </c>
      <c r="C319" s="238" t="s">
        <v>27</v>
      </c>
      <c r="D319" s="239" t="s">
        <v>772</v>
      </c>
      <c r="E319" s="237">
        <v>130</v>
      </c>
      <c r="F319" s="242" t="s">
        <v>464</v>
      </c>
      <c r="G319" s="239" t="s">
        <v>464</v>
      </c>
      <c r="H319" s="240">
        <f t="shared" si="4"/>
        <v>77888</v>
      </c>
      <c r="I319" s="241"/>
      <c r="J319" s="221" t="b">
        <f>EXACT(E320,[1]Main!E320)</f>
        <v>1</v>
      </c>
    </row>
    <row r="320" spans="1:10" x14ac:dyDescent="0.25">
      <c r="A320" s="249">
        <v>45112</v>
      </c>
      <c r="B320" s="237">
        <v>9807</v>
      </c>
      <c r="C320" s="238" t="s">
        <v>323</v>
      </c>
      <c r="D320" s="239" t="s">
        <v>766</v>
      </c>
      <c r="E320" s="237">
        <v>205</v>
      </c>
      <c r="F320" s="242" t="s">
        <v>776</v>
      </c>
      <c r="G320" s="239" t="s">
        <v>929</v>
      </c>
      <c r="H320" s="240">
        <f t="shared" si="4"/>
        <v>87490</v>
      </c>
      <c r="I320" s="242" t="s">
        <v>33</v>
      </c>
      <c r="J320" s="221" t="b">
        <f>EXACT(E321,[1]Main!E321)</f>
        <v>1</v>
      </c>
    </row>
    <row r="321" spans="1:10" x14ac:dyDescent="0.25">
      <c r="A321" s="249">
        <v>45112</v>
      </c>
      <c r="B321" s="237">
        <v>12130</v>
      </c>
      <c r="C321" s="238" t="s">
        <v>322</v>
      </c>
      <c r="D321" s="239" t="s">
        <v>766</v>
      </c>
      <c r="E321" s="237">
        <v>70</v>
      </c>
      <c r="F321" s="242" t="s">
        <v>10</v>
      </c>
      <c r="G321" s="239" t="s">
        <v>930</v>
      </c>
      <c r="H321" s="240">
        <f t="shared" si="4"/>
        <v>99550</v>
      </c>
      <c r="I321" s="241" t="s">
        <v>773</v>
      </c>
      <c r="J321" s="221" t="b">
        <f>EXACT(E322,[1]Main!E322)</f>
        <v>1</v>
      </c>
    </row>
    <row r="322" spans="1:10" x14ac:dyDescent="0.25">
      <c r="A322" s="249">
        <v>45112</v>
      </c>
      <c r="B322" s="237">
        <v>405</v>
      </c>
      <c r="C322" s="238" t="s">
        <v>922</v>
      </c>
      <c r="D322" s="239" t="s">
        <v>768</v>
      </c>
      <c r="E322" s="237">
        <v>5940</v>
      </c>
      <c r="F322" s="242" t="s">
        <v>781</v>
      </c>
      <c r="G322" s="239" t="s">
        <v>928</v>
      </c>
      <c r="H322" s="240">
        <f t="shared" si="4"/>
        <v>94015</v>
      </c>
      <c r="I322" s="241"/>
      <c r="J322" s="221" t="b">
        <f>EXACT(E323,[1]Main!E323)</f>
        <v>1</v>
      </c>
    </row>
    <row r="323" spans="1:10" x14ac:dyDescent="0.25">
      <c r="A323" s="249">
        <v>45112</v>
      </c>
      <c r="B323" s="237">
        <v>1515</v>
      </c>
      <c r="C323" s="238" t="s">
        <v>27</v>
      </c>
      <c r="D323" s="239" t="s">
        <v>772</v>
      </c>
      <c r="E323" s="237">
        <v>410</v>
      </c>
      <c r="F323" s="242" t="s">
        <v>312</v>
      </c>
      <c r="G323" s="239" t="s">
        <v>935</v>
      </c>
      <c r="H323" s="240">
        <f t="shared" si="4"/>
        <v>95120</v>
      </c>
      <c r="I323" s="241" t="s">
        <v>796</v>
      </c>
      <c r="J323" s="221" t="b">
        <f>EXACT(E324,[1]Main!E324)</f>
        <v>1</v>
      </c>
    </row>
    <row r="324" spans="1:10" x14ac:dyDescent="0.25">
      <c r="A324" s="249">
        <v>45112</v>
      </c>
      <c r="B324" s="237">
        <v>13997</v>
      </c>
      <c r="C324" s="238" t="s">
        <v>80</v>
      </c>
      <c r="D324" s="239" t="s">
        <v>763</v>
      </c>
      <c r="E324" s="237">
        <v>860</v>
      </c>
      <c r="F324" s="242" t="s">
        <v>58</v>
      </c>
      <c r="G324" s="239" t="s">
        <v>928</v>
      </c>
      <c r="H324" s="240">
        <f t="shared" si="4"/>
        <v>108257</v>
      </c>
      <c r="I324" s="241"/>
      <c r="J324" s="221" t="b">
        <f>EXACT(E325,[1]Main!E325)</f>
        <v>1</v>
      </c>
    </row>
    <row r="325" spans="1:10" x14ac:dyDescent="0.25">
      <c r="A325" s="249">
        <v>45112</v>
      </c>
      <c r="B325" s="237">
        <v>1702</v>
      </c>
      <c r="C325" s="238" t="s">
        <v>81</v>
      </c>
      <c r="D325" s="239" t="s">
        <v>765</v>
      </c>
      <c r="E325" s="237">
        <v>830</v>
      </c>
      <c r="F325" s="242" t="s">
        <v>313</v>
      </c>
      <c r="G325" s="239" t="s">
        <v>928</v>
      </c>
      <c r="H325" s="240">
        <f t="shared" si="4"/>
        <v>109129</v>
      </c>
      <c r="I325" s="241"/>
      <c r="J325" s="221" t="b">
        <f>EXACT(E326,[1]Main!E326)</f>
        <v>1</v>
      </c>
    </row>
    <row r="326" spans="1:10" x14ac:dyDescent="0.25">
      <c r="A326" s="249">
        <v>45112</v>
      </c>
      <c r="B326" s="237">
        <v>580</v>
      </c>
      <c r="C326" s="238" t="s">
        <v>27</v>
      </c>
      <c r="D326" s="239" t="s">
        <v>772</v>
      </c>
      <c r="E326" s="237">
        <v>2520</v>
      </c>
      <c r="F326" s="242" t="s">
        <v>314</v>
      </c>
      <c r="G326" s="239" t="s">
        <v>928</v>
      </c>
      <c r="H326" s="240">
        <f t="shared" si="4"/>
        <v>107189</v>
      </c>
      <c r="I326" s="241"/>
      <c r="J326" s="221" t="b">
        <f>EXACT(E327,[1]Main!E327)</f>
        <v>1</v>
      </c>
    </row>
    <row r="327" spans="1:10" x14ac:dyDescent="0.25">
      <c r="A327" s="249">
        <v>45112</v>
      </c>
      <c r="B327" s="237">
        <v>14925</v>
      </c>
      <c r="C327" s="238" t="s">
        <v>343</v>
      </c>
      <c r="D327" s="239" t="s">
        <v>766</v>
      </c>
      <c r="E327" s="237">
        <v>10</v>
      </c>
      <c r="F327" s="242" t="s">
        <v>316</v>
      </c>
      <c r="G327" s="239" t="s">
        <v>464</v>
      </c>
      <c r="H327" s="240">
        <f t="shared" ref="H327:H390" si="5">H326+B327-E327</f>
        <v>122104</v>
      </c>
      <c r="I327" s="241"/>
      <c r="J327" s="221" t="b">
        <f>EXACT(E328,[1]Main!E328)</f>
        <v>1</v>
      </c>
    </row>
    <row r="328" spans="1:10" x14ac:dyDescent="0.25">
      <c r="A328" s="249">
        <v>45112</v>
      </c>
      <c r="B328" s="237">
        <v>310</v>
      </c>
      <c r="C328" s="238" t="s">
        <v>747</v>
      </c>
      <c r="D328" s="239" t="s">
        <v>768</v>
      </c>
      <c r="E328" s="237">
        <v>965</v>
      </c>
      <c r="F328" s="242" t="s">
        <v>68</v>
      </c>
      <c r="G328" s="239" t="s">
        <v>928</v>
      </c>
      <c r="H328" s="240">
        <f t="shared" si="5"/>
        <v>121449</v>
      </c>
      <c r="I328" s="241"/>
      <c r="J328" s="221" t="b">
        <f>EXACT(E329,[1]Main!E329)</f>
        <v>1</v>
      </c>
    </row>
    <row r="329" spans="1:10" x14ac:dyDescent="0.25">
      <c r="A329" s="249">
        <v>45112</v>
      </c>
      <c r="B329" s="237">
        <v>205</v>
      </c>
      <c r="C329" s="238" t="s">
        <v>27</v>
      </c>
      <c r="D329" s="239" t="s">
        <v>772</v>
      </c>
      <c r="E329" s="237">
        <v>2115</v>
      </c>
      <c r="F329" s="242" t="s">
        <v>17</v>
      </c>
      <c r="G329" s="239" t="s">
        <v>928</v>
      </c>
      <c r="H329" s="240">
        <f t="shared" si="5"/>
        <v>119539</v>
      </c>
      <c r="I329" s="241"/>
      <c r="J329" s="221" t="b">
        <f>EXACT(E330,[1]Main!E330)</f>
        <v>1</v>
      </c>
    </row>
    <row r="330" spans="1:10" x14ac:dyDescent="0.25">
      <c r="A330" s="249">
        <v>45112</v>
      </c>
      <c r="B330" s="237">
        <v>9100</v>
      </c>
      <c r="C330" s="238" t="s">
        <v>6</v>
      </c>
      <c r="D330" s="239" t="s">
        <v>766</v>
      </c>
      <c r="E330" s="237">
        <v>970</v>
      </c>
      <c r="F330" s="242" t="s">
        <v>317</v>
      </c>
      <c r="G330" s="239" t="s">
        <v>928</v>
      </c>
      <c r="H330" s="240">
        <f t="shared" si="5"/>
        <v>127669</v>
      </c>
      <c r="I330" s="241"/>
      <c r="J330" s="221" t="b">
        <f>EXACT(E331,[1]Main!E331)</f>
        <v>1</v>
      </c>
    </row>
    <row r="331" spans="1:10" x14ac:dyDescent="0.25">
      <c r="A331" s="249">
        <v>45112</v>
      </c>
      <c r="B331" s="237">
        <v>640</v>
      </c>
      <c r="C331" s="238" t="s">
        <v>93</v>
      </c>
      <c r="D331" s="239" t="s">
        <v>768</v>
      </c>
      <c r="E331" s="237">
        <v>2215</v>
      </c>
      <c r="F331" s="242" t="s">
        <v>320</v>
      </c>
      <c r="G331" s="239" t="s">
        <v>928</v>
      </c>
      <c r="H331" s="240">
        <f t="shared" si="5"/>
        <v>126094</v>
      </c>
      <c r="I331" s="241"/>
      <c r="J331" s="221" t="b">
        <f>EXACT(E332,[1]Main!E332)</f>
        <v>1</v>
      </c>
    </row>
    <row r="332" spans="1:10" x14ac:dyDescent="0.25">
      <c r="A332" s="249">
        <v>45112</v>
      </c>
      <c r="B332" s="237">
        <v>15</v>
      </c>
      <c r="C332" s="238" t="s">
        <v>348</v>
      </c>
      <c r="D332" s="239" t="s">
        <v>772</v>
      </c>
      <c r="E332" s="237">
        <v>7</v>
      </c>
      <c r="F332" s="242" t="s">
        <v>319</v>
      </c>
      <c r="G332" s="239" t="s">
        <v>464</v>
      </c>
      <c r="H332" s="240">
        <f t="shared" si="5"/>
        <v>126102</v>
      </c>
      <c r="I332" s="241"/>
      <c r="J332" s="221" t="b">
        <f>EXACT(E333,[1]Main!E333)</f>
        <v>1</v>
      </c>
    </row>
    <row r="333" spans="1:10" x14ac:dyDescent="0.25">
      <c r="A333" s="249">
        <v>45112</v>
      </c>
      <c r="B333" s="237">
        <v>14745</v>
      </c>
      <c r="C333" s="238" t="s">
        <v>349</v>
      </c>
      <c r="D333" s="239" t="s">
        <v>763</v>
      </c>
      <c r="E333" s="237">
        <v>6000</v>
      </c>
      <c r="F333" s="242" t="s">
        <v>505</v>
      </c>
      <c r="G333" s="239" t="s">
        <v>928</v>
      </c>
      <c r="H333" s="240">
        <f t="shared" si="5"/>
        <v>134847</v>
      </c>
      <c r="I333" s="241"/>
      <c r="J333" s="221" t="b">
        <f>EXACT(E334,[1]Main!E334)</f>
        <v>1</v>
      </c>
    </row>
    <row r="334" spans="1:10" x14ac:dyDescent="0.25">
      <c r="A334" s="249">
        <v>45112</v>
      </c>
      <c r="B334" s="237">
        <v>8897</v>
      </c>
      <c r="C334" s="238" t="s">
        <v>362</v>
      </c>
      <c r="D334" s="239" t="s">
        <v>763</v>
      </c>
      <c r="E334" s="237">
        <v>2830</v>
      </c>
      <c r="F334" s="242" t="s">
        <v>12</v>
      </c>
      <c r="G334" s="239" t="s">
        <v>974</v>
      </c>
      <c r="H334" s="240">
        <f t="shared" si="5"/>
        <v>140914</v>
      </c>
      <c r="I334" s="241" t="s">
        <v>824</v>
      </c>
      <c r="J334" s="221" t="b">
        <f>EXACT(E335,[1]Main!E335)</f>
        <v>1</v>
      </c>
    </row>
    <row r="335" spans="1:10" x14ac:dyDescent="0.25">
      <c r="A335" s="249">
        <v>45112</v>
      </c>
      <c r="B335" s="237">
        <v>705</v>
      </c>
      <c r="C335" s="238" t="s">
        <v>27</v>
      </c>
      <c r="D335" s="239" t="s">
        <v>772</v>
      </c>
      <c r="E335" s="237">
        <v>3200</v>
      </c>
      <c r="F335" s="242" t="s">
        <v>66</v>
      </c>
      <c r="G335" s="239" t="s">
        <v>928</v>
      </c>
      <c r="H335" s="240">
        <f t="shared" si="5"/>
        <v>138419</v>
      </c>
      <c r="I335" s="241"/>
      <c r="J335" s="221" t="b">
        <f>EXACT(E336,[1]Main!E336)</f>
        <v>1</v>
      </c>
    </row>
    <row r="336" spans="1:10" x14ac:dyDescent="0.25">
      <c r="A336" s="249">
        <v>45112</v>
      </c>
      <c r="B336" s="237">
        <v>100</v>
      </c>
      <c r="C336" s="238" t="s">
        <v>351</v>
      </c>
      <c r="D336" s="239" t="s">
        <v>937</v>
      </c>
      <c r="E336" s="237">
        <v>50</v>
      </c>
      <c r="F336" s="242" t="s">
        <v>822</v>
      </c>
      <c r="G336" s="239" t="s">
        <v>931</v>
      </c>
      <c r="H336" s="240">
        <f t="shared" si="5"/>
        <v>138469</v>
      </c>
      <c r="I336" s="241"/>
      <c r="J336" s="221" t="b">
        <f>EXACT(E337,[1]Main!E337)</f>
        <v>1</v>
      </c>
    </row>
    <row r="337" spans="1:10" x14ac:dyDescent="0.25">
      <c r="A337" s="249">
        <v>45112</v>
      </c>
      <c r="B337" s="237">
        <v>15772</v>
      </c>
      <c r="C337" s="238" t="s">
        <v>15</v>
      </c>
      <c r="D337" s="239" t="s">
        <v>766</v>
      </c>
      <c r="E337" s="237">
        <v>100</v>
      </c>
      <c r="F337" s="242" t="s">
        <v>195</v>
      </c>
      <c r="G337" s="239" t="s">
        <v>930</v>
      </c>
      <c r="H337" s="240">
        <f t="shared" si="5"/>
        <v>154141</v>
      </c>
      <c r="I337" s="241" t="s">
        <v>825</v>
      </c>
      <c r="J337" s="221" t="b">
        <f>EXACT(E338,[1]Main!E338)</f>
        <v>1</v>
      </c>
    </row>
    <row r="338" spans="1:10" x14ac:dyDescent="0.25">
      <c r="A338" s="249">
        <v>45112</v>
      </c>
      <c r="B338" s="237">
        <v>354</v>
      </c>
      <c r="C338" s="238" t="s">
        <v>90</v>
      </c>
      <c r="D338" s="239" t="s">
        <v>768</v>
      </c>
      <c r="E338" s="237">
        <v>900</v>
      </c>
      <c r="F338" s="242" t="s">
        <v>325</v>
      </c>
      <c r="G338" s="239" t="s">
        <v>464</v>
      </c>
      <c r="H338" s="240">
        <f t="shared" si="5"/>
        <v>153595</v>
      </c>
      <c r="I338" s="241"/>
      <c r="J338" s="221" t="b">
        <f>EXACT(E339,[1]Main!E339)</f>
        <v>1</v>
      </c>
    </row>
    <row r="339" spans="1:10" x14ac:dyDescent="0.25">
      <c r="A339" s="249">
        <v>45112</v>
      </c>
      <c r="B339" s="237">
        <v>2220</v>
      </c>
      <c r="C339" s="238" t="s">
        <v>374</v>
      </c>
      <c r="D339" s="239" t="s">
        <v>765</v>
      </c>
      <c r="E339" s="237">
        <v>4500</v>
      </c>
      <c r="F339" s="242" t="s">
        <v>326</v>
      </c>
      <c r="G339" s="239" t="s">
        <v>928</v>
      </c>
      <c r="H339" s="240">
        <f t="shared" si="5"/>
        <v>151315</v>
      </c>
      <c r="I339" s="241"/>
      <c r="J339" s="221" t="b">
        <f>EXACT(E340,[1]Main!E340)</f>
        <v>1</v>
      </c>
    </row>
    <row r="340" spans="1:10" x14ac:dyDescent="0.25">
      <c r="A340" s="249">
        <v>45112</v>
      </c>
      <c r="B340" s="320">
        <v>50</v>
      </c>
      <c r="C340" s="417" t="s">
        <v>375</v>
      </c>
      <c r="D340" s="416"/>
      <c r="E340" s="237">
        <v>175</v>
      </c>
      <c r="F340" s="242" t="s">
        <v>498</v>
      </c>
      <c r="G340" s="239" t="s">
        <v>930</v>
      </c>
      <c r="H340" s="240">
        <f t="shared" si="5"/>
        <v>151190</v>
      </c>
      <c r="I340" s="241"/>
      <c r="J340" s="221" t="b">
        <f>EXACT(E341,[1]Main!E341)</f>
        <v>1</v>
      </c>
    </row>
    <row r="341" spans="1:10" x14ac:dyDescent="0.25">
      <c r="A341" s="249">
        <v>45112</v>
      </c>
      <c r="B341" s="237">
        <v>20</v>
      </c>
      <c r="C341" s="238" t="s">
        <v>35</v>
      </c>
      <c r="D341" s="239" t="s">
        <v>937</v>
      </c>
      <c r="E341" s="237">
        <v>115</v>
      </c>
      <c r="F341" s="242" t="s">
        <v>32</v>
      </c>
      <c r="G341" s="239" t="s">
        <v>930</v>
      </c>
      <c r="H341" s="240">
        <f t="shared" si="5"/>
        <v>151095</v>
      </c>
      <c r="I341" s="241" t="s">
        <v>347</v>
      </c>
      <c r="J341" s="221" t="b">
        <f>EXACT(E342,[1]Main!E342)</f>
        <v>1</v>
      </c>
    </row>
    <row r="342" spans="1:10" x14ac:dyDescent="0.25">
      <c r="A342" s="249">
        <v>45112</v>
      </c>
      <c r="B342" s="237">
        <v>11995</v>
      </c>
      <c r="C342" s="238" t="s">
        <v>85</v>
      </c>
      <c r="D342" s="239" t="s">
        <v>766</v>
      </c>
      <c r="E342" s="237">
        <v>155</v>
      </c>
      <c r="F342" s="242" t="s">
        <v>92</v>
      </c>
      <c r="G342" s="239" t="s">
        <v>930</v>
      </c>
      <c r="H342" s="240">
        <f t="shared" si="5"/>
        <v>162935</v>
      </c>
      <c r="I342" s="241" t="s">
        <v>347</v>
      </c>
      <c r="J342" s="221" t="b">
        <f>EXACT(E343,[1]Main!E343)</f>
        <v>1</v>
      </c>
    </row>
    <row r="343" spans="1:10" x14ac:dyDescent="0.25">
      <c r="A343" s="249">
        <v>45112</v>
      </c>
      <c r="B343" s="320">
        <v>245</v>
      </c>
      <c r="C343" s="417" t="s">
        <v>391</v>
      </c>
      <c r="D343" s="416"/>
      <c r="E343" s="237">
        <v>350</v>
      </c>
      <c r="F343" s="242" t="s">
        <v>329</v>
      </c>
      <c r="G343" s="239" t="s">
        <v>930</v>
      </c>
      <c r="H343" s="240">
        <f t="shared" si="5"/>
        <v>162830</v>
      </c>
      <c r="I343" s="241"/>
      <c r="J343" s="221" t="b">
        <f>EXACT(E344,[1]Main!E344)</f>
        <v>1</v>
      </c>
    </row>
    <row r="344" spans="1:10" x14ac:dyDescent="0.25">
      <c r="A344" s="249">
        <v>45112</v>
      </c>
      <c r="B344" s="237"/>
      <c r="C344" s="238"/>
      <c r="D344" s="239"/>
      <c r="E344" s="237">
        <v>1500</v>
      </c>
      <c r="F344" s="242" t="s">
        <v>826</v>
      </c>
      <c r="G344" s="239" t="s">
        <v>928</v>
      </c>
      <c r="H344" s="240">
        <f t="shared" si="5"/>
        <v>161330</v>
      </c>
      <c r="I344" s="241"/>
      <c r="J344" s="221" t="b">
        <f>EXACT(E345,[1]Main!E345)</f>
        <v>1</v>
      </c>
    </row>
    <row r="345" spans="1:10" x14ac:dyDescent="0.25">
      <c r="A345" s="249">
        <v>45112</v>
      </c>
      <c r="B345" s="237"/>
      <c r="C345" s="238"/>
      <c r="D345" s="239"/>
      <c r="E345" s="237">
        <v>1400</v>
      </c>
      <c r="F345" s="242" t="s">
        <v>79</v>
      </c>
      <c r="G345" s="239" t="s">
        <v>929</v>
      </c>
      <c r="H345" s="240">
        <f t="shared" si="5"/>
        <v>159930</v>
      </c>
      <c r="I345" s="241" t="s">
        <v>827</v>
      </c>
      <c r="J345" s="221" t="b">
        <f>EXACT(E346,[1]Main!E346)</f>
        <v>1</v>
      </c>
    </row>
    <row r="346" spans="1:10" x14ac:dyDescent="0.25">
      <c r="A346" s="249">
        <v>45112</v>
      </c>
      <c r="B346" s="237"/>
      <c r="C346" s="238"/>
      <c r="D346" s="239"/>
      <c r="E346" s="237">
        <v>1687</v>
      </c>
      <c r="F346" s="242" t="s">
        <v>505</v>
      </c>
      <c r="G346" s="239" t="s">
        <v>928</v>
      </c>
      <c r="H346" s="240">
        <f t="shared" si="5"/>
        <v>158243</v>
      </c>
      <c r="I346" s="241" t="s">
        <v>828</v>
      </c>
      <c r="J346" s="221" t="b">
        <f>EXACT(E347,[1]Main!E347)</f>
        <v>1</v>
      </c>
    </row>
    <row r="347" spans="1:10" x14ac:dyDescent="0.25">
      <c r="A347" s="249">
        <v>45112</v>
      </c>
      <c r="B347" s="237"/>
      <c r="C347" s="238"/>
      <c r="D347" s="239"/>
      <c r="E347" s="237">
        <v>500</v>
      </c>
      <c r="F347" s="242" t="s">
        <v>220</v>
      </c>
      <c r="G347" s="239" t="s">
        <v>928</v>
      </c>
      <c r="H347" s="240">
        <f t="shared" si="5"/>
        <v>157743</v>
      </c>
      <c r="I347" s="241" t="s">
        <v>794</v>
      </c>
      <c r="J347" s="221" t="b">
        <f>EXACT(E348,[1]Main!E348)</f>
        <v>1</v>
      </c>
    </row>
    <row r="348" spans="1:10" x14ac:dyDescent="0.25">
      <c r="A348" s="249">
        <v>45112</v>
      </c>
      <c r="B348" s="237"/>
      <c r="C348" s="238"/>
      <c r="D348" s="239"/>
      <c r="E348" s="237">
        <v>68</v>
      </c>
      <c r="F348" s="242" t="s">
        <v>335</v>
      </c>
      <c r="G348" s="239" t="s">
        <v>945</v>
      </c>
      <c r="H348" s="240">
        <f t="shared" si="5"/>
        <v>157675</v>
      </c>
      <c r="I348" s="241" t="s">
        <v>829</v>
      </c>
      <c r="J348" s="221" t="b">
        <f>EXACT(E349,[1]Main!E349)</f>
        <v>1</v>
      </c>
    </row>
    <row r="349" spans="1:10" x14ac:dyDescent="0.25">
      <c r="A349" s="249">
        <v>45112</v>
      </c>
      <c r="B349" s="237"/>
      <c r="C349" s="238"/>
      <c r="D349" s="239"/>
      <c r="E349" s="237">
        <v>784</v>
      </c>
      <c r="F349" s="242" t="s">
        <v>505</v>
      </c>
      <c r="G349" s="239" t="s">
        <v>928</v>
      </c>
      <c r="H349" s="240">
        <f t="shared" si="5"/>
        <v>156891</v>
      </c>
      <c r="I349" s="241"/>
      <c r="J349" s="221" t="b">
        <f>EXACT(E350,[1]Main!E350)</f>
        <v>1</v>
      </c>
    </row>
    <row r="350" spans="1:10" x14ac:dyDescent="0.25">
      <c r="A350" s="249">
        <v>45112</v>
      </c>
      <c r="B350" s="237"/>
      <c r="C350" s="238"/>
      <c r="D350" s="239"/>
      <c r="E350" s="237">
        <v>690</v>
      </c>
      <c r="F350" s="242" t="s">
        <v>56</v>
      </c>
      <c r="G350" s="239" t="s">
        <v>928</v>
      </c>
      <c r="H350" s="240">
        <f t="shared" si="5"/>
        <v>156201</v>
      </c>
      <c r="I350" s="241" t="s">
        <v>828</v>
      </c>
      <c r="J350" s="221" t="b">
        <f>EXACT(E351,[1]Main!E351)</f>
        <v>1</v>
      </c>
    </row>
    <row r="351" spans="1:10" x14ac:dyDescent="0.25">
      <c r="A351" s="249">
        <v>45112</v>
      </c>
      <c r="B351" s="237"/>
      <c r="C351" s="238"/>
      <c r="D351" s="239"/>
      <c r="E351" s="237">
        <v>8070</v>
      </c>
      <c r="F351" s="242" t="s">
        <v>336</v>
      </c>
      <c r="G351" s="239" t="s">
        <v>928</v>
      </c>
      <c r="H351" s="240">
        <f t="shared" si="5"/>
        <v>148131</v>
      </c>
      <c r="I351" s="241" t="s">
        <v>830</v>
      </c>
      <c r="J351" s="221" t="b">
        <f>EXACT(E352,[1]Main!E352)</f>
        <v>1</v>
      </c>
    </row>
    <row r="352" spans="1:10" x14ac:dyDescent="0.25">
      <c r="A352" s="249">
        <v>45112</v>
      </c>
      <c r="B352" s="237"/>
      <c r="C352" s="238"/>
      <c r="D352" s="239"/>
      <c r="E352" s="237">
        <v>120</v>
      </c>
      <c r="F352" s="242" t="s">
        <v>38</v>
      </c>
      <c r="G352" s="239" t="s">
        <v>930</v>
      </c>
      <c r="H352" s="240">
        <f t="shared" si="5"/>
        <v>148011</v>
      </c>
      <c r="I352" s="241"/>
      <c r="J352" s="221" t="b">
        <f>EXACT(E353,[1]Main!E353)</f>
        <v>1</v>
      </c>
    </row>
    <row r="353" spans="1:10" x14ac:dyDescent="0.25">
      <c r="A353" s="249">
        <v>45112</v>
      </c>
      <c r="B353" s="237"/>
      <c r="C353" s="238"/>
      <c r="D353" s="239"/>
      <c r="E353" s="237">
        <v>50</v>
      </c>
      <c r="F353" s="242" t="s">
        <v>13</v>
      </c>
      <c r="G353" s="239" t="s">
        <v>930</v>
      </c>
      <c r="H353" s="240">
        <f t="shared" si="5"/>
        <v>147961</v>
      </c>
      <c r="I353" s="241"/>
      <c r="J353" s="221" t="b">
        <f>EXACT(E354,[1]Main!E354)</f>
        <v>1</v>
      </c>
    </row>
    <row r="354" spans="1:10" x14ac:dyDescent="0.25">
      <c r="A354" s="249">
        <v>45112</v>
      </c>
      <c r="B354" s="237"/>
      <c r="C354" s="238"/>
      <c r="D354" s="239"/>
      <c r="E354" s="237">
        <v>6340</v>
      </c>
      <c r="F354" s="242" t="s">
        <v>337</v>
      </c>
      <c r="G354" s="239" t="s">
        <v>928</v>
      </c>
      <c r="H354" s="240">
        <f t="shared" si="5"/>
        <v>141621</v>
      </c>
      <c r="I354" s="241"/>
      <c r="J354" s="221" t="b">
        <f>EXACT(E355,[1]Main!E355)</f>
        <v>1</v>
      </c>
    </row>
    <row r="355" spans="1:10" x14ac:dyDescent="0.25">
      <c r="A355" s="249">
        <v>45112</v>
      </c>
      <c r="B355" s="237"/>
      <c r="C355" s="238"/>
      <c r="D355" s="239"/>
      <c r="E355" s="237">
        <v>1000</v>
      </c>
      <c r="F355" s="242" t="s">
        <v>737</v>
      </c>
      <c r="G355" s="239" t="s">
        <v>928</v>
      </c>
      <c r="H355" s="240">
        <f t="shared" si="5"/>
        <v>140621</v>
      </c>
      <c r="I355" s="241" t="s">
        <v>831</v>
      </c>
      <c r="J355" s="221" t="b">
        <f>EXACT(E356,[1]Main!E356)</f>
        <v>1</v>
      </c>
    </row>
    <row r="356" spans="1:10" x14ac:dyDescent="0.25">
      <c r="A356" s="249">
        <v>45112</v>
      </c>
      <c r="B356" s="237"/>
      <c r="C356" s="238"/>
      <c r="D356" s="239"/>
      <c r="E356" s="237">
        <v>195</v>
      </c>
      <c r="F356" s="242" t="s">
        <v>210</v>
      </c>
      <c r="G356" s="239" t="s">
        <v>930</v>
      </c>
      <c r="H356" s="240">
        <f t="shared" si="5"/>
        <v>140426</v>
      </c>
      <c r="I356" s="241" t="s">
        <v>791</v>
      </c>
      <c r="J356" s="221" t="b">
        <f>EXACT(E357,[1]Main!E357)</f>
        <v>1</v>
      </c>
    </row>
    <row r="357" spans="1:10" x14ac:dyDescent="0.25">
      <c r="A357" s="249">
        <v>45112</v>
      </c>
      <c r="B357" s="237"/>
      <c r="C357" s="238"/>
      <c r="D357" s="239"/>
      <c r="E357" s="237">
        <v>100</v>
      </c>
      <c r="F357" s="242" t="s">
        <v>9</v>
      </c>
      <c r="G357" s="239" t="s">
        <v>930</v>
      </c>
      <c r="H357" s="240">
        <f t="shared" si="5"/>
        <v>140326</v>
      </c>
      <c r="I357" s="241"/>
      <c r="J357" s="221" t="b">
        <f>EXACT(E358,[1]Main!E358)</f>
        <v>1</v>
      </c>
    </row>
    <row r="358" spans="1:10" x14ac:dyDescent="0.25">
      <c r="A358" s="249">
        <v>45112</v>
      </c>
      <c r="B358" s="237"/>
      <c r="C358" s="238"/>
      <c r="D358" s="239"/>
      <c r="E358" s="237">
        <v>100</v>
      </c>
      <c r="F358" s="242" t="s">
        <v>341</v>
      </c>
      <c r="G358" s="239" t="s">
        <v>930</v>
      </c>
      <c r="H358" s="240">
        <f t="shared" si="5"/>
        <v>140226</v>
      </c>
      <c r="I358" s="241"/>
      <c r="J358" s="221" t="b">
        <f>EXACT(E359,[1]Main!E359)</f>
        <v>1</v>
      </c>
    </row>
    <row r="359" spans="1:10" x14ac:dyDescent="0.25">
      <c r="A359" s="249">
        <v>45112</v>
      </c>
      <c r="B359" s="237"/>
      <c r="C359" s="238"/>
      <c r="D359" s="239"/>
      <c r="E359" s="237">
        <v>60</v>
      </c>
      <c r="F359" s="242" t="s">
        <v>212</v>
      </c>
      <c r="G359" s="239" t="s">
        <v>464</v>
      </c>
      <c r="H359" s="240">
        <f t="shared" si="5"/>
        <v>140166</v>
      </c>
      <c r="I359" s="241"/>
      <c r="J359" s="221" t="b">
        <f>EXACT(E360,[1]Main!E360)</f>
        <v>1</v>
      </c>
    </row>
    <row r="360" spans="1:10" x14ac:dyDescent="0.25">
      <c r="A360" s="249">
        <v>45112</v>
      </c>
      <c r="B360" s="237"/>
      <c r="C360" s="238"/>
      <c r="D360" s="239"/>
      <c r="E360" s="237">
        <v>12000</v>
      </c>
      <c r="F360" s="242" t="s">
        <v>358</v>
      </c>
      <c r="G360" s="239" t="s">
        <v>938</v>
      </c>
      <c r="H360" s="240">
        <f t="shared" si="5"/>
        <v>128166</v>
      </c>
      <c r="I360" s="241"/>
      <c r="J360" s="221" t="b">
        <f>EXACT(E361,[1]Main!E361)</f>
        <v>1</v>
      </c>
    </row>
    <row r="361" spans="1:10" x14ac:dyDescent="0.25">
      <c r="A361" s="249">
        <v>45112</v>
      </c>
      <c r="B361" s="237"/>
      <c r="C361" s="238"/>
      <c r="D361" s="239"/>
      <c r="E361" s="237">
        <v>135</v>
      </c>
      <c r="F361" s="242" t="s">
        <v>255</v>
      </c>
      <c r="G361" s="239" t="s">
        <v>930</v>
      </c>
      <c r="H361" s="240">
        <f t="shared" si="5"/>
        <v>128031</v>
      </c>
      <c r="I361" s="241" t="s">
        <v>832</v>
      </c>
      <c r="J361" s="221" t="b">
        <f>EXACT(E362,[1]Main!E362)</f>
        <v>1</v>
      </c>
    </row>
    <row r="362" spans="1:10" x14ac:dyDescent="0.25">
      <c r="A362" s="249">
        <v>45112</v>
      </c>
      <c r="B362" s="237"/>
      <c r="C362" s="238"/>
      <c r="D362" s="239"/>
      <c r="E362" s="237">
        <v>125</v>
      </c>
      <c r="F362" s="242" t="s">
        <v>7</v>
      </c>
      <c r="G362" s="239" t="s">
        <v>930</v>
      </c>
      <c r="H362" s="240">
        <f t="shared" si="5"/>
        <v>127906</v>
      </c>
      <c r="I362" s="241"/>
      <c r="J362" s="221" t="b">
        <f>EXACT(E363,[1]Main!E363)</f>
        <v>1</v>
      </c>
    </row>
    <row r="363" spans="1:10" x14ac:dyDescent="0.25">
      <c r="A363" s="249">
        <v>45112</v>
      </c>
      <c r="B363" s="237"/>
      <c r="C363" s="238"/>
      <c r="D363" s="239"/>
      <c r="E363" s="237">
        <v>120</v>
      </c>
      <c r="F363" s="242" t="s">
        <v>89</v>
      </c>
      <c r="G363" s="239" t="s">
        <v>930</v>
      </c>
      <c r="H363" s="240">
        <f t="shared" si="5"/>
        <v>127786</v>
      </c>
      <c r="I363" s="241"/>
      <c r="J363" s="221" t="b">
        <f>EXACT(E364,[1]Main!E364)</f>
        <v>1</v>
      </c>
    </row>
    <row r="364" spans="1:10" x14ac:dyDescent="0.25">
      <c r="A364" s="249">
        <v>45112</v>
      </c>
      <c r="B364" s="237"/>
      <c r="C364" s="238"/>
      <c r="D364" s="239"/>
      <c r="E364" s="237">
        <v>350</v>
      </c>
      <c r="F364" s="242" t="s">
        <v>11</v>
      </c>
      <c r="G364" s="239" t="s">
        <v>935</v>
      </c>
      <c r="H364" s="240">
        <f t="shared" si="5"/>
        <v>127436</v>
      </c>
      <c r="I364" s="241"/>
      <c r="J364" s="221" t="b">
        <f>EXACT(E365,[1]Main!E365)</f>
        <v>1</v>
      </c>
    </row>
    <row r="365" spans="1:10" x14ac:dyDescent="0.25">
      <c r="A365" s="249">
        <v>45112</v>
      </c>
      <c r="B365" s="237"/>
      <c r="C365" s="238"/>
      <c r="D365" s="239"/>
      <c r="E365" s="237">
        <v>240</v>
      </c>
      <c r="F365" s="242" t="s">
        <v>339</v>
      </c>
      <c r="G365" s="239" t="s">
        <v>935</v>
      </c>
      <c r="H365" s="240">
        <f t="shared" si="5"/>
        <v>127196</v>
      </c>
      <c r="I365" s="241"/>
      <c r="J365" s="221" t="b">
        <f>EXACT(E366,[1]Main!E366)</f>
        <v>1</v>
      </c>
    </row>
    <row r="366" spans="1:10" x14ac:dyDescent="0.25">
      <c r="A366" s="249">
        <v>45112</v>
      </c>
      <c r="B366" s="237"/>
      <c r="C366" s="238"/>
      <c r="D366" s="239"/>
      <c r="E366" s="237">
        <v>210</v>
      </c>
      <c r="F366" s="242" t="s">
        <v>265</v>
      </c>
      <c r="G366" s="239" t="s">
        <v>935</v>
      </c>
      <c r="H366" s="240">
        <f t="shared" si="5"/>
        <v>126986</v>
      </c>
      <c r="I366" s="241"/>
      <c r="J366" s="221" t="b">
        <f>EXACT(E367,[1]Main!E367)</f>
        <v>1</v>
      </c>
    </row>
    <row r="367" spans="1:10" x14ac:dyDescent="0.25">
      <c r="A367" s="249">
        <v>45112</v>
      </c>
      <c r="B367" s="237"/>
      <c r="C367" s="238"/>
      <c r="D367" s="239"/>
      <c r="E367" s="237">
        <v>2890</v>
      </c>
      <c r="F367" s="242" t="s">
        <v>345</v>
      </c>
      <c r="G367" s="239" t="s">
        <v>928</v>
      </c>
      <c r="H367" s="240">
        <f t="shared" si="5"/>
        <v>124096</v>
      </c>
      <c r="I367" s="241" t="s">
        <v>830</v>
      </c>
      <c r="J367" s="221" t="b">
        <f>EXACT(E368,[1]Main!E368)</f>
        <v>1</v>
      </c>
    </row>
    <row r="368" spans="1:10" x14ac:dyDescent="0.25">
      <c r="A368" s="249">
        <v>45112</v>
      </c>
      <c r="B368" s="237"/>
      <c r="C368" s="238"/>
      <c r="D368" s="239"/>
      <c r="E368" s="237">
        <v>35</v>
      </c>
      <c r="F368" s="242" t="s">
        <v>119</v>
      </c>
      <c r="G368" s="239" t="s">
        <v>464</v>
      </c>
      <c r="H368" s="240">
        <f t="shared" si="5"/>
        <v>124061</v>
      </c>
      <c r="I368" s="241"/>
      <c r="J368" s="221" t="b">
        <f>EXACT(E369,[1]Main!E369)</f>
        <v>1</v>
      </c>
    </row>
    <row r="369" spans="1:10" x14ac:dyDescent="0.25">
      <c r="A369" s="249">
        <v>45112</v>
      </c>
      <c r="B369" s="237"/>
      <c r="C369" s="238"/>
      <c r="D369" s="239"/>
      <c r="E369" s="237">
        <v>40</v>
      </c>
      <c r="F369" s="242" t="s">
        <v>776</v>
      </c>
      <c r="G369" s="239" t="s">
        <v>930</v>
      </c>
      <c r="H369" s="240">
        <f t="shared" si="5"/>
        <v>124021</v>
      </c>
      <c r="I369" s="241"/>
      <c r="J369" s="221" t="b">
        <f>EXACT(E370,[1]Main!E370)</f>
        <v>1</v>
      </c>
    </row>
    <row r="370" spans="1:10" x14ac:dyDescent="0.25">
      <c r="A370" s="249">
        <v>45112</v>
      </c>
      <c r="B370" s="237"/>
      <c r="C370" s="238"/>
      <c r="D370" s="239"/>
      <c r="E370" s="237">
        <v>45240</v>
      </c>
      <c r="F370" s="242" t="s">
        <v>346</v>
      </c>
      <c r="G370" s="239" t="s">
        <v>928</v>
      </c>
      <c r="H370" s="240">
        <f t="shared" si="5"/>
        <v>78781</v>
      </c>
      <c r="I370" s="241" t="s">
        <v>773</v>
      </c>
      <c r="J370" s="221" t="b">
        <f>EXACT(E371,[1]Main!E371)</f>
        <v>1</v>
      </c>
    </row>
    <row r="371" spans="1:10" x14ac:dyDescent="0.25">
      <c r="A371" s="249">
        <v>45112</v>
      </c>
      <c r="B371" s="237"/>
      <c r="C371" s="238"/>
      <c r="D371" s="239"/>
      <c r="E371" s="237">
        <v>4810</v>
      </c>
      <c r="F371" s="242" t="s">
        <v>16</v>
      </c>
      <c r="G371" s="239" t="s">
        <v>936</v>
      </c>
      <c r="H371" s="240">
        <f t="shared" si="5"/>
        <v>73971</v>
      </c>
      <c r="I371" s="241"/>
      <c r="J371" s="221" t="b">
        <f>EXACT(E372,[1]Main!E372)</f>
        <v>1</v>
      </c>
    </row>
    <row r="372" spans="1:10" x14ac:dyDescent="0.25">
      <c r="A372" s="249">
        <v>45112</v>
      </c>
      <c r="B372" s="237"/>
      <c r="C372" s="238"/>
      <c r="D372" s="239"/>
      <c r="E372" s="237">
        <v>25000</v>
      </c>
      <c r="F372" s="242" t="s">
        <v>352</v>
      </c>
      <c r="G372" s="239" t="s">
        <v>928</v>
      </c>
      <c r="H372" s="240">
        <f t="shared" si="5"/>
        <v>48971</v>
      </c>
      <c r="I372" s="241"/>
      <c r="J372" s="221" t="b">
        <f>EXACT(E373,[1]Main!E373)</f>
        <v>1</v>
      </c>
    </row>
    <row r="373" spans="1:10" x14ac:dyDescent="0.25">
      <c r="A373" s="249">
        <v>45112</v>
      </c>
      <c r="B373" s="237"/>
      <c r="C373" s="238"/>
      <c r="D373" s="239"/>
      <c r="E373" s="237">
        <v>95</v>
      </c>
      <c r="F373" s="242" t="s">
        <v>353</v>
      </c>
      <c r="G373" s="239" t="s">
        <v>929</v>
      </c>
      <c r="H373" s="240">
        <f t="shared" si="5"/>
        <v>48876</v>
      </c>
      <c r="I373" s="241"/>
      <c r="J373" s="221" t="b">
        <f>EXACT(E374,[1]Main!E374)</f>
        <v>1</v>
      </c>
    </row>
    <row r="374" spans="1:10" x14ac:dyDescent="0.25">
      <c r="A374" s="249">
        <v>45112</v>
      </c>
      <c r="B374" s="237"/>
      <c r="C374" s="238"/>
      <c r="D374" s="239"/>
      <c r="E374" s="237">
        <v>480</v>
      </c>
      <c r="F374" s="242" t="s">
        <v>29</v>
      </c>
      <c r="G374" s="239" t="s">
        <v>930</v>
      </c>
      <c r="H374" s="240">
        <f t="shared" si="5"/>
        <v>48396</v>
      </c>
      <c r="I374" s="241"/>
      <c r="J374" s="221" t="b">
        <f>EXACT(E375,[1]Main!E375)</f>
        <v>1</v>
      </c>
    </row>
    <row r="375" spans="1:10" x14ac:dyDescent="0.25">
      <c r="A375" s="249">
        <v>45112</v>
      </c>
      <c r="B375" s="237"/>
      <c r="C375" s="238"/>
      <c r="D375" s="239"/>
      <c r="E375" s="237">
        <v>1170</v>
      </c>
      <c r="F375" s="242" t="s">
        <v>14</v>
      </c>
      <c r="G375" s="239" t="s">
        <v>935</v>
      </c>
      <c r="H375" s="240">
        <f t="shared" si="5"/>
        <v>47226</v>
      </c>
      <c r="I375" s="241"/>
      <c r="J375" s="221" t="b">
        <f>EXACT(E376,[1]Main!E376)</f>
        <v>1</v>
      </c>
    </row>
    <row r="376" spans="1:10" x14ac:dyDescent="0.25">
      <c r="A376" s="249">
        <v>45112</v>
      </c>
      <c r="B376" s="237"/>
      <c r="C376" s="238"/>
      <c r="D376" s="239"/>
      <c r="E376" s="237">
        <v>155</v>
      </c>
      <c r="F376" s="242" t="s">
        <v>92</v>
      </c>
      <c r="G376" s="239" t="s">
        <v>930</v>
      </c>
      <c r="H376" s="240">
        <f t="shared" si="5"/>
        <v>47071</v>
      </c>
      <c r="I376" s="241"/>
      <c r="J376" s="221" t="b">
        <f>EXACT(E377,[1]Main!E377)</f>
        <v>1</v>
      </c>
    </row>
    <row r="377" spans="1:10" x14ac:dyDescent="0.25">
      <c r="A377" s="249">
        <v>45112</v>
      </c>
      <c r="B377" s="237"/>
      <c r="C377" s="238"/>
      <c r="D377" s="239"/>
      <c r="E377" s="237">
        <v>17</v>
      </c>
      <c r="F377" s="242" t="s">
        <v>105</v>
      </c>
      <c r="G377" s="239" t="s">
        <v>464</v>
      </c>
      <c r="H377" s="240">
        <f t="shared" si="5"/>
        <v>47054</v>
      </c>
      <c r="I377" s="241"/>
      <c r="J377" s="221" t="b">
        <f>EXACT(E378,[1]Main!E378)</f>
        <v>1</v>
      </c>
    </row>
    <row r="378" spans="1:10" x14ac:dyDescent="0.25">
      <c r="A378" s="249">
        <v>45112</v>
      </c>
      <c r="B378" s="237"/>
      <c r="C378" s="238"/>
      <c r="D378" s="239"/>
      <c r="E378" s="237">
        <v>520</v>
      </c>
      <c r="F378" s="242" t="s">
        <v>356</v>
      </c>
      <c r="G378" s="239" t="s">
        <v>928</v>
      </c>
      <c r="H378" s="240">
        <f t="shared" si="5"/>
        <v>46534</v>
      </c>
      <c r="I378" s="241"/>
      <c r="J378" s="221" t="b">
        <f>EXACT(E379,[1]Main!E379)</f>
        <v>1</v>
      </c>
    </row>
    <row r="379" spans="1:10" x14ac:dyDescent="0.25">
      <c r="A379" s="249">
        <v>45112</v>
      </c>
      <c r="B379" s="237"/>
      <c r="C379" s="238"/>
      <c r="D379" s="239"/>
      <c r="E379" s="237">
        <v>360</v>
      </c>
      <c r="F379" s="242" t="s">
        <v>339</v>
      </c>
      <c r="G379" s="239" t="s">
        <v>935</v>
      </c>
      <c r="H379" s="240">
        <f t="shared" si="5"/>
        <v>46174</v>
      </c>
      <c r="I379" s="241"/>
      <c r="J379" s="221" t="b">
        <f>EXACT(E380,[1]Main!E380)</f>
        <v>1</v>
      </c>
    </row>
    <row r="380" spans="1:10" x14ac:dyDescent="0.25">
      <c r="A380" s="249">
        <v>45112</v>
      </c>
      <c r="B380" s="237"/>
      <c r="C380" s="238"/>
      <c r="D380" s="239"/>
      <c r="E380" s="237">
        <v>100</v>
      </c>
      <c r="F380" s="242" t="s">
        <v>87</v>
      </c>
      <c r="G380" s="239" t="s">
        <v>930</v>
      </c>
      <c r="H380" s="240">
        <f t="shared" si="5"/>
        <v>46074</v>
      </c>
      <c r="I380" s="241"/>
      <c r="J380" s="221" t="b">
        <f>EXACT(E381,[1]Main!E381)</f>
        <v>1</v>
      </c>
    </row>
    <row r="381" spans="1:10" x14ac:dyDescent="0.25">
      <c r="A381" s="249">
        <v>45112</v>
      </c>
      <c r="B381" s="237"/>
      <c r="C381" s="238"/>
      <c r="D381" s="239"/>
      <c r="E381" s="237">
        <v>180</v>
      </c>
      <c r="F381" s="242" t="s">
        <v>86</v>
      </c>
      <c r="G381" s="239" t="s">
        <v>930</v>
      </c>
      <c r="H381" s="240">
        <f t="shared" si="5"/>
        <v>45894</v>
      </c>
      <c r="I381" s="241"/>
      <c r="J381" s="221" t="b">
        <f>EXACT(E382,[1]Main!E382)</f>
        <v>1</v>
      </c>
    </row>
    <row r="382" spans="1:10" x14ac:dyDescent="0.25">
      <c r="A382" s="249">
        <v>45112</v>
      </c>
      <c r="B382" s="237"/>
      <c r="C382" s="238"/>
      <c r="D382" s="239"/>
      <c r="E382" s="237">
        <v>175</v>
      </c>
      <c r="F382" s="242" t="s">
        <v>498</v>
      </c>
      <c r="G382" s="239" t="s">
        <v>930</v>
      </c>
      <c r="H382" s="240">
        <f t="shared" si="5"/>
        <v>45719</v>
      </c>
      <c r="I382" s="241" t="s">
        <v>347</v>
      </c>
      <c r="J382" s="221" t="b">
        <f>EXACT(E383,[1]Main!E383)</f>
        <v>1</v>
      </c>
    </row>
    <row r="383" spans="1:10" x14ac:dyDescent="0.25">
      <c r="A383" s="249">
        <v>45112</v>
      </c>
      <c r="B383" s="237"/>
      <c r="C383" s="238"/>
      <c r="D383" s="239"/>
      <c r="E383" s="237">
        <v>2080</v>
      </c>
      <c r="F383" s="242" t="s">
        <v>833</v>
      </c>
      <c r="G383" s="239" t="s">
        <v>930</v>
      </c>
      <c r="H383" s="240">
        <f t="shared" si="5"/>
        <v>43639</v>
      </c>
      <c r="I383" s="241" t="s">
        <v>347</v>
      </c>
      <c r="J383" s="221" t="b">
        <f>EXACT(E384,[1]Main!E384)</f>
        <v>1</v>
      </c>
    </row>
    <row r="384" spans="1:10" x14ac:dyDescent="0.25">
      <c r="A384" s="249">
        <v>45112</v>
      </c>
      <c r="B384" s="237"/>
      <c r="C384" s="238"/>
      <c r="D384" s="239"/>
      <c r="E384" s="237">
        <v>5480</v>
      </c>
      <c r="F384" s="242" t="s">
        <v>361</v>
      </c>
      <c r="G384" s="239" t="s">
        <v>928</v>
      </c>
      <c r="H384" s="240">
        <f t="shared" si="5"/>
        <v>38159</v>
      </c>
      <c r="I384" s="241" t="s">
        <v>834</v>
      </c>
      <c r="J384" s="221" t="b">
        <f>EXACT(E385,[1]Main!E385)</f>
        <v>1</v>
      </c>
    </row>
    <row r="385" spans="1:10" x14ac:dyDescent="0.25">
      <c r="A385" s="249">
        <v>45112</v>
      </c>
      <c r="B385" s="237"/>
      <c r="C385" s="238"/>
      <c r="D385" s="239"/>
      <c r="E385" s="237">
        <v>90</v>
      </c>
      <c r="F385" s="242" t="s">
        <v>223</v>
      </c>
      <c r="G385" s="239" t="s">
        <v>930</v>
      </c>
      <c r="H385" s="240">
        <f t="shared" si="5"/>
        <v>38069</v>
      </c>
      <c r="I385" s="241"/>
      <c r="J385" s="221" t="b">
        <f>EXACT(E386,[1]Main!E386)</f>
        <v>1</v>
      </c>
    </row>
    <row r="386" spans="1:10" x14ac:dyDescent="0.25">
      <c r="A386" s="249">
        <v>45112</v>
      </c>
      <c r="B386" s="237"/>
      <c r="C386" s="238"/>
      <c r="D386" s="239"/>
      <c r="E386" s="237">
        <v>4000</v>
      </c>
      <c r="F386" s="242" t="s">
        <v>364</v>
      </c>
      <c r="G386" s="239" t="s">
        <v>928</v>
      </c>
      <c r="H386" s="240">
        <f t="shared" si="5"/>
        <v>34069</v>
      </c>
      <c r="I386" s="241"/>
      <c r="J386" s="221" t="b">
        <f>EXACT(E387,[1]Main!E387)</f>
        <v>1</v>
      </c>
    </row>
    <row r="387" spans="1:10" x14ac:dyDescent="0.25">
      <c r="A387" s="249">
        <v>45112</v>
      </c>
      <c r="B387" s="237"/>
      <c r="C387" s="238"/>
      <c r="D387" s="239"/>
      <c r="E387" s="237">
        <v>80</v>
      </c>
      <c r="F387" s="242" t="s">
        <v>82</v>
      </c>
      <c r="G387" s="239" t="s">
        <v>930</v>
      </c>
      <c r="H387" s="240">
        <f t="shared" si="5"/>
        <v>33989</v>
      </c>
      <c r="I387" s="241"/>
      <c r="J387" s="221" t="b">
        <f>EXACT(E388,[1]Main!E388)</f>
        <v>1</v>
      </c>
    </row>
    <row r="388" spans="1:10" x14ac:dyDescent="0.25">
      <c r="A388" s="249">
        <v>45112</v>
      </c>
      <c r="B388" s="237"/>
      <c r="C388" s="238"/>
      <c r="D388" s="239"/>
      <c r="E388" s="237">
        <v>75</v>
      </c>
      <c r="F388" s="242" t="s">
        <v>464</v>
      </c>
      <c r="G388" s="239" t="s">
        <v>464</v>
      </c>
      <c r="H388" s="240">
        <f t="shared" si="5"/>
        <v>33914</v>
      </c>
      <c r="I388" s="241"/>
      <c r="J388" s="221" t="b">
        <f>EXACT(E389,[1]Main!E389)</f>
        <v>1</v>
      </c>
    </row>
    <row r="389" spans="1:10" x14ac:dyDescent="0.25">
      <c r="A389" s="249">
        <v>45112</v>
      </c>
      <c r="B389" s="237"/>
      <c r="C389" s="238"/>
      <c r="D389" s="239"/>
      <c r="E389" s="237">
        <v>1500</v>
      </c>
      <c r="F389" s="242" t="s">
        <v>27</v>
      </c>
      <c r="G389" s="239" t="s">
        <v>943</v>
      </c>
      <c r="H389" s="240">
        <f t="shared" si="5"/>
        <v>32414</v>
      </c>
      <c r="I389" s="242" t="s">
        <v>366</v>
      </c>
      <c r="J389" s="221" t="b">
        <f>EXACT(E390,[1]Main!E390)</f>
        <v>1</v>
      </c>
    </row>
    <row r="390" spans="1:10" x14ac:dyDescent="0.25">
      <c r="A390" s="249">
        <v>45112</v>
      </c>
      <c r="B390" s="237"/>
      <c r="C390" s="238"/>
      <c r="D390" s="239"/>
      <c r="E390" s="237">
        <v>20</v>
      </c>
      <c r="F390" s="242" t="s">
        <v>370</v>
      </c>
      <c r="G390" s="239" t="s">
        <v>930</v>
      </c>
      <c r="H390" s="240">
        <f t="shared" si="5"/>
        <v>32394</v>
      </c>
      <c r="I390" s="241"/>
      <c r="J390" s="221" t="b">
        <f>EXACT(E391,[1]Main!E391)</f>
        <v>1</v>
      </c>
    </row>
    <row r="391" spans="1:10" x14ac:dyDescent="0.25">
      <c r="A391" s="249">
        <v>45112</v>
      </c>
      <c r="B391" s="237"/>
      <c r="C391" s="238"/>
      <c r="D391" s="239"/>
      <c r="E391" s="237">
        <v>3350</v>
      </c>
      <c r="F391" s="242" t="s">
        <v>371</v>
      </c>
      <c r="G391" s="239" t="s">
        <v>928</v>
      </c>
      <c r="H391" s="240">
        <f t="shared" ref="H391:H454" si="6">H390+B391-E391</f>
        <v>29044</v>
      </c>
      <c r="I391" s="241"/>
      <c r="J391" s="221" t="b">
        <f>EXACT(E392,[1]Main!E392)</f>
        <v>1</v>
      </c>
    </row>
    <row r="392" spans="1:10" x14ac:dyDescent="0.25">
      <c r="A392" s="249">
        <v>45112</v>
      </c>
      <c r="B392" s="237"/>
      <c r="C392" s="238"/>
      <c r="D392" s="239"/>
      <c r="E392" s="237">
        <v>1600</v>
      </c>
      <c r="F392" s="242" t="s">
        <v>372</v>
      </c>
      <c r="G392" s="239" t="s">
        <v>464</v>
      </c>
      <c r="H392" s="240">
        <f t="shared" si="6"/>
        <v>27444</v>
      </c>
      <c r="I392" s="241"/>
      <c r="J392" s="221" t="b">
        <f>EXACT(E393,[1]Main!E393)</f>
        <v>1</v>
      </c>
    </row>
    <row r="393" spans="1:10" x14ac:dyDescent="0.25">
      <c r="A393" s="249">
        <v>45112</v>
      </c>
      <c r="B393" s="237"/>
      <c r="C393" s="238"/>
      <c r="D393" s="239"/>
      <c r="E393" s="237">
        <v>1282</v>
      </c>
      <c r="F393" s="242" t="s">
        <v>47</v>
      </c>
      <c r="G393" s="239" t="s">
        <v>928</v>
      </c>
      <c r="H393" s="240">
        <f t="shared" si="6"/>
        <v>26162</v>
      </c>
      <c r="I393" s="241"/>
      <c r="J393" s="221" t="b">
        <f>EXACT(E394,[1]Main!E394)</f>
        <v>1</v>
      </c>
    </row>
    <row r="394" spans="1:10" x14ac:dyDescent="0.25">
      <c r="A394" s="249">
        <v>45112</v>
      </c>
      <c r="B394" s="237"/>
      <c r="C394" s="238"/>
      <c r="D394" s="239"/>
      <c r="E394" s="237">
        <v>150</v>
      </c>
      <c r="F394" s="242" t="s">
        <v>376</v>
      </c>
      <c r="G394" s="239" t="s">
        <v>930</v>
      </c>
      <c r="H394" s="240">
        <f t="shared" si="6"/>
        <v>26012</v>
      </c>
      <c r="I394" s="241"/>
      <c r="J394" s="221" t="b">
        <f>EXACT(E395,[1]Main!E395)</f>
        <v>1</v>
      </c>
    </row>
    <row r="395" spans="1:10" x14ac:dyDescent="0.25">
      <c r="A395" s="249">
        <v>45112</v>
      </c>
      <c r="B395" s="237"/>
      <c r="C395" s="238"/>
      <c r="D395" s="239"/>
      <c r="E395" s="237">
        <v>75</v>
      </c>
      <c r="F395" s="242" t="s">
        <v>26</v>
      </c>
      <c r="G395" s="239" t="s">
        <v>930</v>
      </c>
      <c r="H395" s="240">
        <f t="shared" si="6"/>
        <v>25937</v>
      </c>
      <c r="I395" s="241"/>
      <c r="J395" s="221" t="b">
        <f>EXACT(E396,[1]Main!E396)</f>
        <v>1</v>
      </c>
    </row>
    <row r="396" spans="1:10" x14ac:dyDescent="0.25">
      <c r="A396" s="249">
        <v>45112</v>
      </c>
      <c r="B396" s="237"/>
      <c r="C396" s="238"/>
      <c r="D396" s="239"/>
      <c r="E396" s="237">
        <v>150</v>
      </c>
      <c r="F396" s="242" t="s">
        <v>60</v>
      </c>
      <c r="G396" s="239" t="s">
        <v>930</v>
      </c>
      <c r="H396" s="240">
        <f t="shared" si="6"/>
        <v>25787</v>
      </c>
      <c r="I396" s="241"/>
      <c r="J396" s="221" t="b">
        <f>EXACT(E397,[1]Main!E397)</f>
        <v>1</v>
      </c>
    </row>
    <row r="397" spans="1:10" x14ac:dyDescent="0.25">
      <c r="A397" s="249">
        <v>45112</v>
      </c>
      <c r="B397" s="237"/>
      <c r="C397" s="238"/>
      <c r="D397" s="239"/>
      <c r="E397" s="237">
        <v>195</v>
      </c>
      <c r="F397" s="242" t="s">
        <v>380</v>
      </c>
      <c r="G397" s="239" t="s">
        <v>930</v>
      </c>
      <c r="H397" s="240">
        <f t="shared" si="6"/>
        <v>25592</v>
      </c>
      <c r="I397" s="241"/>
      <c r="J397" s="221" t="b">
        <f>EXACT(E398,[1]Main!E398)</f>
        <v>1</v>
      </c>
    </row>
    <row r="398" spans="1:10" x14ac:dyDescent="0.25">
      <c r="A398" s="249">
        <v>45112</v>
      </c>
      <c r="B398" s="237"/>
      <c r="C398" s="238"/>
      <c r="D398" s="239"/>
      <c r="E398" s="237">
        <v>110</v>
      </c>
      <c r="F398" s="242" t="s">
        <v>381</v>
      </c>
      <c r="G398" s="239" t="s">
        <v>930</v>
      </c>
      <c r="H398" s="240">
        <f t="shared" si="6"/>
        <v>25482</v>
      </c>
      <c r="I398" s="241"/>
      <c r="J398" s="221" t="b">
        <f>EXACT(E399,[1]Main!E399)</f>
        <v>1</v>
      </c>
    </row>
    <row r="399" spans="1:10" x14ac:dyDescent="0.25">
      <c r="A399" s="249">
        <v>45112</v>
      </c>
      <c r="B399" s="237"/>
      <c r="C399" s="238"/>
      <c r="D399" s="239"/>
      <c r="E399" s="237">
        <v>120</v>
      </c>
      <c r="F399" s="242" t="s">
        <v>382</v>
      </c>
      <c r="G399" s="239" t="s">
        <v>930</v>
      </c>
      <c r="H399" s="240">
        <f t="shared" si="6"/>
        <v>25362</v>
      </c>
      <c r="I399" s="241"/>
      <c r="J399" s="221" t="b">
        <f>EXACT(E400,[1]Main!E400)</f>
        <v>1</v>
      </c>
    </row>
    <row r="400" spans="1:10" x14ac:dyDescent="0.25">
      <c r="A400" s="249">
        <v>45112</v>
      </c>
      <c r="B400" s="237"/>
      <c r="C400" s="238"/>
      <c r="D400" s="239"/>
      <c r="E400" s="237">
        <v>1675</v>
      </c>
      <c r="F400" s="242" t="s">
        <v>383</v>
      </c>
      <c r="G400" s="239" t="s">
        <v>928</v>
      </c>
      <c r="H400" s="240">
        <f t="shared" si="6"/>
        <v>23687</v>
      </c>
      <c r="I400" s="241"/>
      <c r="J400" s="221" t="b">
        <f>EXACT(E401,[1]Main!E401)</f>
        <v>1</v>
      </c>
    </row>
    <row r="401" spans="1:10" x14ac:dyDescent="0.25">
      <c r="A401" s="249">
        <v>45112</v>
      </c>
      <c r="B401" s="237"/>
      <c r="C401" s="238"/>
      <c r="D401" s="239"/>
      <c r="E401" s="237">
        <v>1625</v>
      </c>
      <c r="F401" s="242" t="s">
        <v>384</v>
      </c>
      <c r="G401" s="239" t="s">
        <v>928</v>
      </c>
      <c r="H401" s="240">
        <f t="shared" si="6"/>
        <v>22062</v>
      </c>
      <c r="I401" s="241"/>
      <c r="J401" s="221" t="b">
        <f>EXACT(E402,[1]Main!E402)</f>
        <v>1</v>
      </c>
    </row>
    <row r="402" spans="1:10" x14ac:dyDescent="0.25">
      <c r="A402" s="249">
        <v>45112</v>
      </c>
      <c r="B402" s="237"/>
      <c r="C402" s="238"/>
      <c r="D402" s="239"/>
      <c r="E402" s="237">
        <v>3080</v>
      </c>
      <c r="F402" s="242" t="s">
        <v>390</v>
      </c>
      <c r="G402" s="239" t="s">
        <v>930</v>
      </c>
      <c r="H402" s="240">
        <f t="shared" si="6"/>
        <v>18982</v>
      </c>
      <c r="I402" s="241"/>
      <c r="J402" s="221" t="b">
        <f>EXACT(E403,[1]Main!E403)</f>
        <v>1</v>
      </c>
    </row>
    <row r="403" spans="1:10" x14ac:dyDescent="0.25">
      <c r="A403" s="249">
        <v>45112</v>
      </c>
      <c r="B403" s="237"/>
      <c r="C403" s="238"/>
      <c r="D403" s="239"/>
      <c r="E403" s="237">
        <v>1280</v>
      </c>
      <c r="F403" s="242" t="s">
        <v>835</v>
      </c>
      <c r="G403" s="239" t="s">
        <v>464</v>
      </c>
      <c r="H403" s="240">
        <f t="shared" si="6"/>
        <v>17702</v>
      </c>
      <c r="I403" s="241"/>
      <c r="J403" s="221" t="b">
        <f>EXACT(E404,[1]Main!E404)</f>
        <v>1</v>
      </c>
    </row>
    <row r="404" spans="1:10" x14ac:dyDescent="0.25">
      <c r="A404" s="249">
        <v>45112</v>
      </c>
      <c r="B404" s="237"/>
      <c r="C404" s="238"/>
      <c r="D404" s="239"/>
      <c r="E404" s="237">
        <v>500</v>
      </c>
      <c r="F404" s="242" t="s">
        <v>389</v>
      </c>
      <c r="G404" s="239" t="s">
        <v>930</v>
      </c>
      <c r="H404" s="240">
        <f t="shared" si="6"/>
        <v>17202</v>
      </c>
      <c r="I404" s="241" t="s">
        <v>836</v>
      </c>
      <c r="J404" s="221" t="b">
        <f>EXACT(E405,[1]Main!E405)</f>
        <v>1</v>
      </c>
    </row>
    <row r="405" spans="1:10" x14ac:dyDescent="0.25">
      <c r="A405" s="249">
        <v>45112</v>
      </c>
      <c r="B405" s="237"/>
      <c r="C405" s="238"/>
      <c r="D405" s="239"/>
      <c r="E405" s="237">
        <v>10000</v>
      </c>
      <c r="F405" s="242" t="s">
        <v>387</v>
      </c>
      <c r="G405" s="239" t="s">
        <v>929</v>
      </c>
      <c r="H405" s="240">
        <f t="shared" si="6"/>
        <v>7202</v>
      </c>
      <c r="I405" s="241"/>
      <c r="J405" s="221" t="b">
        <f>EXACT(E406,[1]Main!E406)</f>
        <v>1</v>
      </c>
    </row>
    <row r="406" spans="1:10" x14ac:dyDescent="0.25">
      <c r="A406" s="249">
        <v>45112</v>
      </c>
      <c r="B406" s="237"/>
      <c r="C406" s="238"/>
      <c r="D406" s="239"/>
      <c r="E406" s="237">
        <v>2955</v>
      </c>
      <c r="F406" s="242" t="s">
        <v>837</v>
      </c>
      <c r="G406" s="239" t="s">
        <v>930</v>
      </c>
      <c r="H406" s="240">
        <f t="shared" si="6"/>
        <v>4247</v>
      </c>
      <c r="I406" s="241"/>
      <c r="J406" s="221" t="b">
        <f>EXACT(E407,[1]Main!E407)</f>
        <v>1</v>
      </c>
    </row>
    <row r="407" spans="1:10" x14ac:dyDescent="0.25">
      <c r="A407" s="249">
        <v>45112</v>
      </c>
      <c r="B407" s="237"/>
      <c r="C407" s="238"/>
      <c r="D407" s="239"/>
      <c r="E407" s="237">
        <v>20</v>
      </c>
      <c r="F407" s="242" t="s">
        <v>373</v>
      </c>
      <c r="G407" s="239" t="s">
        <v>930</v>
      </c>
      <c r="H407" s="240">
        <f t="shared" si="6"/>
        <v>4227</v>
      </c>
      <c r="I407" s="241" t="s">
        <v>838</v>
      </c>
      <c r="J407" s="221" t="b">
        <f>EXACT(E408,[1]Main!E408)</f>
        <v>1</v>
      </c>
    </row>
    <row r="408" spans="1:10" x14ac:dyDescent="0.25">
      <c r="A408" s="249">
        <v>45112</v>
      </c>
      <c r="B408" s="237"/>
      <c r="C408" s="238"/>
      <c r="D408" s="239"/>
      <c r="E408" s="237">
        <v>195</v>
      </c>
      <c r="F408" s="242" t="s">
        <v>27</v>
      </c>
      <c r="G408" s="239" t="s">
        <v>943</v>
      </c>
      <c r="H408" s="240">
        <f t="shared" si="6"/>
        <v>4032</v>
      </c>
      <c r="I408" s="241" t="s">
        <v>412</v>
      </c>
      <c r="J408" s="221" t="b">
        <f>EXACT(E409,[1]Main!E409)</f>
        <v>1</v>
      </c>
    </row>
    <row r="409" spans="1:10" x14ac:dyDescent="0.25">
      <c r="A409" s="249">
        <v>45112</v>
      </c>
      <c r="B409" s="237"/>
      <c r="C409" s="238"/>
      <c r="D409" s="239"/>
      <c r="E409" s="237">
        <v>940</v>
      </c>
      <c r="F409" s="242" t="s">
        <v>610</v>
      </c>
      <c r="G409" s="239" t="s">
        <v>943</v>
      </c>
      <c r="H409" s="240">
        <f t="shared" si="6"/>
        <v>3092</v>
      </c>
      <c r="I409" s="241"/>
      <c r="J409" s="221" t="b">
        <f>EXACT(E410,[1]Main!E410)</f>
        <v>1</v>
      </c>
    </row>
    <row r="410" spans="1:10" x14ac:dyDescent="0.25">
      <c r="A410" s="249">
        <v>45112</v>
      </c>
      <c r="B410" s="237"/>
      <c r="C410" s="238"/>
      <c r="D410" s="239"/>
      <c r="E410" s="237">
        <v>29</v>
      </c>
      <c r="F410" s="242" t="s">
        <v>358</v>
      </c>
      <c r="G410" s="239" t="s">
        <v>938</v>
      </c>
      <c r="H410" s="240">
        <f t="shared" si="6"/>
        <v>3063</v>
      </c>
      <c r="I410" s="241" t="s">
        <v>19</v>
      </c>
      <c r="J410" s="221" t="b">
        <f>EXACT(E411,[1]Main!E411)</f>
        <v>1</v>
      </c>
    </row>
    <row r="411" spans="1:10" x14ac:dyDescent="0.25">
      <c r="A411" s="249">
        <v>45112</v>
      </c>
      <c r="B411" s="237"/>
      <c r="C411" s="238"/>
      <c r="D411" s="239"/>
      <c r="E411" s="237">
        <v>69</v>
      </c>
      <c r="F411" s="242" t="s">
        <v>357</v>
      </c>
      <c r="G411" s="239" t="s">
        <v>931</v>
      </c>
      <c r="H411" s="240">
        <f t="shared" si="6"/>
        <v>2994</v>
      </c>
      <c r="I411" s="241"/>
      <c r="J411" s="221" t="b">
        <f>EXACT(E412,[1]Main!E412)</f>
        <v>1</v>
      </c>
    </row>
    <row r="412" spans="1:10" x14ac:dyDescent="0.25">
      <c r="A412" s="249">
        <v>45112</v>
      </c>
      <c r="B412" s="237"/>
      <c r="C412" s="238"/>
      <c r="D412" s="239"/>
      <c r="E412" s="237">
        <v>405</v>
      </c>
      <c r="F412" s="242" t="s">
        <v>27</v>
      </c>
      <c r="G412" s="239" t="s">
        <v>943</v>
      </c>
      <c r="H412" s="240">
        <f t="shared" si="6"/>
        <v>2589</v>
      </c>
      <c r="I412" s="241"/>
      <c r="J412" s="221" t="b">
        <f>EXACT(E413,[1]Main!E413)</f>
        <v>1</v>
      </c>
    </row>
    <row r="413" spans="1:10" x14ac:dyDescent="0.25">
      <c r="A413" s="249">
        <v>45112</v>
      </c>
      <c r="B413" s="237"/>
      <c r="C413" s="238"/>
      <c r="D413" s="239"/>
      <c r="E413" s="237">
        <v>70</v>
      </c>
      <c r="F413" s="242" t="s">
        <v>355</v>
      </c>
      <c r="G413" s="239" t="s">
        <v>464</v>
      </c>
      <c r="H413" s="240">
        <f t="shared" si="6"/>
        <v>2519</v>
      </c>
      <c r="I413" s="241"/>
      <c r="J413" s="221" t="b">
        <f>EXACT(E414,[1]Main!E414)</f>
        <v>1</v>
      </c>
    </row>
    <row r="414" spans="1:10" x14ac:dyDescent="0.25">
      <c r="A414" s="244">
        <v>45112</v>
      </c>
      <c r="B414" s="245"/>
      <c r="C414" s="246"/>
      <c r="D414" s="247"/>
      <c r="E414" s="245">
        <v>244</v>
      </c>
      <c r="F414" s="248" t="s">
        <v>266</v>
      </c>
      <c r="G414" s="247" t="s">
        <v>941</v>
      </c>
      <c r="H414" s="240">
        <f t="shared" si="6"/>
        <v>2275</v>
      </c>
      <c r="I414" s="241" t="s">
        <v>839</v>
      </c>
      <c r="J414" s="221" t="b">
        <f>EXACT(E415,[1]Main!E415)</f>
        <v>1</v>
      </c>
    </row>
    <row r="415" spans="1:10" x14ac:dyDescent="0.25">
      <c r="A415" s="249">
        <v>45113</v>
      </c>
      <c r="B415" s="237">
        <v>17208</v>
      </c>
      <c r="C415" s="238" t="s">
        <v>9</v>
      </c>
      <c r="D415" s="239" t="s">
        <v>763</v>
      </c>
      <c r="E415" s="267">
        <v>35</v>
      </c>
      <c r="F415" s="268" t="s">
        <v>73</v>
      </c>
      <c r="G415" s="239" t="s">
        <v>945</v>
      </c>
      <c r="H415" s="240">
        <f t="shared" si="6"/>
        <v>19448</v>
      </c>
      <c r="I415" s="241"/>
      <c r="J415" s="221" t="b">
        <f>EXACT(E416,[1]Main!E416)</f>
        <v>1</v>
      </c>
    </row>
    <row r="416" spans="1:10" x14ac:dyDescent="0.25">
      <c r="A416" s="249">
        <v>45113</v>
      </c>
      <c r="B416" s="237">
        <v>2225</v>
      </c>
      <c r="C416" s="238" t="s">
        <v>28</v>
      </c>
      <c r="D416" s="239" t="s">
        <v>765</v>
      </c>
      <c r="E416" s="237">
        <v>65</v>
      </c>
      <c r="F416" s="242" t="s">
        <v>464</v>
      </c>
      <c r="G416" s="239" t="s">
        <v>464</v>
      </c>
      <c r="H416" s="240">
        <f t="shared" si="6"/>
        <v>21608</v>
      </c>
      <c r="I416" s="242" t="s">
        <v>33</v>
      </c>
      <c r="J416" s="221" t="b">
        <f>EXACT(E417,[1]Main!E417)</f>
        <v>1</v>
      </c>
    </row>
    <row r="417" spans="1:10" x14ac:dyDescent="0.25">
      <c r="A417" s="249">
        <v>45113</v>
      </c>
      <c r="B417" s="237">
        <v>11063</v>
      </c>
      <c r="C417" s="238" t="s">
        <v>80</v>
      </c>
      <c r="D417" s="239" t="s">
        <v>763</v>
      </c>
      <c r="E417" s="237">
        <v>220</v>
      </c>
      <c r="F417" s="242" t="s">
        <v>8</v>
      </c>
      <c r="G417" s="239" t="s">
        <v>930</v>
      </c>
      <c r="H417" s="240">
        <f t="shared" si="6"/>
        <v>32451</v>
      </c>
      <c r="I417" s="241"/>
      <c r="J417" s="221" t="b">
        <f>EXACT(E418,[1]Main!E418)</f>
        <v>1</v>
      </c>
    </row>
    <row r="418" spans="1:10" x14ac:dyDescent="0.25">
      <c r="A418" s="249">
        <v>45113</v>
      </c>
      <c r="B418" s="237">
        <v>1171</v>
      </c>
      <c r="C418" s="238" t="s">
        <v>81</v>
      </c>
      <c r="D418" s="239" t="s">
        <v>765</v>
      </c>
      <c r="E418" s="237">
        <v>50</v>
      </c>
      <c r="F418" s="242" t="s">
        <v>10</v>
      </c>
      <c r="G418" s="239" t="s">
        <v>930</v>
      </c>
      <c r="H418" s="240">
        <f t="shared" si="6"/>
        <v>33572</v>
      </c>
      <c r="I418" s="241"/>
      <c r="J418" s="221" t="b">
        <f>EXACT(E419,[1]Main!E419)</f>
        <v>1</v>
      </c>
    </row>
    <row r="419" spans="1:10" x14ac:dyDescent="0.25">
      <c r="A419" s="249">
        <v>45113</v>
      </c>
      <c r="B419" s="237">
        <v>4960</v>
      </c>
      <c r="C419" s="238" t="s">
        <v>22</v>
      </c>
      <c r="D419" s="239" t="s">
        <v>772</v>
      </c>
      <c r="E419" s="237">
        <v>120</v>
      </c>
      <c r="F419" s="242" t="s">
        <v>393</v>
      </c>
      <c r="G419" s="239" t="s">
        <v>930</v>
      </c>
      <c r="H419" s="240">
        <f t="shared" si="6"/>
        <v>38412</v>
      </c>
      <c r="I419" s="241"/>
      <c r="J419" s="221" t="b">
        <f>EXACT(E420,[1]Main!E420)</f>
        <v>1</v>
      </c>
    </row>
    <row r="420" spans="1:10" x14ac:dyDescent="0.25">
      <c r="A420" s="249">
        <v>45113</v>
      </c>
      <c r="B420" s="237">
        <v>100</v>
      </c>
      <c r="C420" s="238" t="s">
        <v>35</v>
      </c>
      <c r="D420" s="239" t="s">
        <v>937</v>
      </c>
      <c r="E420" s="237">
        <v>3488</v>
      </c>
      <c r="F420" s="242" t="s">
        <v>394</v>
      </c>
      <c r="G420" s="239" t="s">
        <v>930</v>
      </c>
      <c r="H420" s="240">
        <f t="shared" si="6"/>
        <v>35024</v>
      </c>
      <c r="I420" s="241"/>
      <c r="J420" s="221" t="b">
        <f>EXACT(E421,[1]Main!E421)</f>
        <v>1</v>
      </c>
    </row>
    <row r="421" spans="1:10" x14ac:dyDescent="0.25">
      <c r="A421" s="249">
        <v>45113</v>
      </c>
      <c r="B421" s="237">
        <v>1010</v>
      </c>
      <c r="C421" s="238" t="s">
        <v>22</v>
      </c>
      <c r="D421" s="239" t="s">
        <v>772</v>
      </c>
      <c r="E421" s="237">
        <v>3015</v>
      </c>
      <c r="F421" s="242" t="s">
        <v>12</v>
      </c>
      <c r="G421" s="239" t="s">
        <v>974</v>
      </c>
      <c r="H421" s="240">
        <f t="shared" si="6"/>
        <v>33019</v>
      </c>
      <c r="I421" s="241"/>
      <c r="J421" s="221" t="b">
        <f>EXACT(E422,[1]Main!E422)</f>
        <v>1</v>
      </c>
    </row>
    <row r="422" spans="1:10" x14ac:dyDescent="0.25">
      <c r="A422" s="249">
        <v>45113</v>
      </c>
      <c r="B422" s="237">
        <v>17704</v>
      </c>
      <c r="C422" s="238" t="s">
        <v>15</v>
      </c>
      <c r="D422" s="239" t="s">
        <v>766</v>
      </c>
      <c r="E422" s="237">
        <v>195</v>
      </c>
      <c r="F422" s="242" t="s">
        <v>397</v>
      </c>
      <c r="G422" s="239" t="s">
        <v>929</v>
      </c>
      <c r="H422" s="240">
        <f t="shared" si="6"/>
        <v>50528</v>
      </c>
      <c r="I422" s="241"/>
      <c r="J422" s="221" t="b">
        <f>EXACT(E423,[1]Main!E423)</f>
        <v>1</v>
      </c>
    </row>
    <row r="423" spans="1:10" x14ac:dyDescent="0.25">
      <c r="A423" s="249">
        <v>45113</v>
      </c>
      <c r="B423" s="237">
        <v>78</v>
      </c>
      <c r="C423" s="238" t="s">
        <v>412</v>
      </c>
      <c r="D423" s="239" t="s">
        <v>768</v>
      </c>
      <c r="E423" s="237">
        <v>1013</v>
      </c>
      <c r="F423" s="242" t="s">
        <v>45</v>
      </c>
      <c r="G423" s="239" t="s">
        <v>929</v>
      </c>
      <c r="H423" s="240">
        <f t="shared" si="6"/>
        <v>49593</v>
      </c>
      <c r="I423" s="241"/>
      <c r="J423" s="221" t="b">
        <f>EXACT(E424,[1]Main!E424)</f>
        <v>1</v>
      </c>
    </row>
    <row r="424" spans="1:10" x14ac:dyDescent="0.25">
      <c r="A424" s="249">
        <v>45113</v>
      </c>
      <c r="B424" s="237">
        <v>7535</v>
      </c>
      <c r="C424" s="238" t="s">
        <v>6</v>
      </c>
      <c r="D424" s="239" t="s">
        <v>766</v>
      </c>
      <c r="E424" s="237">
        <v>245</v>
      </c>
      <c r="F424" s="242" t="s">
        <v>399</v>
      </c>
      <c r="G424" s="239" t="s">
        <v>930</v>
      </c>
      <c r="H424" s="240">
        <f t="shared" si="6"/>
        <v>56883</v>
      </c>
      <c r="I424" s="241"/>
      <c r="J424" s="221" t="b">
        <f>EXACT(E425,[1]Main!E425)</f>
        <v>1</v>
      </c>
    </row>
    <row r="425" spans="1:10" x14ac:dyDescent="0.25">
      <c r="A425" s="249">
        <v>45113</v>
      </c>
      <c r="B425" s="237">
        <v>310</v>
      </c>
      <c r="C425" s="238" t="s">
        <v>93</v>
      </c>
      <c r="D425" s="239" t="s">
        <v>768</v>
      </c>
      <c r="E425" s="237">
        <v>58</v>
      </c>
      <c r="F425" s="242" t="s">
        <v>73</v>
      </c>
      <c r="G425" s="239" t="s">
        <v>945</v>
      </c>
      <c r="H425" s="240">
        <f t="shared" si="6"/>
        <v>57135</v>
      </c>
      <c r="I425" s="241"/>
      <c r="J425" s="221" t="b">
        <f>EXACT(E426,[1]Main!E426)</f>
        <v>1</v>
      </c>
    </row>
    <row r="426" spans="1:10" x14ac:dyDescent="0.25">
      <c r="A426" s="249">
        <v>45113</v>
      </c>
      <c r="B426" s="237">
        <v>15062</v>
      </c>
      <c r="C426" s="238" t="s">
        <v>88</v>
      </c>
      <c r="D426" s="239" t="s">
        <v>766</v>
      </c>
      <c r="E426" s="237">
        <v>385</v>
      </c>
      <c r="F426" s="242" t="s">
        <v>400</v>
      </c>
      <c r="G426" s="239" t="s">
        <v>935</v>
      </c>
      <c r="H426" s="240">
        <f t="shared" si="6"/>
        <v>71812</v>
      </c>
      <c r="I426" s="241"/>
      <c r="J426" s="221" t="b">
        <f>EXACT(E427,[1]Main!E427)</f>
        <v>1</v>
      </c>
    </row>
    <row r="427" spans="1:10" x14ac:dyDescent="0.25">
      <c r="A427" s="249">
        <v>45113</v>
      </c>
      <c r="B427" s="237">
        <v>181</v>
      </c>
      <c r="C427" s="238" t="s">
        <v>747</v>
      </c>
      <c r="D427" s="239" t="s">
        <v>768</v>
      </c>
      <c r="E427" s="237">
        <v>545</v>
      </c>
      <c r="F427" s="242" t="s">
        <v>11</v>
      </c>
      <c r="G427" s="239" t="s">
        <v>935</v>
      </c>
      <c r="H427" s="240">
        <f t="shared" si="6"/>
        <v>71448</v>
      </c>
      <c r="I427" s="241"/>
      <c r="J427" s="221" t="b">
        <f>EXACT(E428,[1]Main!E428)</f>
        <v>1</v>
      </c>
    </row>
    <row r="428" spans="1:10" x14ac:dyDescent="0.25">
      <c r="A428" s="249">
        <v>45113</v>
      </c>
      <c r="B428" s="237">
        <v>9059</v>
      </c>
      <c r="C428" s="238" t="s">
        <v>363</v>
      </c>
      <c r="D428" s="239" t="s">
        <v>763</v>
      </c>
      <c r="E428" s="237">
        <v>1322</v>
      </c>
      <c r="F428" s="242" t="s">
        <v>840</v>
      </c>
      <c r="G428" s="239" t="s">
        <v>928</v>
      </c>
      <c r="H428" s="240">
        <f t="shared" si="6"/>
        <v>79185</v>
      </c>
      <c r="I428" s="241" t="s">
        <v>841</v>
      </c>
      <c r="J428" s="221" t="b">
        <f>EXACT(E429,[1]Main!E429)</f>
        <v>1</v>
      </c>
    </row>
    <row r="429" spans="1:10" x14ac:dyDescent="0.25">
      <c r="A429" s="249">
        <v>45113</v>
      </c>
      <c r="B429" s="237">
        <v>13355</v>
      </c>
      <c r="C429" s="238" t="s">
        <v>19</v>
      </c>
      <c r="D429" s="239" t="s">
        <v>763</v>
      </c>
      <c r="E429" s="237">
        <v>13</v>
      </c>
      <c r="F429" s="242" t="s">
        <v>55</v>
      </c>
      <c r="G429" s="239" t="s">
        <v>929</v>
      </c>
      <c r="H429" s="240">
        <f t="shared" si="6"/>
        <v>92527</v>
      </c>
      <c r="I429" s="241"/>
      <c r="J429" s="221" t="b">
        <f>EXACT(E430,[1]Main!E430)</f>
        <v>1</v>
      </c>
    </row>
    <row r="430" spans="1:10" x14ac:dyDescent="0.25">
      <c r="A430" s="249">
        <v>45113</v>
      </c>
      <c r="B430" s="237">
        <v>1933</v>
      </c>
      <c r="C430" s="238" t="s">
        <v>374</v>
      </c>
      <c r="D430" s="239" t="s">
        <v>765</v>
      </c>
      <c r="E430" s="237">
        <v>2030</v>
      </c>
      <c r="F430" s="242" t="s">
        <v>1342</v>
      </c>
      <c r="G430" s="239" t="s">
        <v>928</v>
      </c>
      <c r="H430" s="240">
        <f t="shared" si="6"/>
        <v>92430</v>
      </c>
      <c r="I430" s="241" t="s">
        <v>784</v>
      </c>
      <c r="J430" s="221" t="b">
        <f>EXACT(E431,[1]Main!E431)</f>
        <v>1</v>
      </c>
    </row>
    <row r="431" spans="1:10" x14ac:dyDescent="0.25">
      <c r="A431" s="249">
        <v>45113</v>
      </c>
      <c r="B431" s="237">
        <v>300</v>
      </c>
      <c r="C431" s="261" t="s">
        <v>430</v>
      </c>
      <c r="D431" s="239" t="s">
        <v>924</v>
      </c>
      <c r="E431" s="237">
        <v>120</v>
      </c>
      <c r="F431" s="242" t="s">
        <v>38</v>
      </c>
      <c r="G431" s="239" t="s">
        <v>930</v>
      </c>
      <c r="H431" s="240">
        <f t="shared" si="6"/>
        <v>92610</v>
      </c>
      <c r="I431" s="241"/>
      <c r="J431" s="221" t="b">
        <f>EXACT(E432,[1]Main!E432)</f>
        <v>1</v>
      </c>
    </row>
    <row r="432" spans="1:10" x14ac:dyDescent="0.25">
      <c r="A432" s="249">
        <v>45113</v>
      </c>
      <c r="B432" s="237">
        <v>13175</v>
      </c>
      <c r="C432" s="238" t="s">
        <v>85</v>
      </c>
      <c r="D432" s="239" t="s">
        <v>766</v>
      </c>
      <c r="E432" s="237">
        <v>50</v>
      </c>
      <c r="F432" s="242" t="s">
        <v>13</v>
      </c>
      <c r="G432" s="239" t="s">
        <v>930</v>
      </c>
      <c r="H432" s="240">
        <f t="shared" si="6"/>
        <v>105735</v>
      </c>
      <c r="I432" s="241"/>
      <c r="J432" s="221" t="b">
        <f>EXACT(E433,[1]Main!E433)</f>
        <v>1</v>
      </c>
    </row>
    <row r="433" spans="1:10" x14ac:dyDescent="0.25">
      <c r="A433" s="249">
        <v>45113</v>
      </c>
      <c r="B433" s="237"/>
      <c r="C433" s="238"/>
      <c r="D433" s="239"/>
      <c r="E433" s="237">
        <v>1500</v>
      </c>
      <c r="F433" s="242" t="s">
        <v>737</v>
      </c>
      <c r="G433" s="239" t="s">
        <v>928</v>
      </c>
      <c r="H433" s="240">
        <f t="shared" si="6"/>
        <v>104235</v>
      </c>
      <c r="I433" s="241" t="s">
        <v>842</v>
      </c>
      <c r="J433" s="221" t="b">
        <f>EXACT(E434,[1]Main!E434)</f>
        <v>1</v>
      </c>
    </row>
    <row r="434" spans="1:10" x14ac:dyDescent="0.25">
      <c r="A434" s="249">
        <v>45113</v>
      </c>
      <c r="B434" s="237"/>
      <c r="C434" s="238"/>
      <c r="D434" s="239"/>
      <c r="E434" s="237">
        <v>145</v>
      </c>
      <c r="F434" s="242" t="s">
        <v>341</v>
      </c>
      <c r="G434" s="239" t="s">
        <v>930</v>
      </c>
      <c r="H434" s="240">
        <f t="shared" si="6"/>
        <v>104090</v>
      </c>
      <c r="I434" s="241"/>
      <c r="J434" s="221" t="b">
        <f>EXACT(E435,[1]Main!E435)</f>
        <v>1</v>
      </c>
    </row>
    <row r="435" spans="1:10" x14ac:dyDescent="0.25">
      <c r="A435" s="249">
        <v>45113</v>
      </c>
      <c r="B435" s="237"/>
      <c r="C435" s="238"/>
      <c r="D435" s="239"/>
      <c r="E435" s="237">
        <v>50</v>
      </c>
      <c r="F435" s="242" t="s">
        <v>984</v>
      </c>
      <c r="G435" s="239" t="s">
        <v>929</v>
      </c>
      <c r="H435" s="240">
        <f t="shared" si="6"/>
        <v>104040</v>
      </c>
      <c r="I435" s="241"/>
      <c r="J435" s="221" t="b">
        <f>EXACT(E436,[1]Main!E436)</f>
        <v>1</v>
      </c>
    </row>
    <row r="436" spans="1:10" x14ac:dyDescent="0.25">
      <c r="A436" s="249">
        <v>45113</v>
      </c>
      <c r="B436" s="237"/>
      <c r="C436" s="238"/>
      <c r="D436" s="239"/>
      <c r="E436" s="237">
        <v>4229</v>
      </c>
      <c r="F436" s="242" t="s">
        <v>793</v>
      </c>
      <c r="G436" s="239" t="s">
        <v>928</v>
      </c>
      <c r="H436" s="240">
        <f t="shared" si="6"/>
        <v>99811</v>
      </c>
      <c r="I436" s="241" t="s">
        <v>191</v>
      </c>
      <c r="J436" s="221" t="b">
        <f>EXACT(E437,[1]Main!E437)</f>
        <v>1</v>
      </c>
    </row>
    <row r="437" spans="1:10" x14ac:dyDescent="0.25">
      <c r="A437" s="249">
        <v>45113</v>
      </c>
      <c r="B437" s="237"/>
      <c r="C437" s="238"/>
      <c r="D437" s="239"/>
      <c r="E437" s="237">
        <v>90</v>
      </c>
      <c r="F437" s="242" t="s">
        <v>409</v>
      </c>
      <c r="G437" s="239" t="s">
        <v>930</v>
      </c>
      <c r="H437" s="240">
        <f t="shared" si="6"/>
        <v>99721</v>
      </c>
      <c r="I437" s="241"/>
      <c r="J437" s="221" t="b">
        <f>EXACT(E438,[1]Main!E438)</f>
        <v>1</v>
      </c>
    </row>
    <row r="438" spans="1:10" x14ac:dyDescent="0.25">
      <c r="A438" s="249">
        <v>45113</v>
      </c>
      <c r="B438" s="237"/>
      <c r="C438" s="238"/>
      <c r="D438" s="239"/>
      <c r="E438" s="237">
        <v>1450</v>
      </c>
      <c r="F438" s="242" t="s">
        <v>410</v>
      </c>
      <c r="G438" s="239" t="s">
        <v>928</v>
      </c>
      <c r="H438" s="240">
        <f t="shared" si="6"/>
        <v>98271</v>
      </c>
      <c r="I438" s="241"/>
      <c r="J438" s="221" t="b">
        <f>EXACT(E439,[1]Main!E439)</f>
        <v>1</v>
      </c>
    </row>
    <row r="439" spans="1:10" x14ac:dyDescent="0.25">
      <c r="A439" s="249">
        <v>45113</v>
      </c>
      <c r="B439" s="237"/>
      <c r="C439" s="238"/>
      <c r="D439" s="239"/>
      <c r="E439" s="237">
        <v>490</v>
      </c>
      <c r="F439" s="242" t="s">
        <v>27</v>
      </c>
      <c r="G439" s="239" t="s">
        <v>943</v>
      </c>
      <c r="H439" s="240">
        <f t="shared" si="6"/>
        <v>97781</v>
      </c>
      <c r="I439" s="241"/>
      <c r="J439" s="221" t="b">
        <f>EXACT(E440,[1]Main!E440)</f>
        <v>1</v>
      </c>
    </row>
    <row r="440" spans="1:10" x14ac:dyDescent="0.25">
      <c r="A440" s="249">
        <v>45113</v>
      </c>
      <c r="B440" s="237"/>
      <c r="C440" s="238"/>
      <c r="D440" s="239"/>
      <c r="E440" s="237">
        <v>5945</v>
      </c>
      <c r="F440" s="242" t="s">
        <v>411</v>
      </c>
      <c r="G440" s="239" t="s">
        <v>928</v>
      </c>
      <c r="H440" s="240">
        <f t="shared" si="6"/>
        <v>91836</v>
      </c>
      <c r="I440" s="241"/>
      <c r="J440" s="221" t="b">
        <f>EXACT(E441,[1]Main!E441)</f>
        <v>1</v>
      </c>
    </row>
    <row r="441" spans="1:10" x14ac:dyDescent="0.25">
      <c r="A441" s="249">
        <v>45113</v>
      </c>
      <c r="B441" s="237"/>
      <c r="C441" s="238"/>
      <c r="D441" s="239"/>
      <c r="E441" s="237">
        <v>145</v>
      </c>
      <c r="F441" s="242" t="s">
        <v>498</v>
      </c>
      <c r="G441" s="239" t="s">
        <v>930</v>
      </c>
      <c r="H441" s="240">
        <f t="shared" si="6"/>
        <v>91691</v>
      </c>
      <c r="I441" s="241" t="s">
        <v>347</v>
      </c>
      <c r="J441" s="221" t="b">
        <f>EXACT(E442,[1]Main!E442)</f>
        <v>1</v>
      </c>
    </row>
    <row r="442" spans="1:10" x14ac:dyDescent="0.25">
      <c r="A442" s="249">
        <v>45113</v>
      </c>
      <c r="B442" s="237"/>
      <c r="C442" s="238"/>
      <c r="D442" s="239"/>
      <c r="E442" s="237">
        <v>195</v>
      </c>
      <c r="F442" s="242" t="s">
        <v>86</v>
      </c>
      <c r="G442" s="239" t="s">
        <v>930</v>
      </c>
      <c r="H442" s="240">
        <f t="shared" si="6"/>
        <v>91496</v>
      </c>
      <c r="I442" s="241" t="s">
        <v>347</v>
      </c>
      <c r="J442" s="221" t="b">
        <f>EXACT(E443,[1]Main!E443)</f>
        <v>1</v>
      </c>
    </row>
    <row r="443" spans="1:10" x14ac:dyDescent="0.25">
      <c r="A443" s="249">
        <v>45113</v>
      </c>
      <c r="B443" s="237"/>
      <c r="C443" s="238"/>
      <c r="D443" s="239"/>
      <c r="E443" s="237">
        <v>9330</v>
      </c>
      <c r="F443" s="242" t="s">
        <v>16</v>
      </c>
      <c r="G443" s="239" t="s">
        <v>936</v>
      </c>
      <c r="H443" s="240">
        <f t="shared" si="6"/>
        <v>82166</v>
      </c>
      <c r="I443" s="241"/>
      <c r="J443" s="221" t="b">
        <f>EXACT(E444,[1]Main!E444)</f>
        <v>1</v>
      </c>
    </row>
    <row r="444" spans="1:10" x14ac:dyDescent="0.25">
      <c r="A444" s="249">
        <v>45113</v>
      </c>
      <c r="B444" s="237"/>
      <c r="C444" s="238"/>
      <c r="D444" s="239"/>
      <c r="E444" s="237">
        <v>1600</v>
      </c>
      <c r="F444" s="242" t="s">
        <v>843</v>
      </c>
      <c r="G444" s="239" t="s">
        <v>928</v>
      </c>
      <c r="H444" s="240">
        <f t="shared" si="6"/>
        <v>80566</v>
      </c>
      <c r="I444" s="241" t="s">
        <v>829</v>
      </c>
      <c r="J444" s="221" t="b">
        <f>EXACT(E445,[1]Main!E445)</f>
        <v>1</v>
      </c>
    </row>
    <row r="445" spans="1:10" x14ac:dyDescent="0.25">
      <c r="A445" s="249">
        <v>45113</v>
      </c>
      <c r="B445" s="237"/>
      <c r="C445" s="238"/>
      <c r="D445" s="239"/>
      <c r="E445" s="237">
        <v>2950</v>
      </c>
      <c r="F445" s="242" t="s">
        <v>793</v>
      </c>
      <c r="G445" s="239" t="s">
        <v>928</v>
      </c>
      <c r="H445" s="240">
        <f t="shared" si="6"/>
        <v>77616</v>
      </c>
      <c r="I445" s="241" t="s">
        <v>844</v>
      </c>
      <c r="J445" s="221" t="b">
        <f>EXACT(E446,[1]Main!E446)</f>
        <v>1</v>
      </c>
    </row>
    <row r="446" spans="1:10" x14ac:dyDescent="0.25">
      <c r="A446" s="249">
        <v>45113</v>
      </c>
      <c r="B446" s="237"/>
      <c r="C446" s="238"/>
      <c r="D446" s="239"/>
      <c r="E446" s="237">
        <v>4440</v>
      </c>
      <c r="F446" s="242" t="s">
        <v>79</v>
      </c>
      <c r="G446" s="239" t="s">
        <v>928</v>
      </c>
      <c r="H446" s="240">
        <f t="shared" si="6"/>
        <v>73176</v>
      </c>
      <c r="I446" s="241"/>
      <c r="J446" s="221" t="b">
        <f>EXACT(E447,[1]Main!E447)</f>
        <v>1</v>
      </c>
    </row>
    <row r="447" spans="1:10" x14ac:dyDescent="0.25">
      <c r="A447" s="249">
        <v>45113</v>
      </c>
      <c r="B447" s="237"/>
      <c r="C447" s="238"/>
      <c r="D447" s="239"/>
      <c r="E447" s="237">
        <v>95</v>
      </c>
      <c r="F447" s="242" t="s">
        <v>9</v>
      </c>
      <c r="G447" s="239" t="s">
        <v>930</v>
      </c>
      <c r="H447" s="240">
        <f t="shared" si="6"/>
        <v>73081</v>
      </c>
      <c r="I447" s="241"/>
      <c r="J447" s="221" t="b">
        <f>EXACT(E448,[1]Main!E448)</f>
        <v>1</v>
      </c>
    </row>
    <row r="448" spans="1:10" x14ac:dyDescent="0.25">
      <c r="A448" s="249">
        <v>45113</v>
      </c>
      <c r="B448" s="237"/>
      <c r="C448" s="238"/>
      <c r="D448" s="239"/>
      <c r="E448" s="237">
        <v>100</v>
      </c>
      <c r="F448" s="242" t="s">
        <v>341</v>
      </c>
      <c r="G448" s="239" t="s">
        <v>930</v>
      </c>
      <c r="H448" s="240">
        <f t="shared" si="6"/>
        <v>72981</v>
      </c>
      <c r="I448" s="241"/>
      <c r="J448" s="221" t="b">
        <f>EXACT(E449,[1]Main!E449)</f>
        <v>1</v>
      </c>
    </row>
    <row r="449" spans="1:10" x14ac:dyDescent="0.25">
      <c r="A449" s="249">
        <v>45113</v>
      </c>
      <c r="B449" s="237"/>
      <c r="C449" s="238"/>
      <c r="D449" s="239"/>
      <c r="E449" s="237">
        <v>240</v>
      </c>
      <c r="F449" s="242" t="s">
        <v>799</v>
      </c>
      <c r="G449" s="239" t="s">
        <v>930</v>
      </c>
      <c r="H449" s="240">
        <f t="shared" si="6"/>
        <v>72741</v>
      </c>
      <c r="I449" s="241" t="s">
        <v>845</v>
      </c>
      <c r="J449" s="221" t="b">
        <f>EXACT(E450,[1]Main!E450)</f>
        <v>1</v>
      </c>
    </row>
    <row r="450" spans="1:10" x14ac:dyDescent="0.25">
      <c r="A450" s="249">
        <v>45113</v>
      </c>
      <c r="B450" s="237"/>
      <c r="C450" s="238"/>
      <c r="D450" s="239"/>
      <c r="E450" s="237">
        <v>225</v>
      </c>
      <c r="F450" s="242" t="s">
        <v>212</v>
      </c>
      <c r="G450" s="239" t="s">
        <v>464</v>
      </c>
      <c r="H450" s="240">
        <f t="shared" si="6"/>
        <v>72516</v>
      </c>
      <c r="I450" s="241"/>
      <c r="J450" s="221" t="b">
        <f>EXACT(E451,[1]Main!E451)</f>
        <v>1</v>
      </c>
    </row>
    <row r="451" spans="1:10" x14ac:dyDescent="0.25">
      <c r="A451" s="249">
        <v>45113</v>
      </c>
      <c r="B451" s="237"/>
      <c r="C451" s="238"/>
      <c r="D451" s="239"/>
      <c r="E451" s="237">
        <v>80</v>
      </c>
      <c r="F451" s="242" t="s">
        <v>7</v>
      </c>
      <c r="G451" s="239" t="s">
        <v>930</v>
      </c>
      <c r="H451" s="240">
        <f t="shared" si="6"/>
        <v>72436</v>
      </c>
      <c r="I451" s="241"/>
      <c r="J451" s="221" t="b">
        <f>EXACT(E452,[1]Main!E452)</f>
        <v>1</v>
      </c>
    </row>
    <row r="452" spans="1:10" x14ac:dyDescent="0.25">
      <c r="A452" s="249">
        <v>45113</v>
      </c>
      <c r="B452" s="237"/>
      <c r="C452" s="238"/>
      <c r="D452" s="239"/>
      <c r="E452" s="237">
        <v>255</v>
      </c>
      <c r="F452" s="242" t="s">
        <v>11</v>
      </c>
      <c r="G452" s="239" t="s">
        <v>935</v>
      </c>
      <c r="H452" s="240">
        <f t="shared" si="6"/>
        <v>72181</v>
      </c>
      <c r="I452" s="241"/>
      <c r="J452" s="221" t="b">
        <f>EXACT(E453,[1]Main!E453)</f>
        <v>1</v>
      </c>
    </row>
    <row r="453" spans="1:10" x14ac:dyDescent="0.25">
      <c r="A453" s="249">
        <v>45113</v>
      </c>
      <c r="B453" s="237"/>
      <c r="C453" s="238"/>
      <c r="D453" s="239"/>
      <c r="E453" s="237">
        <v>100</v>
      </c>
      <c r="F453" s="242" t="s">
        <v>89</v>
      </c>
      <c r="G453" s="239" t="s">
        <v>930</v>
      </c>
      <c r="H453" s="240">
        <f t="shared" si="6"/>
        <v>72081</v>
      </c>
      <c r="I453" s="241"/>
      <c r="J453" s="221" t="b">
        <f>EXACT(E454,[1]Main!E454)</f>
        <v>1</v>
      </c>
    </row>
    <row r="454" spans="1:10" x14ac:dyDescent="0.25">
      <c r="A454" s="249">
        <v>45113</v>
      </c>
      <c r="B454" s="237"/>
      <c r="C454" s="238"/>
      <c r="D454" s="239"/>
      <c r="E454" s="237">
        <v>490</v>
      </c>
      <c r="F454" s="242" t="s">
        <v>39</v>
      </c>
      <c r="G454" s="239" t="s">
        <v>930</v>
      </c>
      <c r="H454" s="240">
        <f t="shared" si="6"/>
        <v>71591</v>
      </c>
      <c r="I454" s="241"/>
      <c r="J454" s="221" t="b">
        <f>EXACT(E455,[1]Main!E455)</f>
        <v>1</v>
      </c>
    </row>
    <row r="455" spans="1:10" x14ac:dyDescent="0.25">
      <c r="A455" s="249">
        <v>45113</v>
      </c>
      <c r="B455" s="237"/>
      <c r="C455" s="238"/>
      <c r="D455" s="239"/>
      <c r="E455" s="237">
        <v>410</v>
      </c>
      <c r="F455" s="242" t="s">
        <v>505</v>
      </c>
      <c r="G455" s="239" t="s">
        <v>928</v>
      </c>
      <c r="H455" s="240">
        <f t="shared" ref="H455:H518" si="7">H454+B455-E455</f>
        <v>71181</v>
      </c>
      <c r="I455" s="241" t="s">
        <v>828</v>
      </c>
      <c r="J455" s="221" t="b">
        <f>EXACT(E456,[1]Main!E456)</f>
        <v>1</v>
      </c>
    </row>
    <row r="456" spans="1:10" x14ac:dyDescent="0.25">
      <c r="A456" s="249">
        <v>45113</v>
      </c>
      <c r="B456" s="237"/>
      <c r="C456" s="238"/>
      <c r="D456" s="239"/>
      <c r="E456" s="237">
        <v>255</v>
      </c>
      <c r="F456" s="242" t="s">
        <v>416</v>
      </c>
      <c r="G456" s="239" t="s">
        <v>935</v>
      </c>
      <c r="H456" s="240">
        <f t="shared" si="7"/>
        <v>70926</v>
      </c>
      <c r="I456" s="241"/>
      <c r="J456" s="221" t="b">
        <f>EXACT(E457,[1]Main!E457)</f>
        <v>1</v>
      </c>
    </row>
    <row r="457" spans="1:10" x14ac:dyDescent="0.25">
      <c r="A457" s="249">
        <v>45113</v>
      </c>
      <c r="B457" s="237"/>
      <c r="C457" s="238"/>
      <c r="D457" s="239"/>
      <c r="E457" s="237">
        <v>87</v>
      </c>
      <c r="F457" s="242" t="s">
        <v>370</v>
      </c>
      <c r="G457" s="239" t="s">
        <v>930</v>
      </c>
      <c r="H457" s="240">
        <f t="shared" si="7"/>
        <v>70839</v>
      </c>
      <c r="I457" s="241" t="s">
        <v>347</v>
      </c>
      <c r="J457" s="221" t="b">
        <f>EXACT(E458,[1]Main!E458)</f>
        <v>1</v>
      </c>
    </row>
    <row r="458" spans="1:10" x14ac:dyDescent="0.25">
      <c r="A458" s="249">
        <v>45113</v>
      </c>
      <c r="B458" s="237"/>
      <c r="C458" s="238"/>
      <c r="D458" s="239"/>
      <c r="E458" s="237">
        <v>90</v>
      </c>
      <c r="F458" s="242" t="s">
        <v>223</v>
      </c>
      <c r="G458" s="239" t="s">
        <v>930</v>
      </c>
      <c r="H458" s="240">
        <f t="shared" si="7"/>
        <v>70749</v>
      </c>
      <c r="I458" s="241"/>
      <c r="J458" s="221" t="b">
        <f>EXACT(E459,[1]Main!E459)</f>
        <v>1</v>
      </c>
    </row>
    <row r="459" spans="1:10" x14ac:dyDescent="0.25">
      <c r="A459" s="249">
        <v>45113</v>
      </c>
      <c r="B459" s="237"/>
      <c r="C459" s="238"/>
      <c r="D459" s="239"/>
      <c r="E459" s="237">
        <v>425</v>
      </c>
      <c r="F459" s="242" t="s">
        <v>846</v>
      </c>
      <c r="G459" s="239" t="s">
        <v>928</v>
      </c>
      <c r="H459" s="240">
        <f t="shared" si="7"/>
        <v>70324</v>
      </c>
      <c r="I459" s="241" t="s">
        <v>847</v>
      </c>
      <c r="J459" s="221" t="b">
        <f>EXACT(E460,[1]Main!E460)</f>
        <v>1</v>
      </c>
    </row>
    <row r="460" spans="1:10" x14ac:dyDescent="0.25">
      <c r="A460" s="249">
        <v>45113</v>
      </c>
      <c r="B460" s="237"/>
      <c r="C460" s="238"/>
      <c r="D460" s="239"/>
      <c r="E460" s="237">
        <v>1800</v>
      </c>
      <c r="F460" s="242" t="s">
        <v>420</v>
      </c>
      <c r="G460" s="239" t="s">
        <v>929</v>
      </c>
      <c r="H460" s="240">
        <f t="shared" si="7"/>
        <v>68524</v>
      </c>
      <c r="I460" s="241"/>
      <c r="J460" s="221" t="b">
        <f>EXACT(E461,[1]Main!E461)</f>
        <v>1</v>
      </c>
    </row>
    <row r="461" spans="1:10" x14ac:dyDescent="0.25">
      <c r="A461" s="249">
        <v>45113</v>
      </c>
      <c r="B461" s="237"/>
      <c r="C461" s="238"/>
      <c r="D461" s="239"/>
      <c r="E461" s="237">
        <v>9</v>
      </c>
      <c r="F461" s="242" t="s">
        <v>423</v>
      </c>
      <c r="G461" s="239" t="s">
        <v>464</v>
      </c>
      <c r="H461" s="240">
        <f t="shared" si="7"/>
        <v>68515</v>
      </c>
      <c r="I461" s="241"/>
      <c r="J461" s="221" t="b">
        <f>EXACT(E462,[1]Main!E462)</f>
        <v>1</v>
      </c>
    </row>
    <row r="462" spans="1:10" x14ac:dyDescent="0.25">
      <c r="A462" s="249">
        <v>45113</v>
      </c>
      <c r="B462" s="237"/>
      <c r="C462" s="238"/>
      <c r="D462" s="239"/>
      <c r="E462" s="237">
        <v>5</v>
      </c>
      <c r="F462" s="242" t="s">
        <v>424</v>
      </c>
      <c r="G462" s="239" t="s">
        <v>945</v>
      </c>
      <c r="H462" s="240">
        <f t="shared" si="7"/>
        <v>68510</v>
      </c>
      <c r="I462" s="241"/>
      <c r="J462" s="221" t="b">
        <f>EXACT(E463,[1]Main!E463)</f>
        <v>1</v>
      </c>
    </row>
    <row r="463" spans="1:10" x14ac:dyDescent="0.25">
      <c r="A463" s="249">
        <v>45113</v>
      </c>
      <c r="B463" s="237"/>
      <c r="C463" s="238"/>
      <c r="D463" s="239"/>
      <c r="E463" s="237">
        <v>130</v>
      </c>
      <c r="F463" s="242" t="s">
        <v>50</v>
      </c>
      <c r="G463" s="239" t="s">
        <v>931</v>
      </c>
      <c r="H463" s="240">
        <f t="shared" si="7"/>
        <v>68380</v>
      </c>
      <c r="I463" s="241"/>
      <c r="J463" s="221" t="b">
        <f>EXACT(E464,[1]Main!E464)</f>
        <v>1</v>
      </c>
    </row>
    <row r="464" spans="1:10" x14ac:dyDescent="0.25">
      <c r="A464" s="249">
        <v>45113</v>
      </c>
      <c r="B464" s="237"/>
      <c r="C464" s="238"/>
      <c r="D464" s="239"/>
      <c r="E464" s="237">
        <v>1000</v>
      </c>
      <c r="F464" s="242" t="s">
        <v>74</v>
      </c>
      <c r="G464" s="239" t="s">
        <v>464</v>
      </c>
      <c r="H464" s="240">
        <f t="shared" si="7"/>
        <v>67380</v>
      </c>
      <c r="I464" s="241"/>
      <c r="J464" s="221" t="b">
        <f>EXACT(E465,[1]Main!E465)</f>
        <v>1</v>
      </c>
    </row>
    <row r="465" spans="1:10" x14ac:dyDescent="0.25">
      <c r="A465" s="249">
        <v>45113</v>
      </c>
      <c r="B465" s="237"/>
      <c r="C465" s="238"/>
      <c r="D465" s="239"/>
      <c r="E465" s="237">
        <v>180</v>
      </c>
      <c r="F465" s="242" t="s">
        <v>425</v>
      </c>
      <c r="G465" s="239" t="s">
        <v>930</v>
      </c>
      <c r="H465" s="240">
        <f t="shared" si="7"/>
        <v>67200</v>
      </c>
      <c r="I465" s="241"/>
      <c r="J465" s="221" t="b">
        <f>EXACT(E466,[1]Main!E466)</f>
        <v>1</v>
      </c>
    </row>
    <row r="466" spans="1:10" x14ac:dyDescent="0.25">
      <c r="A466" s="249">
        <v>45113</v>
      </c>
      <c r="B466" s="237"/>
      <c r="C466" s="238"/>
      <c r="D466" s="239"/>
      <c r="E466" s="237">
        <v>3000</v>
      </c>
      <c r="F466" s="242" t="s">
        <v>426</v>
      </c>
      <c r="G466" s="239" t="s">
        <v>928</v>
      </c>
      <c r="H466" s="240">
        <f t="shared" si="7"/>
        <v>64200</v>
      </c>
      <c r="I466" s="241"/>
      <c r="J466" s="221" t="b">
        <f>EXACT(E467,[1]Main!E467)</f>
        <v>1</v>
      </c>
    </row>
    <row r="467" spans="1:10" x14ac:dyDescent="0.25">
      <c r="A467" s="249">
        <v>45113</v>
      </c>
      <c r="B467" s="237"/>
      <c r="C467" s="238"/>
      <c r="D467" s="239"/>
      <c r="E467" s="237">
        <v>105</v>
      </c>
      <c r="F467" s="242" t="s">
        <v>19</v>
      </c>
      <c r="G467" s="239" t="s">
        <v>930</v>
      </c>
      <c r="H467" s="240">
        <f t="shared" si="7"/>
        <v>64095</v>
      </c>
      <c r="I467" s="241"/>
      <c r="J467" s="221" t="b">
        <f>EXACT(E468,[1]Main!E468)</f>
        <v>1</v>
      </c>
    </row>
    <row r="468" spans="1:10" x14ac:dyDescent="0.25">
      <c r="A468" s="249">
        <v>45113</v>
      </c>
      <c r="B468" s="237"/>
      <c r="C468" s="238"/>
      <c r="D468" s="239"/>
      <c r="E468" s="237">
        <v>1850</v>
      </c>
      <c r="F468" s="242" t="s">
        <v>14</v>
      </c>
      <c r="G468" s="239" t="s">
        <v>935</v>
      </c>
      <c r="H468" s="240">
        <f t="shared" si="7"/>
        <v>62245</v>
      </c>
      <c r="I468" s="241"/>
      <c r="J468" s="221" t="b">
        <f>EXACT(E469,[1]Main!E469)</f>
        <v>1</v>
      </c>
    </row>
    <row r="469" spans="1:10" x14ac:dyDescent="0.25">
      <c r="A469" s="249">
        <v>45113</v>
      </c>
      <c r="B469" s="237"/>
      <c r="C469" s="238"/>
      <c r="D469" s="239"/>
      <c r="E469" s="237">
        <v>150</v>
      </c>
      <c r="F469" s="242" t="s">
        <v>376</v>
      </c>
      <c r="G469" s="239" t="s">
        <v>930</v>
      </c>
      <c r="H469" s="240">
        <f t="shared" si="7"/>
        <v>62095</v>
      </c>
      <c r="I469" s="241"/>
      <c r="J469" s="221" t="b">
        <f>EXACT(E470,[1]Main!E470)</f>
        <v>1</v>
      </c>
    </row>
    <row r="470" spans="1:10" x14ac:dyDescent="0.25">
      <c r="A470" s="249">
        <v>45113</v>
      </c>
      <c r="B470" s="237"/>
      <c r="C470" s="238"/>
      <c r="D470" s="239"/>
      <c r="E470" s="237">
        <v>75</v>
      </c>
      <c r="F470" s="242" t="s">
        <v>26</v>
      </c>
      <c r="G470" s="239" t="s">
        <v>930</v>
      </c>
      <c r="H470" s="240">
        <f t="shared" si="7"/>
        <v>62020</v>
      </c>
      <c r="I470" s="241"/>
      <c r="J470" s="221" t="b">
        <f>EXACT(E471,[1]Main!E471)</f>
        <v>1</v>
      </c>
    </row>
    <row r="471" spans="1:10" x14ac:dyDescent="0.25">
      <c r="A471" s="249">
        <v>45113</v>
      </c>
      <c r="B471" s="237"/>
      <c r="C471" s="238"/>
      <c r="D471" s="239"/>
      <c r="E471" s="237">
        <v>95</v>
      </c>
      <c r="F471" s="242" t="s">
        <v>432</v>
      </c>
      <c r="G471" s="239" t="s">
        <v>930</v>
      </c>
      <c r="H471" s="240">
        <f t="shared" si="7"/>
        <v>61925</v>
      </c>
      <c r="I471" s="241"/>
      <c r="J471" s="221" t="b">
        <f>EXACT(E472,[1]Main!E472)</f>
        <v>1</v>
      </c>
    </row>
    <row r="472" spans="1:10" x14ac:dyDescent="0.25">
      <c r="A472" s="249">
        <v>45113</v>
      </c>
      <c r="B472" s="237"/>
      <c r="C472" s="238"/>
      <c r="D472" s="239"/>
      <c r="E472" s="237">
        <v>155</v>
      </c>
      <c r="F472" s="242" t="s">
        <v>434</v>
      </c>
      <c r="G472" s="239" t="s">
        <v>930</v>
      </c>
      <c r="H472" s="240">
        <f t="shared" si="7"/>
        <v>61770</v>
      </c>
      <c r="I472" s="241"/>
      <c r="J472" s="221" t="b">
        <f>EXACT(E473,[1]Main!E473)</f>
        <v>1</v>
      </c>
    </row>
    <row r="473" spans="1:10" x14ac:dyDescent="0.25">
      <c r="A473" s="249">
        <v>45113</v>
      </c>
      <c r="B473" s="237"/>
      <c r="C473" s="238"/>
      <c r="D473" s="239"/>
      <c r="E473" s="237">
        <v>4160</v>
      </c>
      <c r="F473" s="242" t="s">
        <v>848</v>
      </c>
      <c r="G473" s="239" t="s">
        <v>928</v>
      </c>
      <c r="H473" s="240">
        <f t="shared" si="7"/>
        <v>57610</v>
      </c>
      <c r="I473" s="241" t="s">
        <v>829</v>
      </c>
      <c r="J473" s="221" t="b">
        <f>EXACT(E474,[1]Main!E474)</f>
        <v>1</v>
      </c>
    </row>
    <row r="474" spans="1:10" x14ac:dyDescent="0.25">
      <c r="A474" s="249">
        <v>45113</v>
      </c>
      <c r="B474" s="237"/>
      <c r="C474" s="238"/>
      <c r="D474" s="239"/>
      <c r="E474" s="237">
        <v>100</v>
      </c>
      <c r="F474" s="242" t="s">
        <v>433</v>
      </c>
      <c r="G474" s="239" t="s">
        <v>930</v>
      </c>
      <c r="H474" s="240">
        <f t="shared" si="7"/>
        <v>57510</v>
      </c>
      <c r="I474" s="241"/>
      <c r="J474" s="221" t="b">
        <f>EXACT(E475,[1]Main!E475)</f>
        <v>1</v>
      </c>
    </row>
    <row r="475" spans="1:10" x14ac:dyDescent="0.25">
      <c r="A475" s="249">
        <v>45113</v>
      </c>
      <c r="B475" s="237"/>
      <c r="C475" s="238"/>
      <c r="D475" s="239"/>
      <c r="E475" s="237">
        <v>120</v>
      </c>
      <c r="F475" s="242" t="s">
        <v>435</v>
      </c>
      <c r="G475" s="239" t="s">
        <v>464</v>
      </c>
      <c r="H475" s="240">
        <f t="shared" si="7"/>
        <v>57390</v>
      </c>
      <c r="I475" s="241"/>
      <c r="J475" s="221" t="b">
        <f>EXACT(E476,[1]Main!E476)</f>
        <v>1</v>
      </c>
    </row>
    <row r="476" spans="1:10" x14ac:dyDescent="0.25">
      <c r="A476" s="249">
        <v>45113</v>
      </c>
      <c r="B476" s="237"/>
      <c r="C476" s="238"/>
      <c r="D476" s="239"/>
      <c r="E476" s="237">
        <v>208</v>
      </c>
      <c r="F476" s="242" t="s">
        <v>427</v>
      </c>
      <c r="G476" s="239" t="s">
        <v>464</v>
      </c>
      <c r="H476" s="240">
        <f t="shared" si="7"/>
        <v>57182</v>
      </c>
      <c r="I476" s="241"/>
      <c r="J476" s="221" t="b">
        <f>EXACT(E477,[1]Main!E477)</f>
        <v>1</v>
      </c>
    </row>
    <row r="477" spans="1:10" x14ac:dyDescent="0.25">
      <c r="A477" s="249">
        <v>45113</v>
      </c>
      <c r="B477" s="237"/>
      <c r="C477" s="238"/>
      <c r="D477" s="239"/>
      <c r="E477" s="237">
        <v>20</v>
      </c>
      <c r="F477" s="242" t="s">
        <v>428</v>
      </c>
      <c r="G477" s="239" t="s">
        <v>930</v>
      </c>
      <c r="H477" s="240">
        <f t="shared" si="7"/>
        <v>57162</v>
      </c>
      <c r="I477" s="241"/>
      <c r="J477" s="221" t="b">
        <f>EXACT(E478,[1]Main!E478)</f>
        <v>1</v>
      </c>
    </row>
    <row r="478" spans="1:10" x14ac:dyDescent="0.25">
      <c r="A478" s="249">
        <v>45113</v>
      </c>
      <c r="B478" s="237"/>
      <c r="C478" s="238"/>
      <c r="D478" s="239"/>
      <c r="E478" s="237">
        <v>30</v>
      </c>
      <c r="F478" s="242" t="s">
        <v>422</v>
      </c>
      <c r="G478" s="239" t="s">
        <v>937</v>
      </c>
      <c r="H478" s="240">
        <f t="shared" si="7"/>
        <v>57132</v>
      </c>
      <c r="I478" s="241"/>
      <c r="J478" s="221" t="b">
        <f>EXACT(E479,[1]Main!E479)</f>
        <v>1</v>
      </c>
    </row>
    <row r="479" spans="1:10" x14ac:dyDescent="0.25">
      <c r="A479" s="249">
        <v>45113</v>
      </c>
      <c r="B479" s="237"/>
      <c r="C479" s="238"/>
      <c r="D479" s="239"/>
      <c r="E479" s="237">
        <v>14000</v>
      </c>
      <c r="F479" s="242" t="s">
        <v>127</v>
      </c>
      <c r="G479" s="239" t="s">
        <v>938</v>
      </c>
      <c r="H479" s="240">
        <f t="shared" si="7"/>
        <v>43132</v>
      </c>
      <c r="I479" s="241" t="s">
        <v>849</v>
      </c>
      <c r="J479" s="221" t="b">
        <f>EXACT(E480,[1]Main!E480)</f>
        <v>1</v>
      </c>
    </row>
    <row r="480" spans="1:10" x14ac:dyDescent="0.25">
      <c r="A480" s="249">
        <v>45113</v>
      </c>
      <c r="B480" s="237"/>
      <c r="C480" s="238"/>
      <c r="D480" s="239"/>
      <c r="E480" s="237">
        <v>11000</v>
      </c>
      <c r="F480" s="242" t="s">
        <v>127</v>
      </c>
      <c r="G480" s="239" t="s">
        <v>938</v>
      </c>
      <c r="H480" s="240">
        <f t="shared" si="7"/>
        <v>32132</v>
      </c>
      <c r="I480" s="241" t="s">
        <v>832</v>
      </c>
      <c r="J480" s="221" t="b">
        <f>EXACT(E481,[1]Main!E481)</f>
        <v>1</v>
      </c>
    </row>
    <row r="481" spans="1:10" x14ac:dyDescent="0.25">
      <c r="A481" s="249">
        <v>45113</v>
      </c>
      <c r="B481" s="237"/>
      <c r="C481" s="238"/>
      <c r="D481" s="239"/>
      <c r="E481" s="237">
        <v>3650</v>
      </c>
      <c r="F481" s="242" t="s">
        <v>850</v>
      </c>
      <c r="G481" s="239" t="s">
        <v>464</v>
      </c>
      <c r="H481" s="240">
        <f t="shared" si="7"/>
        <v>28482</v>
      </c>
      <c r="I481" s="241" t="s">
        <v>851</v>
      </c>
      <c r="J481" s="221" t="b">
        <f>EXACT(E482,[1]Main!E482)</f>
        <v>1</v>
      </c>
    </row>
    <row r="482" spans="1:10" x14ac:dyDescent="0.25">
      <c r="A482" s="249">
        <v>45113</v>
      </c>
      <c r="B482" s="237"/>
      <c r="C482" s="238"/>
      <c r="D482" s="239"/>
      <c r="E482" s="237">
        <v>990</v>
      </c>
      <c r="F482" s="242" t="s">
        <v>27</v>
      </c>
      <c r="G482" s="239" t="s">
        <v>943</v>
      </c>
      <c r="H482" s="240">
        <f t="shared" si="7"/>
        <v>27492</v>
      </c>
      <c r="I482" s="241"/>
      <c r="J482" s="221" t="b">
        <f>EXACT(E483,[1]Main!E483)</f>
        <v>1</v>
      </c>
    </row>
    <row r="483" spans="1:10" x14ac:dyDescent="0.25">
      <c r="A483" s="249">
        <v>45113</v>
      </c>
      <c r="B483" s="237"/>
      <c r="C483" s="238"/>
      <c r="D483" s="239"/>
      <c r="E483" s="237">
        <v>20</v>
      </c>
      <c r="F483" s="242" t="s">
        <v>408</v>
      </c>
      <c r="G483" s="239" t="s">
        <v>931</v>
      </c>
      <c r="H483" s="240">
        <f t="shared" si="7"/>
        <v>27472</v>
      </c>
      <c r="I483" s="241"/>
      <c r="J483" s="221" t="b">
        <f>EXACT(E484,[1]Main!E484)</f>
        <v>1</v>
      </c>
    </row>
    <row r="484" spans="1:10" x14ac:dyDescent="0.25">
      <c r="A484" s="249">
        <v>45113</v>
      </c>
      <c r="B484" s="237"/>
      <c r="C484" s="238"/>
      <c r="D484" s="239"/>
      <c r="E484" s="237">
        <v>25</v>
      </c>
      <c r="F484" s="242" t="s">
        <v>458</v>
      </c>
      <c r="G484" s="239" t="s">
        <v>464</v>
      </c>
      <c r="H484" s="240">
        <f t="shared" si="7"/>
        <v>27447</v>
      </c>
      <c r="I484" s="241" t="s">
        <v>412</v>
      </c>
      <c r="J484" s="221" t="b">
        <f>EXACT(E485,[1]Main!E485)</f>
        <v>1</v>
      </c>
    </row>
    <row r="485" spans="1:10" x14ac:dyDescent="0.25">
      <c r="A485" s="249">
        <v>45113</v>
      </c>
      <c r="B485" s="237"/>
      <c r="C485" s="238"/>
      <c r="D485" s="239"/>
      <c r="E485" s="237">
        <v>70</v>
      </c>
      <c r="F485" s="242" t="s">
        <v>398</v>
      </c>
      <c r="G485" s="239" t="s">
        <v>464</v>
      </c>
      <c r="H485" s="240">
        <f t="shared" si="7"/>
        <v>27377</v>
      </c>
      <c r="I485" s="241"/>
      <c r="J485" s="221" t="b">
        <f>EXACT(E486,[1]Main!E486)</f>
        <v>1</v>
      </c>
    </row>
    <row r="486" spans="1:10" x14ac:dyDescent="0.25">
      <c r="A486" s="244">
        <v>45113</v>
      </c>
      <c r="B486" s="245"/>
      <c r="C486" s="246"/>
      <c r="D486" s="247"/>
      <c r="E486" s="245">
        <v>8000</v>
      </c>
      <c r="F486" s="248" t="s">
        <v>358</v>
      </c>
      <c r="G486" s="247" t="s">
        <v>938</v>
      </c>
      <c r="H486" s="240">
        <f t="shared" si="7"/>
        <v>19377</v>
      </c>
      <c r="I486" s="241" t="s">
        <v>852</v>
      </c>
      <c r="J486" s="221" t="b">
        <f>EXACT(E487,[1]Main!E487)</f>
        <v>1</v>
      </c>
    </row>
    <row r="487" spans="1:10" x14ac:dyDescent="0.25">
      <c r="A487" s="249">
        <v>45114</v>
      </c>
      <c r="B487" s="237"/>
      <c r="C487" s="238"/>
      <c r="D487" s="239"/>
      <c r="E487" s="237">
        <v>1255</v>
      </c>
      <c r="F487" s="242" t="s">
        <v>17</v>
      </c>
      <c r="G487" s="239" t="s">
        <v>928</v>
      </c>
      <c r="H487" s="240">
        <f t="shared" si="7"/>
        <v>18122</v>
      </c>
      <c r="I487" s="241"/>
      <c r="J487" s="221" t="b">
        <f>EXACT(E488,[1]Main!E488)</f>
        <v>1</v>
      </c>
    </row>
    <row r="488" spans="1:10" x14ac:dyDescent="0.25">
      <c r="A488" s="249">
        <v>45114</v>
      </c>
      <c r="B488" s="237"/>
      <c r="C488" s="238"/>
      <c r="D488" s="239"/>
      <c r="E488" s="237">
        <v>390</v>
      </c>
      <c r="F488" s="242" t="s">
        <v>34</v>
      </c>
      <c r="G488" s="239" t="s">
        <v>935</v>
      </c>
      <c r="H488" s="240">
        <f t="shared" si="7"/>
        <v>17732</v>
      </c>
      <c r="I488" s="241"/>
      <c r="J488" s="221" t="b">
        <f>EXACT(E489,[1]Main!E489)</f>
        <v>1</v>
      </c>
    </row>
    <row r="489" spans="1:10" x14ac:dyDescent="0.25">
      <c r="A489" s="249">
        <v>45114</v>
      </c>
      <c r="B489" s="237">
        <v>655</v>
      </c>
      <c r="C489" s="238" t="s">
        <v>271</v>
      </c>
      <c r="D489" s="239" t="s">
        <v>763</v>
      </c>
      <c r="E489" s="237">
        <v>330</v>
      </c>
      <c r="F489" s="242" t="s">
        <v>8</v>
      </c>
      <c r="G489" s="239" t="s">
        <v>930</v>
      </c>
      <c r="H489" s="240">
        <f t="shared" si="7"/>
        <v>18057</v>
      </c>
      <c r="I489" s="241"/>
      <c r="J489" s="221" t="b">
        <f>EXACT(E490,[1]Main!E490)</f>
        <v>1</v>
      </c>
    </row>
    <row r="490" spans="1:10" x14ac:dyDescent="0.25">
      <c r="A490" s="249">
        <v>45114</v>
      </c>
      <c r="B490" s="237">
        <v>20</v>
      </c>
      <c r="C490" s="238" t="s">
        <v>35</v>
      </c>
      <c r="D490" s="239" t="s">
        <v>937</v>
      </c>
      <c r="E490" s="237">
        <v>261</v>
      </c>
      <c r="F490" s="242" t="s">
        <v>9</v>
      </c>
      <c r="G490" s="239" t="s">
        <v>930</v>
      </c>
      <c r="H490" s="240">
        <f t="shared" si="7"/>
        <v>17816</v>
      </c>
      <c r="I490" s="241"/>
      <c r="J490" s="221" t="b">
        <f>EXACT(E491,[1]Main!E491)</f>
        <v>1</v>
      </c>
    </row>
    <row r="491" spans="1:10" x14ac:dyDescent="0.25">
      <c r="A491" s="249">
        <v>45114</v>
      </c>
      <c r="B491" s="320">
        <v>200</v>
      </c>
      <c r="C491" s="417" t="s">
        <v>443</v>
      </c>
      <c r="D491" s="416"/>
      <c r="E491" s="237">
        <v>995</v>
      </c>
      <c r="F491" s="242" t="s">
        <v>12</v>
      </c>
      <c r="G491" s="239" t="s">
        <v>974</v>
      </c>
      <c r="H491" s="240">
        <f t="shared" si="7"/>
        <v>17021</v>
      </c>
      <c r="I491" s="241"/>
      <c r="J491" s="221" t="b">
        <f>EXACT(E492,[1]Main!E492)</f>
        <v>1</v>
      </c>
    </row>
    <row r="492" spans="1:10" x14ac:dyDescent="0.25">
      <c r="A492" s="249">
        <v>45114</v>
      </c>
      <c r="B492" s="320">
        <v>6800</v>
      </c>
      <c r="C492" s="417" t="s">
        <v>444</v>
      </c>
      <c r="D492" s="416"/>
      <c r="E492" s="237">
        <v>7</v>
      </c>
      <c r="F492" s="242" t="s">
        <v>71</v>
      </c>
      <c r="G492" s="239" t="s">
        <v>930</v>
      </c>
      <c r="H492" s="240">
        <f t="shared" si="7"/>
        <v>23814</v>
      </c>
      <c r="I492" s="241" t="s">
        <v>347</v>
      </c>
      <c r="J492" s="221" t="b">
        <f>EXACT(E493,[1]Main!E493)</f>
        <v>1</v>
      </c>
    </row>
    <row r="493" spans="1:10" x14ac:dyDescent="0.25">
      <c r="A493" s="249">
        <v>45114</v>
      </c>
      <c r="B493" s="237">
        <v>16646</v>
      </c>
      <c r="C493" s="238" t="s">
        <v>80</v>
      </c>
      <c r="D493" s="239" t="s">
        <v>763</v>
      </c>
      <c r="E493" s="237">
        <v>225</v>
      </c>
      <c r="F493" s="242" t="s">
        <v>211</v>
      </c>
      <c r="G493" s="239" t="s">
        <v>931</v>
      </c>
      <c r="H493" s="240">
        <f t="shared" si="7"/>
        <v>40235</v>
      </c>
      <c r="I493" s="241"/>
      <c r="J493" s="221" t="b">
        <f>EXACT(E494,[1]Main!E494)</f>
        <v>1</v>
      </c>
    </row>
    <row r="494" spans="1:10" x14ac:dyDescent="0.25">
      <c r="A494" s="249">
        <v>45114</v>
      </c>
      <c r="B494" s="237">
        <v>949</v>
      </c>
      <c r="C494" s="238" t="s">
        <v>81</v>
      </c>
      <c r="D494" s="239" t="s">
        <v>765</v>
      </c>
      <c r="E494" s="237">
        <v>35</v>
      </c>
      <c r="F494" s="242" t="s">
        <v>73</v>
      </c>
      <c r="G494" s="239" t="s">
        <v>945</v>
      </c>
      <c r="H494" s="240">
        <f t="shared" si="7"/>
        <v>41149</v>
      </c>
      <c r="I494" s="241"/>
      <c r="J494" s="221" t="b">
        <f>EXACT(E495,[1]Main!E495)</f>
        <v>1</v>
      </c>
    </row>
    <row r="495" spans="1:10" x14ac:dyDescent="0.25">
      <c r="A495" s="249">
        <v>45114</v>
      </c>
      <c r="B495" s="237">
        <v>20996</v>
      </c>
      <c r="C495" s="238" t="s">
        <v>9</v>
      </c>
      <c r="D495" s="239" t="s">
        <v>763</v>
      </c>
      <c r="E495" s="237">
        <v>30</v>
      </c>
      <c r="F495" s="242" t="s">
        <v>445</v>
      </c>
      <c r="G495" s="239" t="s">
        <v>464</v>
      </c>
      <c r="H495" s="240">
        <f t="shared" si="7"/>
        <v>62115</v>
      </c>
      <c r="I495" s="241"/>
      <c r="J495" s="221" t="b">
        <f>EXACT(E496,[1]Main!E496)</f>
        <v>1</v>
      </c>
    </row>
    <row r="496" spans="1:10" x14ac:dyDescent="0.25">
      <c r="A496" s="249">
        <v>45114</v>
      </c>
      <c r="B496" s="237">
        <v>1185</v>
      </c>
      <c r="C496" s="238" t="s">
        <v>28</v>
      </c>
      <c r="D496" s="239" t="s">
        <v>765</v>
      </c>
      <c r="E496" s="237">
        <v>170</v>
      </c>
      <c r="F496" s="242" t="s">
        <v>358</v>
      </c>
      <c r="G496" s="239" t="s">
        <v>938</v>
      </c>
      <c r="H496" s="240">
        <f t="shared" si="7"/>
        <v>63130</v>
      </c>
      <c r="I496" s="241"/>
      <c r="J496" s="221" t="b">
        <f>EXACT(E497,[1]Main!E497)</f>
        <v>1</v>
      </c>
    </row>
    <row r="497" spans="1:10" x14ac:dyDescent="0.25">
      <c r="A497" s="249">
        <v>45114</v>
      </c>
      <c r="B497" s="237">
        <v>16520</v>
      </c>
      <c r="C497" s="238" t="s">
        <v>452</v>
      </c>
      <c r="D497" s="239" t="s">
        <v>766</v>
      </c>
      <c r="E497" s="237">
        <v>90</v>
      </c>
      <c r="F497" s="242" t="s">
        <v>10</v>
      </c>
      <c r="G497" s="239" t="s">
        <v>930</v>
      </c>
      <c r="H497" s="240">
        <f t="shared" si="7"/>
        <v>79560</v>
      </c>
      <c r="I497" s="241"/>
      <c r="J497" s="221" t="b">
        <f>EXACT(E498,[1]Main!E498)</f>
        <v>1</v>
      </c>
    </row>
    <row r="498" spans="1:10" x14ac:dyDescent="0.25">
      <c r="A498" s="249">
        <v>45114</v>
      </c>
      <c r="B498" s="237">
        <v>605</v>
      </c>
      <c r="C498" s="238" t="s">
        <v>747</v>
      </c>
      <c r="D498" s="239" t="s">
        <v>768</v>
      </c>
      <c r="E498" s="237">
        <v>24</v>
      </c>
      <c r="F498" s="242" t="s">
        <v>448</v>
      </c>
      <c r="G498" s="239" t="s">
        <v>938</v>
      </c>
      <c r="H498" s="240">
        <f t="shared" si="7"/>
        <v>80141</v>
      </c>
      <c r="I498" s="241"/>
      <c r="J498" s="221" t="b">
        <f>EXACT(E499,[1]Main!E499)</f>
        <v>1</v>
      </c>
    </row>
    <row r="499" spans="1:10" x14ac:dyDescent="0.25">
      <c r="A499" s="249">
        <v>45114</v>
      </c>
      <c r="B499" s="237">
        <v>100</v>
      </c>
      <c r="C499" s="238" t="s">
        <v>454</v>
      </c>
      <c r="D499" s="239" t="s">
        <v>772</v>
      </c>
      <c r="E499" s="237">
        <v>120</v>
      </c>
      <c r="F499" s="242" t="s">
        <v>393</v>
      </c>
      <c r="G499" s="239" t="s">
        <v>930</v>
      </c>
      <c r="H499" s="240">
        <f t="shared" si="7"/>
        <v>80121</v>
      </c>
      <c r="I499" s="241"/>
      <c r="J499" s="221" t="b">
        <f>EXACT(E500,[1]Main!E500)</f>
        <v>1</v>
      </c>
    </row>
    <row r="500" spans="1:10" x14ac:dyDescent="0.25">
      <c r="A500" s="249">
        <v>45114</v>
      </c>
      <c r="B500" s="237">
        <v>360</v>
      </c>
      <c r="C500" s="238" t="s">
        <v>454</v>
      </c>
      <c r="D500" s="239" t="s">
        <v>772</v>
      </c>
      <c r="E500" s="237">
        <v>100</v>
      </c>
      <c r="F500" s="242" t="s">
        <v>9</v>
      </c>
      <c r="G500" s="239" t="s">
        <v>930</v>
      </c>
      <c r="H500" s="240">
        <f t="shared" si="7"/>
        <v>80381</v>
      </c>
      <c r="I500" s="241"/>
      <c r="J500" s="221" t="b">
        <f>EXACT(E501,[1]Main!E501)</f>
        <v>1</v>
      </c>
    </row>
    <row r="501" spans="1:10" x14ac:dyDescent="0.25">
      <c r="A501" s="249">
        <v>45114</v>
      </c>
      <c r="B501" s="237">
        <v>405</v>
      </c>
      <c r="C501" s="238" t="s">
        <v>454</v>
      </c>
      <c r="D501" s="239" t="s">
        <v>772</v>
      </c>
      <c r="E501" s="237">
        <v>155</v>
      </c>
      <c r="F501" s="242" t="s">
        <v>255</v>
      </c>
      <c r="G501" s="239" t="s">
        <v>930</v>
      </c>
      <c r="H501" s="240">
        <f t="shared" si="7"/>
        <v>80631</v>
      </c>
      <c r="I501" s="241"/>
      <c r="J501" s="221" t="b">
        <f>EXACT(E502,[1]Main!E502)</f>
        <v>1</v>
      </c>
    </row>
    <row r="502" spans="1:10" x14ac:dyDescent="0.25">
      <c r="A502" s="249">
        <v>45114</v>
      </c>
      <c r="B502" s="237">
        <v>2185</v>
      </c>
      <c r="C502" s="238" t="s">
        <v>300</v>
      </c>
      <c r="D502" s="239" t="s">
        <v>763</v>
      </c>
      <c r="E502" s="237">
        <v>100</v>
      </c>
      <c r="F502" s="242" t="s">
        <v>341</v>
      </c>
      <c r="G502" s="239" t="s">
        <v>930</v>
      </c>
      <c r="H502" s="240">
        <f t="shared" si="7"/>
        <v>82716</v>
      </c>
      <c r="I502" s="241"/>
      <c r="J502" s="221" t="b">
        <f>EXACT(E503,[1]Main!E503)</f>
        <v>1</v>
      </c>
    </row>
    <row r="503" spans="1:10" x14ac:dyDescent="0.25">
      <c r="A503" s="249">
        <v>45114</v>
      </c>
      <c r="B503" s="237">
        <v>1265</v>
      </c>
      <c r="C503" s="238" t="s">
        <v>457</v>
      </c>
      <c r="D503" s="239" t="s">
        <v>766</v>
      </c>
      <c r="E503" s="237">
        <v>200</v>
      </c>
      <c r="F503" s="242" t="s">
        <v>7</v>
      </c>
      <c r="G503" s="239" t="s">
        <v>930</v>
      </c>
      <c r="H503" s="240">
        <f t="shared" si="7"/>
        <v>83781</v>
      </c>
      <c r="I503" s="241"/>
      <c r="J503" s="221" t="b">
        <f>EXACT(E504,[1]Main!E504)</f>
        <v>1</v>
      </c>
    </row>
    <row r="504" spans="1:10" x14ac:dyDescent="0.25">
      <c r="A504" s="249">
        <v>45114</v>
      </c>
      <c r="B504" s="237">
        <v>1150</v>
      </c>
      <c r="C504" s="238" t="s">
        <v>459</v>
      </c>
      <c r="D504" s="239" t="s">
        <v>769</v>
      </c>
      <c r="E504" s="237">
        <v>100</v>
      </c>
      <c r="F504" s="242" t="s">
        <v>39</v>
      </c>
      <c r="G504" s="239" t="s">
        <v>930</v>
      </c>
      <c r="H504" s="240">
        <f t="shared" si="7"/>
        <v>84831</v>
      </c>
      <c r="I504" s="241"/>
      <c r="J504" s="221" t="b">
        <f>EXACT(E505,[1]Main!E505)</f>
        <v>1</v>
      </c>
    </row>
    <row r="505" spans="1:10" x14ac:dyDescent="0.25">
      <c r="A505" s="249">
        <v>45114</v>
      </c>
      <c r="B505" s="237">
        <v>24812</v>
      </c>
      <c r="C505" s="238" t="s">
        <v>15</v>
      </c>
      <c r="D505" s="239" t="s">
        <v>766</v>
      </c>
      <c r="E505" s="237">
        <v>240</v>
      </c>
      <c r="F505" s="242" t="s">
        <v>210</v>
      </c>
      <c r="G505" s="239" t="s">
        <v>930</v>
      </c>
      <c r="H505" s="240">
        <f t="shared" si="7"/>
        <v>109403</v>
      </c>
      <c r="I505" s="241"/>
      <c r="J505" s="221" t="b">
        <f>EXACT(E506,[1]Main!E506)</f>
        <v>1</v>
      </c>
    </row>
    <row r="506" spans="1:10" x14ac:dyDescent="0.25">
      <c r="A506" s="249">
        <v>45114</v>
      </c>
      <c r="B506" s="237">
        <v>123</v>
      </c>
      <c r="C506" s="238" t="s">
        <v>90</v>
      </c>
      <c r="D506" s="239" t="s">
        <v>768</v>
      </c>
      <c r="E506" s="237">
        <v>120</v>
      </c>
      <c r="F506" s="242" t="s">
        <v>38</v>
      </c>
      <c r="G506" s="239" t="s">
        <v>930</v>
      </c>
      <c r="H506" s="240">
        <f t="shared" si="7"/>
        <v>109406</v>
      </c>
      <c r="I506" s="241"/>
      <c r="J506" s="221" t="b">
        <f>EXACT(E507,[1]Main!E507)</f>
        <v>1</v>
      </c>
    </row>
    <row r="507" spans="1:10" x14ac:dyDescent="0.25">
      <c r="A507" s="249">
        <v>45114</v>
      </c>
      <c r="B507" s="237">
        <v>16138</v>
      </c>
      <c r="C507" s="238" t="s">
        <v>29</v>
      </c>
      <c r="D507" s="239" t="s">
        <v>763</v>
      </c>
      <c r="E507" s="237">
        <v>6730</v>
      </c>
      <c r="F507" s="242" t="s">
        <v>455</v>
      </c>
      <c r="G507" s="239" t="s">
        <v>935</v>
      </c>
      <c r="H507" s="240">
        <f t="shared" si="7"/>
        <v>118814</v>
      </c>
      <c r="I507" s="241"/>
      <c r="J507" s="221" t="b">
        <f>EXACT(E508,[1]Main!E508)</f>
        <v>1</v>
      </c>
    </row>
    <row r="508" spans="1:10" x14ac:dyDescent="0.25">
      <c r="A508" s="249">
        <v>45114</v>
      </c>
      <c r="B508" s="237">
        <v>1897</v>
      </c>
      <c r="C508" s="238" t="s">
        <v>465</v>
      </c>
      <c r="D508" s="239" t="s">
        <v>765</v>
      </c>
      <c r="E508" s="237">
        <v>30</v>
      </c>
      <c r="F508" s="242" t="s">
        <v>19</v>
      </c>
      <c r="G508" s="239" t="s">
        <v>930</v>
      </c>
      <c r="H508" s="240">
        <f t="shared" si="7"/>
        <v>120681</v>
      </c>
      <c r="I508" s="241"/>
      <c r="J508" s="221" t="b">
        <f>EXACT(E509,[1]Main!E509)</f>
        <v>1</v>
      </c>
    </row>
    <row r="509" spans="1:10" x14ac:dyDescent="0.25">
      <c r="A509" s="249">
        <v>45114</v>
      </c>
      <c r="B509" s="237">
        <v>565</v>
      </c>
      <c r="C509" s="238" t="s">
        <v>60</v>
      </c>
      <c r="D509" s="239" t="s">
        <v>763</v>
      </c>
      <c r="E509" s="237">
        <v>1170</v>
      </c>
      <c r="F509" s="242" t="s">
        <v>12</v>
      </c>
      <c r="G509" s="239" t="s">
        <v>974</v>
      </c>
      <c r="H509" s="240">
        <f t="shared" si="7"/>
        <v>120076</v>
      </c>
      <c r="I509" s="241" t="s">
        <v>750</v>
      </c>
      <c r="J509" s="221" t="b">
        <f>EXACT(E510,[1]Main!E510)</f>
        <v>1</v>
      </c>
    </row>
    <row r="510" spans="1:10" x14ac:dyDescent="0.25">
      <c r="A510" s="249">
        <v>45114</v>
      </c>
      <c r="B510" s="237">
        <v>9945</v>
      </c>
      <c r="C510" s="238" t="s">
        <v>85</v>
      </c>
      <c r="D510" s="239" t="s">
        <v>766</v>
      </c>
      <c r="E510" s="237">
        <v>30</v>
      </c>
      <c r="F510" s="242" t="s">
        <v>458</v>
      </c>
      <c r="G510" s="239" t="s">
        <v>464</v>
      </c>
      <c r="H510" s="240">
        <f t="shared" si="7"/>
        <v>129991</v>
      </c>
      <c r="I510" s="241"/>
      <c r="J510" s="221" t="b">
        <f>EXACT(E511,[1]Main!E511)</f>
        <v>1</v>
      </c>
    </row>
    <row r="511" spans="1:10" x14ac:dyDescent="0.25">
      <c r="A511" s="249">
        <v>45114</v>
      </c>
      <c r="B511" s="237">
        <v>715</v>
      </c>
      <c r="C511" s="238" t="s">
        <v>469</v>
      </c>
      <c r="D511" s="239" t="s">
        <v>924</v>
      </c>
      <c r="E511" s="237">
        <v>117</v>
      </c>
      <c r="F511" s="242" t="s">
        <v>339</v>
      </c>
      <c r="G511" s="239" t="s">
        <v>935</v>
      </c>
      <c r="H511" s="240">
        <f t="shared" si="7"/>
        <v>130589</v>
      </c>
      <c r="I511" s="241"/>
      <c r="J511" s="221" t="b">
        <f>EXACT(E512,[1]Main!E512)</f>
        <v>1</v>
      </c>
    </row>
    <row r="512" spans="1:10" x14ac:dyDescent="0.25">
      <c r="A512" s="249">
        <v>45114</v>
      </c>
      <c r="B512" s="237">
        <v>190</v>
      </c>
      <c r="C512" s="238" t="s">
        <v>958</v>
      </c>
      <c r="D512" s="239" t="s">
        <v>937</v>
      </c>
      <c r="E512" s="237">
        <v>110</v>
      </c>
      <c r="F512" s="242" t="s">
        <v>107</v>
      </c>
      <c r="G512" s="239" t="s">
        <v>930</v>
      </c>
      <c r="H512" s="240">
        <f t="shared" si="7"/>
        <v>130669</v>
      </c>
      <c r="I512" s="241"/>
      <c r="J512" s="221" t="b">
        <f>EXACT(E513,[1]Main!E513)</f>
        <v>1</v>
      </c>
    </row>
    <row r="513" spans="1:10" x14ac:dyDescent="0.25">
      <c r="A513" s="249">
        <v>45114</v>
      </c>
      <c r="B513" s="237"/>
      <c r="C513" s="238"/>
      <c r="D513" s="239"/>
      <c r="E513" s="237">
        <v>75</v>
      </c>
      <c r="F513" s="242" t="s">
        <v>461</v>
      </c>
      <c r="G513" s="239" t="s">
        <v>930</v>
      </c>
      <c r="H513" s="240">
        <f t="shared" si="7"/>
        <v>130594</v>
      </c>
      <c r="I513" s="241"/>
      <c r="J513" s="221" t="b">
        <f>EXACT(E514,[1]Main!E514)</f>
        <v>1</v>
      </c>
    </row>
    <row r="514" spans="1:10" x14ac:dyDescent="0.25">
      <c r="A514" s="249">
        <v>45114</v>
      </c>
      <c r="B514" s="237"/>
      <c r="C514" s="238"/>
      <c r="D514" s="239"/>
      <c r="E514" s="237">
        <v>11</v>
      </c>
      <c r="F514" s="242" t="s">
        <v>393</v>
      </c>
      <c r="G514" s="239" t="s">
        <v>930</v>
      </c>
      <c r="H514" s="240">
        <f t="shared" si="7"/>
        <v>130583</v>
      </c>
      <c r="I514" s="241"/>
      <c r="J514" s="221" t="b">
        <f>EXACT(E515,[1]Main!E515)</f>
        <v>1</v>
      </c>
    </row>
    <row r="515" spans="1:10" x14ac:dyDescent="0.25">
      <c r="A515" s="249">
        <v>45114</v>
      </c>
      <c r="B515" s="237"/>
      <c r="C515" s="238"/>
      <c r="D515" s="239"/>
      <c r="E515" s="237">
        <v>30</v>
      </c>
      <c r="F515" s="242" t="s">
        <v>358</v>
      </c>
      <c r="G515" s="239" t="s">
        <v>938</v>
      </c>
      <c r="H515" s="240">
        <f t="shared" si="7"/>
        <v>130553</v>
      </c>
      <c r="I515" s="241"/>
      <c r="J515" s="221" t="b">
        <f>EXACT(E516,[1]Main!E516)</f>
        <v>1</v>
      </c>
    </row>
    <row r="516" spans="1:10" x14ac:dyDescent="0.25">
      <c r="A516" s="249">
        <v>45114</v>
      </c>
      <c r="B516" s="237"/>
      <c r="C516" s="238"/>
      <c r="D516" s="239"/>
      <c r="E516" s="237">
        <v>100</v>
      </c>
      <c r="F516" s="242" t="s">
        <v>462</v>
      </c>
      <c r="G516" s="239" t="s">
        <v>930</v>
      </c>
      <c r="H516" s="240">
        <f t="shared" si="7"/>
        <v>130453</v>
      </c>
      <c r="I516" s="241"/>
      <c r="J516" s="221" t="b">
        <f>EXACT(E517,[1]Main!E517)</f>
        <v>1</v>
      </c>
    </row>
    <row r="517" spans="1:10" x14ac:dyDescent="0.25">
      <c r="A517" s="249">
        <v>45114</v>
      </c>
      <c r="B517" s="237"/>
      <c r="C517" s="238"/>
      <c r="D517" s="239"/>
      <c r="E517" s="237">
        <v>50</v>
      </c>
      <c r="F517" s="242" t="s">
        <v>464</v>
      </c>
      <c r="G517" s="239" t="s">
        <v>464</v>
      </c>
      <c r="H517" s="240">
        <f t="shared" si="7"/>
        <v>130403</v>
      </c>
      <c r="I517" s="241" t="s">
        <v>463</v>
      </c>
      <c r="J517" s="221" t="b">
        <f>EXACT(E518,[1]Main!E518)</f>
        <v>1</v>
      </c>
    </row>
    <row r="518" spans="1:10" x14ac:dyDescent="0.25">
      <c r="A518" s="249">
        <v>45114</v>
      </c>
      <c r="B518" s="237"/>
      <c r="C518" s="238"/>
      <c r="D518" s="239"/>
      <c r="E518" s="237">
        <v>17</v>
      </c>
      <c r="F518" s="242" t="s">
        <v>464</v>
      </c>
      <c r="G518" s="239" t="s">
        <v>464</v>
      </c>
      <c r="H518" s="240">
        <f t="shared" si="7"/>
        <v>130386</v>
      </c>
      <c r="I518" s="241"/>
      <c r="J518" s="221" t="b">
        <f>EXACT(E519,[1]Main!E519)</f>
        <v>1</v>
      </c>
    </row>
    <row r="519" spans="1:10" x14ac:dyDescent="0.25">
      <c r="A519" s="249">
        <v>45114</v>
      </c>
      <c r="B519" s="237"/>
      <c r="C519" s="238"/>
      <c r="D519" s="239"/>
      <c r="E519" s="237">
        <v>75</v>
      </c>
      <c r="F519" s="242" t="s">
        <v>26</v>
      </c>
      <c r="G519" s="239" t="s">
        <v>930</v>
      </c>
      <c r="H519" s="240">
        <f t="shared" ref="H519:H582" si="8">H518+B519-E519</f>
        <v>130311</v>
      </c>
      <c r="I519" s="241"/>
      <c r="J519" s="221" t="b">
        <f>EXACT(E520,[1]Main!E520)</f>
        <v>1</v>
      </c>
    </row>
    <row r="520" spans="1:10" x14ac:dyDescent="0.25">
      <c r="A520" s="249">
        <v>45114</v>
      </c>
      <c r="B520" s="237"/>
      <c r="C520" s="238"/>
      <c r="D520" s="239"/>
      <c r="E520" s="237">
        <v>1745</v>
      </c>
      <c r="F520" s="242" t="s">
        <v>14</v>
      </c>
      <c r="G520" s="239" t="s">
        <v>935</v>
      </c>
      <c r="H520" s="240">
        <f t="shared" si="8"/>
        <v>128566</v>
      </c>
      <c r="I520" s="241"/>
      <c r="J520" s="221" t="b">
        <f>EXACT(E521,[1]Main!E521)</f>
        <v>1</v>
      </c>
    </row>
    <row r="521" spans="1:10" x14ac:dyDescent="0.25">
      <c r="A521" s="249">
        <v>45114</v>
      </c>
      <c r="B521" s="237"/>
      <c r="C521" s="238"/>
      <c r="D521" s="239"/>
      <c r="E521" s="237">
        <v>115</v>
      </c>
      <c r="F521" s="242" t="s">
        <v>381</v>
      </c>
      <c r="G521" s="239" t="s">
        <v>930</v>
      </c>
      <c r="H521" s="240">
        <f t="shared" si="8"/>
        <v>128451</v>
      </c>
      <c r="I521" s="241"/>
      <c r="J521" s="221" t="b">
        <f>EXACT(E522,[1]Main!E522)</f>
        <v>1</v>
      </c>
    </row>
    <row r="522" spans="1:10" x14ac:dyDescent="0.25">
      <c r="A522" s="249">
        <v>45114</v>
      </c>
      <c r="B522" s="237"/>
      <c r="C522" s="238"/>
      <c r="D522" s="239"/>
      <c r="E522" s="237">
        <v>460</v>
      </c>
      <c r="F522" s="242" t="s">
        <v>1158</v>
      </c>
      <c r="G522" s="239" t="s">
        <v>930</v>
      </c>
      <c r="H522" s="240">
        <f t="shared" si="8"/>
        <v>127991</v>
      </c>
      <c r="I522" s="241" t="s">
        <v>825</v>
      </c>
      <c r="J522" s="221" t="b">
        <f>EXACT(E523,[1]Main!E523)</f>
        <v>1</v>
      </c>
    </row>
    <row r="523" spans="1:10" x14ac:dyDescent="0.25">
      <c r="A523" s="249">
        <v>45114</v>
      </c>
      <c r="B523" s="237"/>
      <c r="C523" s="238"/>
      <c r="D523" s="239"/>
      <c r="E523" s="237">
        <v>95</v>
      </c>
      <c r="F523" s="242" t="s">
        <v>382</v>
      </c>
      <c r="G523" s="239" t="s">
        <v>930</v>
      </c>
      <c r="H523" s="240">
        <f t="shared" si="8"/>
        <v>127896</v>
      </c>
      <c r="I523" s="241"/>
      <c r="J523" s="221" t="b">
        <f>EXACT(E524,[1]Main!E524)</f>
        <v>1</v>
      </c>
    </row>
    <row r="524" spans="1:10" x14ac:dyDescent="0.25">
      <c r="A524" s="249">
        <v>45114</v>
      </c>
      <c r="B524" s="237"/>
      <c r="C524" s="238"/>
      <c r="D524" s="239"/>
      <c r="E524" s="237">
        <v>330</v>
      </c>
      <c r="F524" s="242" t="s">
        <v>467</v>
      </c>
      <c r="G524" s="239" t="s">
        <v>930</v>
      </c>
      <c r="H524" s="240">
        <f t="shared" si="8"/>
        <v>127566</v>
      </c>
      <c r="I524" s="241"/>
      <c r="J524" s="221" t="b">
        <f>EXACT(E525,[1]Main!E525)</f>
        <v>1</v>
      </c>
    </row>
    <row r="525" spans="1:10" x14ac:dyDescent="0.25">
      <c r="A525" s="249">
        <v>45114</v>
      </c>
      <c r="B525" s="237"/>
      <c r="C525" s="238"/>
      <c r="D525" s="239"/>
      <c r="E525" s="237">
        <v>14000</v>
      </c>
      <c r="F525" s="242" t="s">
        <v>25</v>
      </c>
      <c r="G525" s="239" t="s">
        <v>930</v>
      </c>
      <c r="H525" s="240">
        <f t="shared" si="8"/>
        <v>113566</v>
      </c>
      <c r="I525" s="241"/>
      <c r="J525" s="221" t="b">
        <f>EXACT(E526,[1]Main!E526)</f>
        <v>1</v>
      </c>
    </row>
    <row r="526" spans="1:10" x14ac:dyDescent="0.25">
      <c r="A526" s="249">
        <v>45114</v>
      </c>
      <c r="B526" s="237"/>
      <c r="C526" s="238"/>
      <c r="D526" s="239"/>
      <c r="E526" s="237">
        <v>970</v>
      </c>
      <c r="F526" s="242" t="s">
        <v>853</v>
      </c>
      <c r="G526" s="239" t="s">
        <v>930</v>
      </c>
      <c r="H526" s="240">
        <f t="shared" si="8"/>
        <v>112596</v>
      </c>
      <c r="I526" s="241" t="s">
        <v>796</v>
      </c>
      <c r="J526" s="221" t="b">
        <f>EXACT(E527,[1]Main!E527)</f>
        <v>1</v>
      </c>
    </row>
    <row r="527" spans="1:10" x14ac:dyDescent="0.25">
      <c r="A527" s="249">
        <v>45114</v>
      </c>
      <c r="B527" s="237"/>
      <c r="C527" s="238"/>
      <c r="D527" s="239"/>
      <c r="E527" s="237">
        <v>500</v>
      </c>
      <c r="F527" s="242" t="s">
        <v>27</v>
      </c>
      <c r="G527" s="239" t="s">
        <v>943</v>
      </c>
      <c r="H527" s="240">
        <f t="shared" si="8"/>
        <v>112096</v>
      </c>
      <c r="I527" s="241"/>
      <c r="J527" s="221" t="b">
        <f>EXACT(E528,[1]Main!E528)</f>
        <v>1</v>
      </c>
    </row>
    <row r="528" spans="1:10" x14ac:dyDescent="0.25">
      <c r="A528" s="249">
        <v>45114</v>
      </c>
      <c r="B528" s="237"/>
      <c r="C528" s="238"/>
      <c r="D528" s="239"/>
      <c r="E528" s="237">
        <v>228</v>
      </c>
      <c r="F528" s="242" t="s">
        <v>358</v>
      </c>
      <c r="G528" s="239" t="s">
        <v>938</v>
      </c>
      <c r="H528" s="240">
        <f t="shared" si="8"/>
        <v>111868</v>
      </c>
      <c r="I528" s="241" t="s">
        <v>412</v>
      </c>
      <c r="J528" s="221" t="b">
        <f>EXACT(E529,[1]Main!E529)</f>
        <v>1</v>
      </c>
    </row>
    <row r="529" spans="1:10" x14ac:dyDescent="0.25">
      <c r="A529" s="249">
        <v>45114</v>
      </c>
      <c r="B529" s="237"/>
      <c r="C529" s="238"/>
      <c r="D529" s="239"/>
      <c r="E529" s="237">
        <v>865</v>
      </c>
      <c r="F529" s="242" t="s">
        <v>358</v>
      </c>
      <c r="G529" s="239" t="s">
        <v>938</v>
      </c>
      <c r="H529" s="240">
        <f t="shared" si="8"/>
        <v>111003</v>
      </c>
      <c r="I529" s="241" t="s">
        <v>854</v>
      </c>
      <c r="J529" s="221" t="b">
        <f>EXACT(E530,[1]Main!E530)</f>
        <v>1</v>
      </c>
    </row>
    <row r="530" spans="1:10" x14ac:dyDescent="0.25">
      <c r="A530" s="249">
        <v>45114</v>
      </c>
      <c r="B530" s="237"/>
      <c r="C530" s="238"/>
      <c r="D530" s="239"/>
      <c r="E530" s="237">
        <v>12000</v>
      </c>
      <c r="F530" s="242" t="s">
        <v>358</v>
      </c>
      <c r="G530" s="239" t="s">
        <v>938</v>
      </c>
      <c r="H530" s="240">
        <f t="shared" si="8"/>
        <v>99003</v>
      </c>
      <c r="I530" s="241"/>
      <c r="J530" s="221" t="b">
        <f>EXACT(E531,[1]Main!E531)</f>
        <v>1</v>
      </c>
    </row>
    <row r="531" spans="1:10" x14ac:dyDescent="0.25">
      <c r="A531" s="249">
        <v>45114</v>
      </c>
      <c r="B531" s="237"/>
      <c r="C531" s="238"/>
      <c r="D531" s="239"/>
      <c r="E531" s="237">
        <v>141</v>
      </c>
      <c r="F531" s="242" t="s">
        <v>266</v>
      </c>
      <c r="G531" s="239" t="s">
        <v>930</v>
      </c>
      <c r="H531" s="240">
        <f t="shared" si="8"/>
        <v>98862</v>
      </c>
      <c r="I531" s="241" t="s">
        <v>412</v>
      </c>
      <c r="J531" s="221" t="b">
        <f>EXACT(E532,[1]Main!E532)</f>
        <v>1</v>
      </c>
    </row>
    <row r="532" spans="1:10" x14ac:dyDescent="0.25">
      <c r="A532" s="249">
        <v>45114</v>
      </c>
      <c r="B532" s="237"/>
      <c r="C532" s="238"/>
      <c r="D532" s="239"/>
      <c r="E532" s="237">
        <v>28</v>
      </c>
      <c r="F532" s="242" t="s">
        <v>451</v>
      </c>
      <c r="G532" s="239" t="s">
        <v>931</v>
      </c>
      <c r="H532" s="240">
        <f t="shared" si="8"/>
        <v>98834</v>
      </c>
      <c r="I532" s="241"/>
      <c r="J532" s="221" t="b">
        <f>EXACT(E533,[1]Main!E533)</f>
        <v>1</v>
      </c>
    </row>
    <row r="533" spans="1:10" x14ac:dyDescent="0.25">
      <c r="A533" s="249">
        <v>45114</v>
      </c>
      <c r="B533" s="237"/>
      <c r="C533" s="238"/>
      <c r="D533" s="239"/>
      <c r="E533" s="237">
        <v>16</v>
      </c>
      <c r="F533" s="242" t="s">
        <v>74</v>
      </c>
      <c r="G533" s="239" t="s">
        <v>464</v>
      </c>
      <c r="H533" s="240">
        <f t="shared" si="8"/>
        <v>98818</v>
      </c>
      <c r="I533" s="241" t="s">
        <v>33</v>
      </c>
      <c r="J533" s="221" t="b">
        <f>EXACT(E534,[1]Main!E534)</f>
        <v>1</v>
      </c>
    </row>
    <row r="534" spans="1:10" x14ac:dyDescent="0.25">
      <c r="A534" s="249">
        <v>45114</v>
      </c>
      <c r="B534" s="237"/>
      <c r="C534" s="238"/>
      <c r="D534" s="239"/>
      <c r="E534" s="237">
        <v>16</v>
      </c>
      <c r="F534" s="242" t="s">
        <v>447</v>
      </c>
      <c r="G534" s="239" t="s">
        <v>931</v>
      </c>
      <c r="H534" s="240">
        <f t="shared" si="8"/>
        <v>98802</v>
      </c>
      <c r="I534" s="241"/>
      <c r="J534" s="221" t="b">
        <f>EXACT(E535,[1]Main!E535)</f>
        <v>1</v>
      </c>
    </row>
    <row r="535" spans="1:10" x14ac:dyDescent="0.25">
      <c r="A535" s="244">
        <v>45114</v>
      </c>
      <c r="B535" s="245"/>
      <c r="C535" s="246"/>
      <c r="D535" s="247"/>
      <c r="E535" s="245">
        <v>135</v>
      </c>
      <c r="F535" s="248" t="s">
        <v>27</v>
      </c>
      <c r="G535" s="247" t="s">
        <v>943</v>
      </c>
      <c r="H535" s="240">
        <f t="shared" si="8"/>
        <v>98667</v>
      </c>
      <c r="I535" s="241"/>
      <c r="J535" s="221" t="b">
        <f>EXACT(E536,[1]Main!E536)</f>
        <v>1</v>
      </c>
    </row>
    <row r="536" spans="1:10" x14ac:dyDescent="0.25">
      <c r="A536" s="249">
        <v>45115</v>
      </c>
      <c r="B536" s="237">
        <v>18267</v>
      </c>
      <c r="C536" s="238" t="s">
        <v>9</v>
      </c>
      <c r="D536" s="239" t="s">
        <v>763</v>
      </c>
      <c r="E536" s="267">
        <v>62</v>
      </c>
      <c r="F536" s="268" t="s">
        <v>33</v>
      </c>
      <c r="G536" s="239" t="s">
        <v>464</v>
      </c>
      <c r="H536" s="240">
        <f t="shared" si="8"/>
        <v>116872</v>
      </c>
      <c r="I536" s="241"/>
      <c r="J536" s="221" t="b">
        <f>EXACT(E537,[1]Main!E537)</f>
        <v>1</v>
      </c>
    </row>
    <row r="537" spans="1:10" x14ac:dyDescent="0.25">
      <c r="A537" s="249">
        <v>45115</v>
      </c>
      <c r="B537" s="237">
        <v>634</v>
      </c>
      <c r="C537" s="238" t="s">
        <v>28</v>
      </c>
      <c r="D537" s="239" t="s">
        <v>765</v>
      </c>
      <c r="E537" s="237">
        <v>10000</v>
      </c>
      <c r="F537" s="242" t="s">
        <v>266</v>
      </c>
      <c r="G537" s="239" t="s">
        <v>931</v>
      </c>
      <c r="H537" s="240">
        <f t="shared" si="8"/>
        <v>107506</v>
      </c>
      <c r="I537" s="241"/>
      <c r="J537" s="221" t="b">
        <f>EXACT(E538,[1]Main!E538)</f>
        <v>1</v>
      </c>
    </row>
    <row r="538" spans="1:10" x14ac:dyDescent="0.25">
      <c r="A538" s="249">
        <v>45115</v>
      </c>
      <c r="B538" s="237">
        <v>940</v>
      </c>
      <c r="C538" s="238" t="s">
        <v>19</v>
      </c>
      <c r="D538" s="239" t="s">
        <v>763</v>
      </c>
      <c r="E538" s="237">
        <v>40</v>
      </c>
      <c r="F538" s="242" t="s">
        <v>10</v>
      </c>
      <c r="G538" s="239" t="s">
        <v>930</v>
      </c>
      <c r="H538" s="240">
        <f t="shared" si="8"/>
        <v>108406</v>
      </c>
      <c r="I538" s="241"/>
      <c r="J538" s="221" t="b">
        <f>EXACT(E539,[1]Main!E539)</f>
        <v>1</v>
      </c>
    </row>
    <row r="539" spans="1:10" x14ac:dyDescent="0.25">
      <c r="A539" s="249">
        <v>45115</v>
      </c>
      <c r="B539" s="237">
        <v>10280</v>
      </c>
      <c r="C539" s="238" t="s">
        <v>80</v>
      </c>
      <c r="D539" s="239" t="s">
        <v>763</v>
      </c>
      <c r="E539" s="237">
        <v>2560</v>
      </c>
      <c r="F539" s="242" t="s">
        <v>470</v>
      </c>
      <c r="G539" s="239" t="s">
        <v>928</v>
      </c>
      <c r="H539" s="240">
        <f t="shared" si="8"/>
        <v>116126</v>
      </c>
      <c r="I539" s="241"/>
      <c r="J539" s="221" t="b">
        <f>EXACT(E540,[1]Main!E540)</f>
        <v>1</v>
      </c>
    </row>
    <row r="540" spans="1:10" x14ac:dyDescent="0.25">
      <c r="A540" s="249">
        <v>45115</v>
      </c>
      <c r="B540" s="237">
        <v>1141</v>
      </c>
      <c r="C540" s="238" t="s">
        <v>81</v>
      </c>
      <c r="D540" s="239" t="s">
        <v>765</v>
      </c>
      <c r="E540" s="237">
        <v>9050</v>
      </c>
      <c r="F540" s="242" t="s">
        <v>16</v>
      </c>
      <c r="G540" s="239" t="s">
        <v>936</v>
      </c>
      <c r="H540" s="240">
        <f t="shared" si="8"/>
        <v>108217</v>
      </c>
      <c r="I540" s="241"/>
      <c r="J540" s="221" t="b">
        <f>EXACT(E541,[1]Main!E541)</f>
        <v>1</v>
      </c>
    </row>
    <row r="541" spans="1:10" x14ac:dyDescent="0.25">
      <c r="A541" s="249">
        <v>45115</v>
      </c>
      <c r="B541" s="237">
        <v>5155</v>
      </c>
      <c r="C541" s="238" t="s">
        <v>27</v>
      </c>
      <c r="D541" s="239" t="s">
        <v>772</v>
      </c>
      <c r="E541" s="237">
        <v>6852</v>
      </c>
      <c r="F541" s="242" t="s">
        <v>505</v>
      </c>
      <c r="G541" s="239" t="s">
        <v>928</v>
      </c>
      <c r="H541" s="240">
        <f t="shared" si="8"/>
        <v>106520</v>
      </c>
      <c r="I541" s="241" t="s">
        <v>794</v>
      </c>
      <c r="J541" s="221" t="b">
        <f>EXACT(E542,[1]Main!E542)</f>
        <v>1</v>
      </c>
    </row>
    <row r="542" spans="1:10" x14ac:dyDescent="0.25">
      <c r="A542" s="249">
        <v>45115</v>
      </c>
      <c r="B542" s="237">
        <v>165</v>
      </c>
      <c r="C542" s="261" t="s">
        <v>430</v>
      </c>
      <c r="D542" s="239" t="s">
        <v>766</v>
      </c>
      <c r="E542" s="237">
        <v>2960</v>
      </c>
      <c r="F542" s="242" t="s">
        <v>473</v>
      </c>
      <c r="G542" s="239" t="s">
        <v>928</v>
      </c>
      <c r="H542" s="240">
        <f t="shared" si="8"/>
        <v>103725</v>
      </c>
      <c r="I542" s="241"/>
      <c r="J542" s="221" t="b">
        <f>EXACT(E543,[1]Main!E543)</f>
        <v>1</v>
      </c>
    </row>
    <row r="543" spans="1:10" x14ac:dyDescent="0.25">
      <c r="A543" s="249">
        <v>45115</v>
      </c>
      <c r="B543" s="237">
        <v>445</v>
      </c>
      <c r="C543" s="238" t="s">
        <v>27</v>
      </c>
      <c r="D543" s="239" t="s">
        <v>772</v>
      </c>
      <c r="E543" s="237">
        <v>120</v>
      </c>
      <c r="F543" s="242" t="s">
        <v>393</v>
      </c>
      <c r="G543" s="239" t="s">
        <v>930</v>
      </c>
      <c r="H543" s="240">
        <f t="shared" si="8"/>
        <v>104050</v>
      </c>
      <c r="I543" s="241"/>
      <c r="J543" s="221" t="b">
        <f>EXACT(E544,[1]Main!E544)</f>
        <v>1</v>
      </c>
    </row>
    <row r="544" spans="1:10" x14ac:dyDescent="0.25">
      <c r="A544" s="249">
        <v>45115</v>
      </c>
      <c r="B544" s="237">
        <v>30</v>
      </c>
      <c r="C544" s="238" t="s">
        <v>35</v>
      </c>
      <c r="D544" s="239" t="s">
        <v>937</v>
      </c>
      <c r="E544" s="237">
        <v>215</v>
      </c>
      <c r="F544" s="242" t="s">
        <v>399</v>
      </c>
      <c r="G544" s="239" t="s">
        <v>930</v>
      </c>
      <c r="H544" s="240">
        <f t="shared" si="8"/>
        <v>103865</v>
      </c>
      <c r="I544" s="241"/>
      <c r="J544" s="221" t="b">
        <f>EXACT(E545,[1]Main!E545)</f>
        <v>1</v>
      </c>
    </row>
    <row r="545" spans="1:10" x14ac:dyDescent="0.25">
      <c r="A545" s="249">
        <v>45115</v>
      </c>
      <c r="B545" s="237">
        <v>2415</v>
      </c>
      <c r="C545" s="261" t="s">
        <v>490</v>
      </c>
      <c r="D545" s="239" t="s">
        <v>766</v>
      </c>
      <c r="E545" s="237">
        <v>255</v>
      </c>
      <c r="F545" s="242" t="s">
        <v>8</v>
      </c>
      <c r="G545" s="239" t="s">
        <v>930</v>
      </c>
      <c r="H545" s="240">
        <f t="shared" si="8"/>
        <v>106025</v>
      </c>
      <c r="I545" s="241"/>
      <c r="J545" s="221" t="b">
        <f>EXACT(E546,[1]Main!E546)</f>
        <v>1</v>
      </c>
    </row>
    <row r="546" spans="1:10" x14ac:dyDescent="0.25">
      <c r="A546" s="249">
        <v>45115</v>
      </c>
      <c r="B546" s="237">
        <v>25171</v>
      </c>
      <c r="C546" s="238" t="s">
        <v>29</v>
      </c>
      <c r="D546" s="239" t="s">
        <v>763</v>
      </c>
      <c r="E546" s="237">
        <v>105</v>
      </c>
      <c r="F546" s="242" t="s">
        <v>265</v>
      </c>
      <c r="G546" s="239" t="s">
        <v>935</v>
      </c>
      <c r="H546" s="240">
        <f t="shared" si="8"/>
        <v>131091</v>
      </c>
      <c r="I546" s="241"/>
      <c r="J546" s="221" t="b">
        <f>EXACT(E547,[1]Main!E547)</f>
        <v>1</v>
      </c>
    </row>
    <row r="547" spans="1:10" x14ac:dyDescent="0.25">
      <c r="A547" s="249">
        <v>45115</v>
      </c>
      <c r="B547" s="237">
        <v>1164</v>
      </c>
      <c r="C547" s="238" t="s">
        <v>465</v>
      </c>
      <c r="D547" s="239" t="s">
        <v>765</v>
      </c>
      <c r="E547" s="237">
        <v>2455</v>
      </c>
      <c r="F547" s="242" t="s">
        <v>12</v>
      </c>
      <c r="G547" s="239" t="s">
        <v>974</v>
      </c>
      <c r="H547" s="240">
        <f t="shared" si="8"/>
        <v>129800</v>
      </c>
      <c r="I547" s="241"/>
      <c r="J547" s="221" t="b">
        <f>EXACT(E548,[1]Main!E548)</f>
        <v>1</v>
      </c>
    </row>
    <row r="548" spans="1:10" x14ac:dyDescent="0.25">
      <c r="A548" s="249">
        <v>45115</v>
      </c>
      <c r="B548" s="237">
        <v>22522</v>
      </c>
      <c r="C548" s="238" t="s">
        <v>15</v>
      </c>
      <c r="D548" s="239" t="s">
        <v>766</v>
      </c>
      <c r="E548" s="237">
        <v>410</v>
      </c>
      <c r="F548" s="242" t="s">
        <v>11</v>
      </c>
      <c r="G548" s="239" t="s">
        <v>935</v>
      </c>
      <c r="H548" s="240">
        <f t="shared" si="8"/>
        <v>151912</v>
      </c>
      <c r="I548" s="241"/>
      <c r="J548" s="221" t="b">
        <f>EXACT(E549,[1]Main!E549)</f>
        <v>1</v>
      </c>
    </row>
    <row r="549" spans="1:10" x14ac:dyDescent="0.25">
      <c r="A549" s="249">
        <v>45115</v>
      </c>
      <c r="B549" s="237">
        <v>60</v>
      </c>
      <c r="C549" s="238" t="s">
        <v>90</v>
      </c>
      <c r="D549" s="239" t="s">
        <v>768</v>
      </c>
      <c r="E549" s="237">
        <v>1050</v>
      </c>
      <c r="F549" s="242" t="s">
        <v>474</v>
      </c>
      <c r="G549" s="239" t="s">
        <v>928</v>
      </c>
      <c r="H549" s="240">
        <f t="shared" si="8"/>
        <v>150922</v>
      </c>
      <c r="I549" s="241"/>
      <c r="J549" s="221" t="b">
        <f>EXACT(E550,[1]Main!E550)</f>
        <v>1</v>
      </c>
    </row>
    <row r="550" spans="1:10" x14ac:dyDescent="0.25">
      <c r="A550" s="249">
        <v>45115</v>
      </c>
      <c r="B550" s="237">
        <v>17998</v>
      </c>
      <c r="C550" s="238" t="s">
        <v>88</v>
      </c>
      <c r="D550" s="239" t="s">
        <v>766</v>
      </c>
      <c r="E550" s="237">
        <v>290</v>
      </c>
      <c r="F550" s="242" t="s">
        <v>476</v>
      </c>
      <c r="G550" s="239" t="s">
        <v>930</v>
      </c>
      <c r="H550" s="240">
        <f t="shared" si="8"/>
        <v>168630</v>
      </c>
      <c r="I550" s="241"/>
      <c r="J550" s="221" t="b">
        <f>EXACT(E551,[1]Main!E551)</f>
        <v>1</v>
      </c>
    </row>
    <row r="551" spans="1:10" x14ac:dyDescent="0.25">
      <c r="A551" s="249">
        <v>45115</v>
      </c>
      <c r="B551" s="237">
        <v>390</v>
      </c>
      <c r="C551" s="238" t="s">
        <v>747</v>
      </c>
      <c r="D551" s="239" t="s">
        <v>768</v>
      </c>
      <c r="E551" s="237">
        <v>505</v>
      </c>
      <c r="F551" s="242" t="s">
        <v>37</v>
      </c>
      <c r="G551" s="239" t="s">
        <v>928</v>
      </c>
      <c r="H551" s="240">
        <f t="shared" si="8"/>
        <v>168515</v>
      </c>
      <c r="I551" s="241"/>
      <c r="J551" s="221" t="b">
        <f>EXACT(E552,[1]Main!E552)</f>
        <v>1</v>
      </c>
    </row>
    <row r="552" spans="1:10" x14ac:dyDescent="0.25">
      <c r="A552" s="249">
        <v>45115</v>
      </c>
      <c r="B552" s="237">
        <v>5890</v>
      </c>
      <c r="C552" s="238" t="s">
        <v>6</v>
      </c>
      <c r="D552" s="239" t="s">
        <v>766</v>
      </c>
      <c r="E552" s="237">
        <v>1000</v>
      </c>
      <c r="F552" s="242" t="s">
        <v>220</v>
      </c>
      <c r="G552" s="239" t="s">
        <v>928</v>
      </c>
      <c r="H552" s="240">
        <f t="shared" si="8"/>
        <v>173405</v>
      </c>
      <c r="I552" s="241" t="s">
        <v>855</v>
      </c>
      <c r="J552" s="221" t="b">
        <f>EXACT(E553,[1]Main!E553)</f>
        <v>1</v>
      </c>
    </row>
    <row r="553" spans="1:10" x14ac:dyDescent="0.25">
      <c r="A553" s="249">
        <v>45115</v>
      </c>
      <c r="B553" s="237">
        <v>127</v>
      </c>
      <c r="C553" s="238" t="s">
        <v>93</v>
      </c>
      <c r="D553" s="239" t="s">
        <v>768</v>
      </c>
      <c r="E553" s="237">
        <v>1000</v>
      </c>
      <c r="F553" s="242" t="s">
        <v>737</v>
      </c>
      <c r="G553" s="239" t="s">
        <v>928</v>
      </c>
      <c r="H553" s="240">
        <f t="shared" si="8"/>
        <v>172532</v>
      </c>
      <c r="I553" s="241" t="s">
        <v>856</v>
      </c>
      <c r="J553" s="221" t="b">
        <f>EXACT(E554,[1]Main!E554)</f>
        <v>1</v>
      </c>
    </row>
    <row r="554" spans="1:10" x14ac:dyDescent="0.25">
      <c r="A554" s="249">
        <v>45115</v>
      </c>
      <c r="B554" s="237">
        <v>3460</v>
      </c>
      <c r="C554" s="238" t="s">
        <v>24</v>
      </c>
      <c r="D554" s="239" t="s">
        <v>766</v>
      </c>
      <c r="E554" s="237">
        <v>140</v>
      </c>
      <c r="F554" s="242" t="s">
        <v>82</v>
      </c>
      <c r="G554" s="239" t="s">
        <v>464</v>
      </c>
      <c r="H554" s="240">
        <f t="shared" si="8"/>
        <v>175852</v>
      </c>
      <c r="I554" s="241" t="s">
        <v>857</v>
      </c>
      <c r="J554" s="221" t="b">
        <f>EXACT(E555,[1]Main!E555)</f>
        <v>1</v>
      </c>
    </row>
    <row r="555" spans="1:10" x14ac:dyDescent="0.25">
      <c r="A555" s="249">
        <v>45115</v>
      </c>
      <c r="B555" s="237"/>
      <c r="C555" s="238"/>
      <c r="D555" s="239"/>
      <c r="E555" s="237">
        <v>140</v>
      </c>
      <c r="F555" s="242" t="s">
        <v>13</v>
      </c>
      <c r="G555" s="239" t="s">
        <v>930</v>
      </c>
      <c r="H555" s="240">
        <f t="shared" si="8"/>
        <v>175712</v>
      </c>
      <c r="I555" s="241" t="s">
        <v>857</v>
      </c>
      <c r="J555" s="221" t="b">
        <f>EXACT(E556,[1]Main!E556)</f>
        <v>1</v>
      </c>
    </row>
    <row r="556" spans="1:10" x14ac:dyDescent="0.25">
      <c r="A556" s="249">
        <v>45115</v>
      </c>
      <c r="B556" s="237"/>
      <c r="C556" s="238"/>
      <c r="D556" s="239"/>
      <c r="E556" s="237">
        <v>50</v>
      </c>
      <c r="F556" s="242" t="s">
        <v>13</v>
      </c>
      <c r="G556" s="239" t="s">
        <v>930</v>
      </c>
      <c r="H556" s="240">
        <f t="shared" si="8"/>
        <v>175662</v>
      </c>
      <c r="I556" s="241"/>
      <c r="J556" s="221" t="b">
        <f>EXACT(E557,[1]Main!E557)</f>
        <v>1</v>
      </c>
    </row>
    <row r="557" spans="1:10" x14ac:dyDescent="0.25">
      <c r="A557" s="249">
        <v>45115</v>
      </c>
      <c r="B557" s="237"/>
      <c r="C557" s="238"/>
      <c r="D557" s="239"/>
      <c r="E557" s="237">
        <v>3945</v>
      </c>
      <c r="F557" s="242" t="s">
        <v>49</v>
      </c>
      <c r="G557" s="239" t="s">
        <v>928</v>
      </c>
      <c r="H557" s="240">
        <f t="shared" si="8"/>
        <v>171717</v>
      </c>
      <c r="I557" s="241"/>
      <c r="J557" s="221" t="b">
        <f>EXACT(E558,[1]Main!E558)</f>
        <v>1</v>
      </c>
    </row>
    <row r="558" spans="1:10" x14ac:dyDescent="0.25">
      <c r="A558" s="249">
        <v>45115</v>
      </c>
      <c r="B558" s="237"/>
      <c r="C558" s="238"/>
      <c r="D558" s="239"/>
      <c r="E558" s="237">
        <v>180</v>
      </c>
      <c r="F558" s="242" t="s">
        <v>482</v>
      </c>
      <c r="G558" s="239" t="s">
        <v>930</v>
      </c>
      <c r="H558" s="240">
        <f t="shared" si="8"/>
        <v>171537</v>
      </c>
      <c r="I558" s="241"/>
      <c r="J558" s="221" t="b">
        <f>EXACT(E559,[1]Main!E559)</f>
        <v>1</v>
      </c>
    </row>
    <row r="559" spans="1:10" x14ac:dyDescent="0.25">
      <c r="A559" s="249">
        <v>45115</v>
      </c>
      <c r="B559" s="237"/>
      <c r="C559" s="238"/>
      <c r="D559" s="239"/>
      <c r="E559" s="237">
        <v>1365</v>
      </c>
      <c r="F559" s="242" t="s">
        <v>230</v>
      </c>
      <c r="G559" s="239" t="s">
        <v>928</v>
      </c>
      <c r="H559" s="240">
        <f t="shared" si="8"/>
        <v>170172</v>
      </c>
      <c r="I559" s="241" t="s">
        <v>858</v>
      </c>
      <c r="J559" s="221" t="b">
        <f>EXACT(E560,[1]Main!E560)</f>
        <v>1</v>
      </c>
    </row>
    <row r="560" spans="1:10" x14ac:dyDescent="0.25">
      <c r="A560" s="249">
        <v>45115</v>
      </c>
      <c r="B560" s="237"/>
      <c r="C560" s="238"/>
      <c r="D560" s="239"/>
      <c r="E560" s="237">
        <v>5060</v>
      </c>
      <c r="F560" s="242" t="s">
        <v>337</v>
      </c>
      <c r="G560" s="239" t="s">
        <v>960</v>
      </c>
      <c r="H560" s="240">
        <f t="shared" si="8"/>
        <v>165112</v>
      </c>
      <c r="I560" s="241"/>
      <c r="J560" s="221" t="b">
        <f>EXACT(E561,[1]Main!E561)</f>
        <v>1</v>
      </c>
    </row>
    <row r="561" spans="1:10" x14ac:dyDescent="0.25">
      <c r="A561" s="249">
        <v>45115</v>
      </c>
      <c r="B561" s="237"/>
      <c r="C561" s="238"/>
      <c r="D561" s="239"/>
      <c r="E561" s="237">
        <v>15000</v>
      </c>
      <c r="F561" s="241" t="s">
        <v>43</v>
      </c>
      <c r="G561" s="239" t="s">
        <v>941</v>
      </c>
      <c r="H561" s="240">
        <f t="shared" si="8"/>
        <v>150112</v>
      </c>
      <c r="I561" s="241"/>
      <c r="J561" s="221" t="b">
        <f>EXACT(E562,[1]Main!E562)</f>
        <v>1</v>
      </c>
    </row>
    <row r="562" spans="1:10" x14ac:dyDescent="0.25">
      <c r="A562" s="249">
        <v>45115</v>
      </c>
      <c r="B562" s="237"/>
      <c r="C562" s="238"/>
      <c r="D562" s="239"/>
      <c r="E562" s="237">
        <v>1700</v>
      </c>
      <c r="F562" s="242" t="s">
        <v>14</v>
      </c>
      <c r="G562" s="239" t="s">
        <v>935</v>
      </c>
      <c r="H562" s="240">
        <f t="shared" si="8"/>
        <v>148412</v>
      </c>
      <c r="I562" s="241"/>
      <c r="J562" s="221" t="b">
        <f>EXACT(E563,[1]Main!E563)</f>
        <v>1</v>
      </c>
    </row>
    <row r="563" spans="1:10" x14ac:dyDescent="0.25">
      <c r="A563" s="249">
        <v>45115</v>
      </c>
      <c r="B563" s="237"/>
      <c r="C563" s="238"/>
      <c r="D563" s="239"/>
      <c r="E563" s="237">
        <v>85</v>
      </c>
      <c r="F563" s="242" t="s">
        <v>486</v>
      </c>
      <c r="G563" s="239" t="s">
        <v>930</v>
      </c>
      <c r="H563" s="240">
        <f t="shared" si="8"/>
        <v>148327</v>
      </c>
      <c r="I563" s="241"/>
      <c r="J563" s="221" t="b">
        <f>EXACT(E564,[1]Main!E564)</f>
        <v>1</v>
      </c>
    </row>
    <row r="564" spans="1:10" x14ac:dyDescent="0.25">
      <c r="A564" s="249">
        <v>45115</v>
      </c>
      <c r="B564" s="237"/>
      <c r="C564" s="238"/>
      <c r="D564" s="239"/>
      <c r="E564" s="237">
        <v>65</v>
      </c>
      <c r="F564" s="242" t="s">
        <v>370</v>
      </c>
      <c r="G564" s="239" t="s">
        <v>930</v>
      </c>
      <c r="H564" s="240">
        <f t="shared" si="8"/>
        <v>148262</v>
      </c>
      <c r="I564" s="241"/>
      <c r="J564" s="221" t="b">
        <f>EXACT(E565,[1]Main!E565)</f>
        <v>1</v>
      </c>
    </row>
    <row r="565" spans="1:10" x14ac:dyDescent="0.25">
      <c r="A565" s="249">
        <v>45115</v>
      </c>
      <c r="B565" s="237"/>
      <c r="C565" s="238"/>
      <c r="D565" s="239"/>
      <c r="E565" s="237">
        <v>5485</v>
      </c>
      <c r="F565" s="242" t="s">
        <v>859</v>
      </c>
      <c r="G565" s="239" t="s">
        <v>928</v>
      </c>
      <c r="H565" s="240">
        <f t="shared" si="8"/>
        <v>142777</v>
      </c>
      <c r="I565" s="241" t="s">
        <v>796</v>
      </c>
      <c r="J565" s="221" t="b">
        <f>EXACT(E566,[1]Main!E566)</f>
        <v>1</v>
      </c>
    </row>
    <row r="566" spans="1:10" x14ac:dyDescent="0.25">
      <c r="A566" s="249">
        <v>45115</v>
      </c>
      <c r="B566" s="237"/>
      <c r="C566" s="238"/>
      <c r="D566" s="239"/>
      <c r="E566" s="237">
        <v>2000</v>
      </c>
      <c r="F566" s="242" t="s">
        <v>848</v>
      </c>
      <c r="G566" s="239" t="s">
        <v>928</v>
      </c>
      <c r="H566" s="240">
        <f t="shared" si="8"/>
        <v>140777</v>
      </c>
      <c r="I566" s="241" t="s">
        <v>796</v>
      </c>
      <c r="J566" s="221" t="b">
        <f>EXACT(E567,[1]Main!E567)</f>
        <v>1</v>
      </c>
    </row>
    <row r="567" spans="1:10" x14ac:dyDescent="0.25">
      <c r="A567" s="249">
        <v>45115</v>
      </c>
      <c r="B567" s="237"/>
      <c r="C567" s="238"/>
      <c r="D567" s="239"/>
      <c r="E567" s="237">
        <v>16</v>
      </c>
      <c r="F567" s="242" t="s">
        <v>489</v>
      </c>
      <c r="G567" s="239" t="s">
        <v>464</v>
      </c>
      <c r="H567" s="240">
        <f t="shared" si="8"/>
        <v>140761</v>
      </c>
      <c r="I567" s="241"/>
      <c r="J567" s="221" t="b">
        <f>EXACT(E568,[1]Main!E568)</f>
        <v>1</v>
      </c>
    </row>
    <row r="568" spans="1:10" x14ac:dyDescent="0.25">
      <c r="A568" s="249">
        <v>45115</v>
      </c>
      <c r="B568" s="237"/>
      <c r="C568" s="238"/>
      <c r="D568" s="239"/>
      <c r="E568" s="237">
        <v>100</v>
      </c>
      <c r="F568" s="242" t="s">
        <v>376</v>
      </c>
      <c r="G568" s="239" t="s">
        <v>930</v>
      </c>
      <c r="H568" s="240">
        <f t="shared" si="8"/>
        <v>140661</v>
      </c>
      <c r="I568" s="241"/>
      <c r="J568" s="221" t="b">
        <f>EXACT(E569,[1]Main!E569)</f>
        <v>1</v>
      </c>
    </row>
    <row r="569" spans="1:10" x14ac:dyDescent="0.25">
      <c r="A569" s="249">
        <v>45115</v>
      </c>
      <c r="B569" s="237"/>
      <c r="C569" s="238"/>
      <c r="D569" s="239"/>
      <c r="E569" s="237">
        <v>100</v>
      </c>
      <c r="F569" s="242" t="s">
        <v>341</v>
      </c>
      <c r="G569" s="239" t="s">
        <v>930</v>
      </c>
      <c r="H569" s="240">
        <f t="shared" si="8"/>
        <v>140561</v>
      </c>
      <c r="I569" s="241"/>
      <c r="J569" s="221" t="b">
        <f>EXACT(E570,[1]Main!E570)</f>
        <v>1</v>
      </c>
    </row>
    <row r="570" spans="1:10" x14ac:dyDescent="0.25">
      <c r="A570" s="249">
        <v>45115</v>
      </c>
      <c r="B570" s="237"/>
      <c r="C570" s="238"/>
      <c r="D570" s="239"/>
      <c r="E570" s="237">
        <v>240</v>
      </c>
      <c r="F570" s="242" t="s">
        <v>7</v>
      </c>
      <c r="G570" s="239" t="s">
        <v>930</v>
      </c>
      <c r="H570" s="240">
        <f t="shared" si="8"/>
        <v>140321</v>
      </c>
      <c r="I570" s="241"/>
      <c r="J570" s="221" t="b">
        <f>EXACT(E571,[1]Main!E571)</f>
        <v>1</v>
      </c>
    </row>
    <row r="571" spans="1:10" x14ac:dyDescent="0.25">
      <c r="A571" s="249">
        <v>45115</v>
      </c>
      <c r="B571" s="237"/>
      <c r="C571" s="238"/>
      <c r="D571" s="239"/>
      <c r="E571" s="237">
        <v>10</v>
      </c>
      <c r="F571" s="242" t="s">
        <v>464</v>
      </c>
      <c r="G571" s="239" t="s">
        <v>464</v>
      </c>
      <c r="H571" s="240">
        <f t="shared" si="8"/>
        <v>140311</v>
      </c>
      <c r="I571" s="241" t="s">
        <v>501</v>
      </c>
      <c r="J571" s="221" t="b">
        <f>EXACT(E572,[1]Main!E572)</f>
        <v>1</v>
      </c>
    </row>
    <row r="572" spans="1:10" x14ac:dyDescent="0.25">
      <c r="A572" s="249">
        <v>45115</v>
      </c>
      <c r="B572" s="237"/>
      <c r="C572" s="238"/>
      <c r="D572" s="239"/>
      <c r="E572" s="237">
        <v>10</v>
      </c>
      <c r="F572" s="242" t="s">
        <v>464</v>
      </c>
      <c r="G572" s="239" t="s">
        <v>464</v>
      </c>
      <c r="H572" s="240">
        <f t="shared" si="8"/>
        <v>140301</v>
      </c>
      <c r="I572" s="241" t="s">
        <v>502</v>
      </c>
      <c r="J572" s="221" t="b">
        <f>EXACT(E573,[1]Main!E573)</f>
        <v>1</v>
      </c>
    </row>
    <row r="573" spans="1:10" x14ac:dyDescent="0.25">
      <c r="A573" s="249">
        <v>45115</v>
      </c>
      <c r="B573" s="237"/>
      <c r="C573" s="238"/>
      <c r="D573" s="239"/>
      <c r="E573" s="237">
        <v>374</v>
      </c>
      <c r="F573" s="242" t="s">
        <v>503</v>
      </c>
      <c r="G573" s="239" t="s">
        <v>928</v>
      </c>
      <c r="H573" s="240">
        <f t="shared" si="8"/>
        <v>139927</v>
      </c>
      <c r="I573" s="242"/>
      <c r="J573" s="221" t="b">
        <f>EXACT(E574,[1]Main!E574)</f>
        <v>1</v>
      </c>
    </row>
    <row r="574" spans="1:10" x14ac:dyDescent="0.25">
      <c r="A574" s="249">
        <v>45115</v>
      </c>
      <c r="B574" s="237"/>
      <c r="C574" s="238"/>
      <c r="D574" s="239"/>
      <c r="E574" s="237">
        <v>620</v>
      </c>
      <c r="F574" s="242" t="s">
        <v>79</v>
      </c>
      <c r="G574" s="239" t="s">
        <v>929</v>
      </c>
      <c r="H574" s="240">
        <f t="shared" si="8"/>
        <v>139307</v>
      </c>
      <c r="I574" s="241"/>
      <c r="J574" s="221" t="b">
        <f>EXACT(E575,[1]Main!E575)</f>
        <v>1</v>
      </c>
    </row>
    <row r="575" spans="1:10" x14ac:dyDescent="0.25">
      <c r="A575" s="249">
        <v>45115</v>
      </c>
      <c r="B575" s="237"/>
      <c r="C575" s="238"/>
      <c r="D575" s="239"/>
      <c r="E575" s="237">
        <v>720</v>
      </c>
      <c r="F575" s="242" t="s">
        <v>504</v>
      </c>
      <c r="G575" s="239" t="s">
        <v>928</v>
      </c>
      <c r="H575" s="240">
        <f t="shared" si="8"/>
        <v>138587</v>
      </c>
      <c r="I575" s="241"/>
      <c r="J575" s="221" t="b">
        <f>EXACT(E576,[1]Main!E576)</f>
        <v>1</v>
      </c>
    </row>
    <row r="576" spans="1:10" x14ac:dyDescent="0.25">
      <c r="A576" s="249">
        <v>45115</v>
      </c>
      <c r="B576" s="237"/>
      <c r="C576" s="238"/>
      <c r="D576" s="239"/>
      <c r="E576" s="237">
        <v>1340</v>
      </c>
      <c r="F576" s="242" t="s">
        <v>505</v>
      </c>
      <c r="G576" s="239" t="s">
        <v>928</v>
      </c>
      <c r="H576" s="240">
        <f t="shared" si="8"/>
        <v>137247</v>
      </c>
      <c r="I576" s="241"/>
      <c r="J576" s="221" t="b">
        <f>EXACT(E577,[1]Main!E577)</f>
        <v>1</v>
      </c>
    </row>
    <row r="577" spans="1:10" x14ac:dyDescent="0.25">
      <c r="A577" s="249">
        <v>45115</v>
      </c>
      <c r="B577" s="237"/>
      <c r="C577" s="238"/>
      <c r="D577" s="239"/>
      <c r="E577" s="237">
        <v>285</v>
      </c>
      <c r="F577" s="242" t="s">
        <v>506</v>
      </c>
      <c r="G577" s="239" t="s">
        <v>929</v>
      </c>
      <c r="H577" s="240">
        <f t="shared" si="8"/>
        <v>136962</v>
      </c>
      <c r="I577" s="241"/>
      <c r="J577" s="221" t="b">
        <f>EXACT(E578,[1]Main!E578)</f>
        <v>1</v>
      </c>
    </row>
    <row r="578" spans="1:10" x14ac:dyDescent="0.25">
      <c r="A578" s="249">
        <v>45115</v>
      </c>
      <c r="B578" s="237"/>
      <c r="C578" s="238"/>
      <c r="D578" s="239"/>
      <c r="E578" s="237">
        <v>1445</v>
      </c>
      <c r="F578" s="242" t="s">
        <v>45</v>
      </c>
      <c r="G578" s="239" t="s">
        <v>928</v>
      </c>
      <c r="H578" s="240">
        <f t="shared" si="8"/>
        <v>135517</v>
      </c>
      <c r="I578" s="241"/>
      <c r="J578" s="221" t="b">
        <f>EXACT(E579,[1]Main!E579)</f>
        <v>1</v>
      </c>
    </row>
    <row r="579" spans="1:10" x14ac:dyDescent="0.25">
      <c r="A579" s="249">
        <v>45115</v>
      </c>
      <c r="B579" s="237"/>
      <c r="C579" s="238"/>
      <c r="D579" s="239"/>
      <c r="E579" s="237">
        <v>840</v>
      </c>
      <c r="F579" s="242" t="s">
        <v>6</v>
      </c>
      <c r="G579" s="239" t="s">
        <v>930</v>
      </c>
      <c r="H579" s="240">
        <f t="shared" si="8"/>
        <v>134677</v>
      </c>
      <c r="I579" s="241"/>
      <c r="J579" s="221" t="b">
        <f>EXACT(E580,[1]Main!E580)</f>
        <v>1</v>
      </c>
    </row>
    <row r="580" spans="1:10" x14ac:dyDescent="0.25">
      <c r="A580" s="249">
        <v>45115</v>
      </c>
      <c r="B580" s="237"/>
      <c r="C580" s="238"/>
      <c r="D580" s="239"/>
      <c r="E580" s="237">
        <v>200</v>
      </c>
      <c r="F580" s="242" t="s">
        <v>464</v>
      </c>
      <c r="G580" s="239" t="s">
        <v>464</v>
      </c>
      <c r="H580" s="240">
        <f t="shared" si="8"/>
        <v>134477</v>
      </c>
      <c r="I580" s="241" t="s">
        <v>507</v>
      </c>
      <c r="J580" s="221" t="b">
        <f>EXACT(E581,[1]Main!E581)</f>
        <v>1</v>
      </c>
    </row>
    <row r="581" spans="1:10" x14ac:dyDescent="0.25">
      <c r="A581" s="249">
        <v>45115</v>
      </c>
      <c r="B581" s="237"/>
      <c r="C581" s="238"/>
      <c r="D581" s="239"/>
      <c r="E581" s="237">
        <v>1568</v>
      </c>
      <c r="F581" s="242" t="s">
        <v>358</v>
      </c>
      <c r="G581" s="239" t="s">
        <v>938</v>
      </c>
      <c r="H581" s="240">
        <f t="shared" si="8"/>
        <v>132909</v>
      </c>
      <c r="I581" s="242" t="s">
        <v>508</v>
      </c>
      <c r="J581" s="221" t="b">
        <f>EXACT(E582,[1]Main!E582)</f>
        <v>1</v>
      </c>
    </row>
    <row r="582" spans="1:10" x14ac:dyDescent="0.25">
      <c r="A582" s="249">
        <v>45115</v>
      </c>
      <c r="B582" s="237"/>
      <c r="C582" s="238"/>
      <c r="D582" s="239"/>
      <c r="E582" s="237">
        <v>46</v>
      </c>
      <c r="F582" s="242" t="s">
        <v>212</v>
      </c>
      <c r="G582" s="239" t="s">
        <v>464</v>
      </c>
      <c r="H582" s="240">
        <f t="shared" si="8"/>
        <v>132863</v>
      </c>
      <c r="I582" s="241"/>
      <c r="J582" s="221" t="b">
        <f>EXACT(E583,[1]Main!E583)</f>
        <v>1</v>
      </c>
    </row>
    <row r="583" spans="1:10" x14ac:dyDescent="0.25">
      <c r="A583" s="249">
        <v>45115</v>
      </c>
      <c r="B583" s="237"/>
      <c r="C583" s="238"/>
      <c r="D583" s="239"/>
      <c r="E583" s="237">
        <v>2000</v>
      </c>
      <c r="F583" s="242" t="s">
        <v>509</v>
      </c>
      <c r="G583" s="239" t="s">
        <v>931</v>
      </c>
      <c r="H583" s="240">
        <f t="shared" ref="H583:H646" si="9">H582+B583-E583</f>
        <v>130863</v>
      </c>
      <c r="I583" s="241"/>
      <c r="J583" s="221" t="b">
        <f>EXACT(E584,[1]Main!E584)</f>
        <v>1</v>
      </c>
    </row>
    <row r="584" spans="1:10" x14ac:dyDescent="0.25">
      <c r="A584" s="249">
        <v>45115</v>
      </c>
      <c r="B584" s="237"/>
      <c r="C584" s="238"/>
      <c r="D584" s="239"/>
      <c r="E584" s="237">
        <v>225</v>
      </c>
      <c r="F584" s="242" t="s">
        <v>210</v>
      </c>
      <c r="G584" s="239" t="s">
        <v>930</v>
      </c>
      <c r="H584" s="240">
        <f t="shared" si="9"/>
        <v>130638</v>
      </c>
      <c r="I584" s="241"/>
      <c r="J584" s="221" t="b">
        <f>EXACT(E585,[1]Main!E585)</f>
        <v>1</v>
      </c>
    </row>
    <row r="585" spans="1:10" x14ac:dyDescent="0.25">
      <c r="A585" s="249">
        <v>45115</v>
      </c>
      <c r="B585" s="237"/>
      <c r="C585" s="238"/>
      <c r="D585" s="239"/>
      <c r="E585" s="237">
        <v>520</v>
      </c>
      <c r="F585" s="242" t="s">
        <v>510</v>
      </c>
      <c r="G585" s="239" t="s">
        <v>930</v>
      </c>
      <c r="H585" s="240">
        <f t="shared" si="9"/>
        <v>130118</v>
      </c>
      <c r="I585" s="241"/>
      <c r="J585" s="221" t="b">
        <f>EXACT(E586,[1]Main!E586)</f>
        <v>1</v>
      </c>
    </row>
    <row r="586" spans="1:10" x14ac:dyDescent="0.25">
      <c r="A586" s="249">
        <v>45115</v>
      </c>
      <c r="B586" s="237"/>
      <c r="C586" s="238"/>
      <c r="D586" s="239"/>
      <c r="E586" s="237">
        <v>240</v>
      </c>
      <c r="F586" s="242" t="s">
        <v>255</v>
      </c>
      <c r="G586" s="239" t="s">
        <v>930</v>
      </c>
      <c r="H586" s="240">
        <f t="shared" si="9"/>
        <v>129878</v>
      </c>
      <c r="I586" s="241"/>
      <c r="J586" s="221" t="b">
        <f>EXACT(E587,[1]Main!E587)</f>
        <v>1</v>
      </c>
    </row>
    <row r="587" spans="1:10" x14ac:dyDescent="0.25">
      <c r="A587" s="249">
        <v>45115</v>
      </c>
      <c r="B587" s="237"/>
      <c r="C587" s="238"/>
      <c r="D587" s="239"/>
      <c r="E587" s="237">
        <v>80</v>
      </c>
      <c r="F587" s="242" t="s">
        <v>89</v>
      </c>
      <c r="G587" s="239" t="s">
        <v>930</v>
      </c>
      <c r="H587" s="240">
        <f t="shared" si="9"/>
        <v>129798</v>
      </c>
      <c r="I587" s="241"/>
      <c r="J587" s="221" t="b">
        <f>EXACT(E588,[1]Main!E588)</f>
        <v>1</v>
      </c>
    </row>
    <row r="588" spans="1:10" x14ac:dyDescent="0.25">
      <c r="A588" s="249">
        <v>45115</v>
      </c>
      <c r="B588" s="237"/>
      <c r="C588" s="238"/>
      <c r="D588" s="239"/>
      <c r="E588" s="237">
        <v>120</v>
      </c>
      <c r="F588" s="242" t="s">
        <v>39</v>
      </c>
      <c r="G588" s="239" t="s">
        <v>930</v>
      </c>
      <c r="H588" s="240">
        <f t="shared" si="9"/>
        <v>129678</v>
      </c>
      <c r="I588" s="241"/>
      <c r="J588" s="221" t="b">
        <f>EXACT(E589,[1]Main!E589)</f>
        <v>1</v>
      </c>
    </row>
    <row r="589" spans="1:10" x14ac:dyDescent="0.25">
      <c r="A589" s="249">
        <v>45115</v>
      </c>
      <c r="B589" s="237"/>
      <c r="C589" s="238"/>
      <c r="D589" s="239"/>
      <c r="E589" s="237">
        <v>75</v>
      </c>
      <c r="F589" s="242" t="s">
        <v>26</v>
      </c>
      <c r="G589" s="239" t="s">
        <v>930</v>
      </c>
      <c r="H589" s="240">
        <f t="shared" si="9"/>
        <v>129603</v>
      </c>
      <c r="I589" s="241"/>
      <c r="J589" s="221" t="b">
        <f>EXACT(E590,[1]Main!E590)</f>
        <v>1</v>
      </c>
    </row>
    <row r="590" spans="1:10" x14ac:dyDescent="0.25">
      <c r="A590" s="249">
        <v>45115</v>
      </c>
      <c r="B590" s="237"/>
      <c r="C590" s="238"/>
      <c r="D590" s="239"/>
      <c r="E590" s="237">
        <v>50</v>
      </c>
      <c r="F590" s="242" t="s">
        <v>464</v>
      </c>
      <c r="G590" s="239" t="s">
        <v>464</v>
      </c>
      <c r="H590" s="240">
        <f t="shared" si="9"/>
        <v>129553</v>
      </c>
      <c r="I590" s="241" t="s">
        <v>491</v>
      </c>
      <c r="J590" s="221" t="b">
        <f>EXACT(E591,[1]Main!E591)</f>
        <v>1</v>
      </c>
    </row>
    <row r="591" spans="1:10" x14ac:dyDescent="0.25">
      <c r="A591" s="249">
        <v>45115</v>
      </c>
      <c r="B591" s="237"/>
      <c r="C591" s="238"/>
      <c r="D591" s="239"/>
      <c r="E591" s="237">
        <v>60</v>
      </c>
      <c r="F591" s="242" t="s">
        <v>492</v>
      </c>
      <c r="G591" s="239" t="s">
        <v>464</v>
      </c>
      <c r="H591" s="240">
        <f t="shared" si="9"/>
        <v>129493</v>
      </c>
      <c r="I591" s="241"/>
      <c r="J591" s="221" t="b">
        <f>EXACT(E592,[1]Main!E592)</f>
        <v>1</v>
      </c>
    </row>
    <row r="592" spans="1:10" x14ac:dyDescent="0.25">
      <c r="A592" s="249">
        <v>45115</v>
      </c>
      <c r="B592" s="237"/>
      <c r="C592" s="238"/>
      <c r="D592" s="239"/>
      <c r="E592" s="237">
        <v>36</v>
      </c>
      <c r="F592" s="242" t="s">
        <v>493</v>
      </c>
      <c r="G592" s="239" t="s">
        <v>929</v>
      </c>
      <c r="H592" s="240">
        <f t="shared" si="9"/>
        <v>129457</v>
      </c>
      <c r="I592" s="241"/>
      <c r="J592" s="221" t="b">
        <f>EXACT(E593,[1]Main!E593)</f>
        <v>1</v>
      </c>
    </row>
    <row r="593" spans="1:10" x14ac:dyDescent="0.25">
      <c r="A593" s="249">
        <v>45115</v>
      </c>
      <c r="B593" s="237"/>
      <c r="C593" s="238"/>
      <c r="D593" s="239"/>
      <c r="E593" s="237">
        <v>30</v>
      </c>
      <c r="F593" s="242" t="s">
        <v>458</v>
      </c>
      <c r="G593" s="239" t="s">
        <v>464</v>
      </c>
      <c r="H593" s="240">
        <f t="shared" si="9"/>
        <v>129427</v>
      </c>
      <c r="I593" s="241"/>
      <c r="J593" s="221" t="b">
        <f>EXACT(E594,[1]Main!E594)</f>
        <v>1</v>
      </c>
    </row>
    <row r="594" spans="1:10" x14ac:dyDescent="0.25">
      <c r="A594" s="249">
        <v>45115</v>
      </c>
      <c r="B594" s="237"/>
      <c r="C594" s="238"/>
      <c r="D594" s="239"/>
      <c r="E594" s="237">
        <v>100</v>
      </c>
      <c r="F594" s="242" t="s">
        <v>494</v>
      </c>
      <c r="G594" s="239" t="s">
        <v>930</v>
      </c>
      <c r="H594" s="240">
        <f t="shared" si="9"/>
        <v>129327</v>
      </c>
      <c r="I594" s="241"/>
      <c r="J594" s="221" t="b">
        <f>EXACT(E595,[1]Main!E595)</f>
        <v>1</v>
      </c>
    </row>
    <row r="595" spans="1:10" x14ac:dyDescent="0.25">
      <c r="A595" s="249">
        <v>45115</v>
      </c>
      <c r="B595" s="237"/>
      <c r="C595" s="238"/>
      <c r="D595" s="239"/>
      <c r="E595" s="237">
        <v>205</v>
      </c>
      <c r="F595" s="242" t="s">
        <v>464</v>
      </c>
      <c r="G595" s="239" t="s">
        <v>464</v>
      </c>
      <c r="H595" s="240">
        <f t="shared" si="9"/>
        <v>129122</v>
      </c>
      <c r="I595" s="241" t="s">
        <v>495</v>
      </c>
      <c r="J595" s="221" t="b">
        <f>EXACT(E596,[1]Main!E596)</f>
        <v>1</v>
      </c>
    </row>
    <row r="596" spans="1:10" x14ac:dyDescent="0.25">
      <c r="A596" s="249">
        <v>45115</v>
      </c>
      <c r="B596" s="237"/>
      <c r="C596" s="238"/>
      <c r="D596" s="239"/>
      <c r="E596" s="237">
        <v>3550</v>
      </c>
      <c r="F596" s="242" t="s">
        <v>499</v>
      </c>
      <c r="G596" s="239" t="s">
        <v>928</v>
      </c>
      <c r="H596" s="240">
        <f t="shared" si="9"/>
        <v>125572</v>
      </c>
      <c r="I596" s="241"/>
      <c r="J596" s="221" t="b">
        <f>EXACT(E597,[1]Main!E597)</f>
        <v>1</v>
      </c>
    </row>
    <row r="597" spans="1:10" x14ac:dyDescent="0.25">
      <c r="A597" s="249">
        <v>45115</v>
      </c>
      <c r="B597" s="237"/>
      <c r="C597" s="238"/>
      <c r="D597" s="239"/>
      <c r="E597" s="237">
        <v>455</v>
      </c>
      <c r="F597" s="242" t="s">
        <v>496</v>
      </c>
      <c r="G597" s="239" t="s">
        <v>928</v>
      </c>
      <c r="H597" s="240">
        <f t="shared" si="9"/>
        <v>125117</v>
      </c>
      <c r="I597" s="241"/>
      <c r="J597" s="221" t="b">
        <f>EXACT(E598,[1]Main!E598)</f>
        <v>1</v>
      </c>
    </row>
    <row r="598" spans="1:10" x14ac:dyDescent="0.25">
      <c r="A598" s="249">
        <v>45115</v>
      </c>
      <c r="B598" s="237"/>
      <c r="C598" s="238"/>
      <c r="D598" s="239"/>
      <c r="E598" s="237">
        <v>160</v>
      </c>
      <c r="F598" s="242" t="s">
        <v>497</v>
      </c>
      <c r="G598" s="239" t="s">
        <v>928</v>
      </c>
      <c r="H598" s="240">
        <f t="shared" si="9"/>
        <v>124957</v>
      </c>
      <c r="I598" s="241"/>
      <c r="J598" s="221" t="b">
        <f>EXACT(E599,[1]Main!E599)</f>
        <v>1</v>
      </c>
    </row>
    <row r="599" spans="1:10" x14ac:dyDescent="0.25">
      <c r="A599" s="249">
        <v>45115</v>
      </c>
      <c r="B599" s="237"/>
      <c r="C599" s="238"/>
      <c r="D599" s="239"/>
      <c r="E599" s="237">
        <v>3346</v>
      </c>
      <c r="F599" s="242" t="s">
        <v>20</v>
      </c>
      <c r="G599" s="239" t="s">
        <v>928</v>
      </c>
      <c r="H599" s="240">
        <f t="shared" si="9"/>
        <v>121611</v>
      </c>
      <c r="I599" s="241"/>
      <c r="J599" s="221" t="b">
        <f>EXACT(E600,[1]Main!E600)</f>
        <v>1</v>
      </c>
    </row>
    <row r="600" spans="1:10" x14ac:dyDescent="0.25">
      <c r="A600" s="249">
        <v>45115</v>
      </c>
      <c r="B600" s="237"/>
      <c r="C600" s="238"/>
      <c r="D600" s="239"/>
      <c r="E600" s="237">
        <v>190</v>
      </c>
      <c r="F600" s="242" t="s">
        <v>15</v>
      </c>
      <c r="G600" s="239" t="s">
        <v>930</v>
      </c>
      <c r="H600" s="240">
        <f t="shared" si="9"/>
        <v>121421</v>
      </c>
      <c r="I600" s="241"/>
      <c r="J600" s="221" t="b">
        <f>EXACT(E601,[1]Main!E601)</f>
        <v>1</v>
      </c>
    </row>
    <row r="601" spans="1:10" x14ac:dyDescent="0.25">
      <c r="A601" s="249">
        <v>45115</v>
      </c>
      <c r="B601" s="237"/>
      <c r="C601" s="238"/>
      <c r="D601" s="239"/>
      <c r="E601" s="237">
        <v>185</v>
      </c>
      <c r="F601" s="242" t="s">
        <v>498</v>
      </c>
      <c r="G601" s="239" t="s">
        <v>930</v>
      </c>
      <c r="H601" s="240">
        <f t="shared" si="9"/>
        <v>121236</v>
      </c>
      <c r="I601" s="241"/>
      <c r="J601" s="221" t="b">
        <f>EXACT(E602,[1]Main!E602)</f>
        <v>1</v>
      </c>
    </row>
    <row r="602" spans="1:10" x14ac:dyDescent="0.25">
      <c r="A602" s="249">
        <v>45115</v>
      </c>
      <c r="B602" s="237"/>
      <c r="C602" s="238"/>
      <c r="D602" s="239"/>
      <c r="E602" s="237">
        <v>185</v>
      </c>
      <c r="F602" s="242" t="s">
        <v>86</v>
      </c>
      <c r="G602" s="239" t="s">
        <v>930</v>
      </c>
      <c r="H602" s="240">
        <f t="shared" si="9"/>
        <v>121051</v>
      </c>
      <c r="I602" s="241"/>
      <c r="J602" s="221" t="b">
        <f>EXACT(E603,[1]Main!E603)</f>
        <v>1</v>
      </c>
    </row>
    <row r="603" spans="1:10" x14ac:dyDescent="0.25">
      <c r="A603" s="249">
        <v>45115</v>
      </c>
      <c r="B603" s="237"/>
      <c r="C603" s="238"/>
      <c r="D603" s="239"/>
      <c r="E603" s="237">
        <v>2130</v>
      </c>
      <c r="F603" s="242" t="s">
        <v>785</v>
      </c>
      <c r="G603" s="239" t="s">
        <v>928</v>
      </c>
      <c r="H603" s="240">
        <f t="shared" si="9"/>
        <v>118921</v>
      </c>
      <c r="I603" s="241" t="s">
        <v>860</v>
      </c>
      <c r="J603" s="221" t="b">
        <f>EXACT(E604,[1]Main!E604)</f>
        <v>1</v>
      </c>
    </row>
    <row r="604" spans="1:10" x14ac:dyDescent="0.25">
      <c r="A604" s="249">
        <v>45115</v>
      </c>
      <c r="B604" s="237"/>
      <c r="C604" s="238"/>
      <c r="D604" s="239"/>
      <c r="E604" s="237">
        <v>605</v>
      </c>
      <c r="F604" s="242" t="s">
        <v>804</v>
      </c>
      <c r="G604" s="239" t="s">
        <v>930</v>
      </c>
      <c r="H604" s="240">
        <f t="shared" si="9"/>
        <v>118316</v>
      </c>
      <c r="I604" s="241" t="s">
        <v>861</v>
      </c>
      <c r="J604" s="221" t="b">
        <f>EXACT(E605,[1]Main!E605)</f>
        <v>1</v>
      </c>
    </row>
    <row r="605" spans="1:10" x14ac:dyDescent="0.25">
      <c r="A605" s="249">
        <v>45115</v>
      </c>
      <c r="B605" s="237"/>
      <c r="C605" s="238"/>
      <c r="D605" s="239"/>
      <c r="E605" s="237">
        <v>200</v>
      </c>
      <c r="F605" s="242" t="s">
        <v>511</v>
      </c>
      <c r="G605" s="239" t="s">
        <v>931</v>
      </c>
      <c r="H605" s="240">
        <f t="shared" si="9"/>
        <v>118116</v>
      </c>
      <c r="I605" s="241"/>
      <c r="J605" s="221" t="b">
        <f>EXACT(E606,[1]Main!E606)</f>
        <v>1</v>
      </c>
    </row>
    <row r="606" spans="1:10" x14ac:dyDescent="0.25">
      <c r="A606" s="249">
        <v>45115</v>
      </c>
      <c r="B606" s="237"/>
      <c r="C606" s="238"/>
      <c r="D606" s="239"/>
      <c r="E606" s="237">
        <v>15</v>
      </c>
      <c r="F606" s="242" t="s">
        <v>500</v>
      </c>
      <c r="G606" s="239" t="s">
        <v>931</v>
      </c>
      <c r="H606" s="240">
        <f t="shared" si="9"/>
        <v>118101</v>
      </c>
      <c r="I606" s="241"/>
      <c r="J606" s="221" t="b">
        <f>EXACT(E607,[1]Main!E607)</f>
        <v>1</v>
      </c>
    </row>
    <row r="607" spans="1:10" x14ac:dyDescent="0.25">
      <c r="A607" s="249">
        <v>45115</v>
      </c>
      <c r="B607" s="237"/>
      <c r="C607" s="238"/>
      <c r="D607" s="239"/>
      <c r="E607" s="237">
        <v>50</v>
      </c>
      <c r="F607" s="242" t="s">
        <v>408</v>
      </c>
      <c r="G607" s="239" t="s">
        <v>931</v>
      </c>
      <c r="H607" s="240">
        <f t="shared" si="9"/>
        <v>118051</v>
      </c>
      <c r="I607" s="241"/>
      <c r="J607" s="221" t="b">
        <f>EXACT(E608,[1]Main!E608)</f>
        <v>1</v>
      </c>
    </row>
    <row r="608" spans="1:10" x14ac:dyDescent="0.25">
      <c r="A608" s="249">
        <v>45115</v>
      </c>
      <c r="B608" s="237"/>
      <c r="C608" s="238"/>
      <c r="D608" s="239"/>
      <c r="E608" s="237">
        <v>7350</v>
      </c>
      <c r="F608" s="242" t="s">
        <v>74</v>
      </c>
      <c r="G608" s="239" t="s">
        <v>464</v>
      </c>
      <c r="H608" s="240">
        <f t="shared" si="9"/>
        <v>110701</v>
      </c>
      <c r="I608" s="241" t="s">
        <v>862</v>
      </c>
      <c r="J608" s="221" t="b">
        <f>EXACT(E609,[1]Main!E609)</f>
        <v>1</v>
      </c>
    </row>
    <row r="609" spans="1:10" x14ac:dyDescent="0.25">
      <c r="A609" s="249">
        <v>45115</v>
      </c>
      <c r="B609" s="237"/>
      <c r="C609" s="238"/>
      <c r="D609" s="239"/>
      <c r="E609" s="237">
        <v>1300</v>
      </c>
      <c r="F609" s="242" t="s">
        <v>961</v>
      </c>
      <c r="G609" s="239" t="s">
        <v>962</v>
      </c>
      <c r="H609" s="240">
        <f t="shared" si="9"/>
        <v>109401</v>
      </c>
      <c r="I609" s="241"/>
      <c r="J609" s="221" t="b">
        <f>EXACT(E610,[1]Main!E610)</f>
        <v>1</v>
      </c>
    </row>
    <row r="610" spans="1:10" x14ac:dyDescent="0.25">
      <c r="A610" s="249">
        <v>45115</v>
      </c>
      <c r="B610" s="237"/>
      <c r="C610" s="238"/>
      <c r="D610" s="239"/>
      <c r="E610" s="237">
        <v>90</v>
      </c>
      <c r="F610" s="242" t="s">
        <v>27</v>
      </c>
      <c r="G610" s="239" t="s">
        <v>943</v>
      </c>
      <c r="H610" s="240">
        <f t="shared" si="9"/>
        <v>109311</v>
      </c>
      <c r="I610" s="241"/>
      <c r="J610" s="221" t="b">
        <f>EXACT(E611,[1]Main!E611)</f>
        <v>1</v>
      </c>
    </row>
    <row r="611" spans="1:10" x14ac:dyDescent="0.25">
      <c r="A611" s="249">
        <v>45115</v>
      </c>
      <c r="B611" s="237"/>
      <c r="C611" s="238"/>
      <c r="D611" s="239"/>
      <c r="E611" s="237">
        <v>276</v>
      </c>
      <c r="F611" s="242" t="s">
        <v>458</v>
      </c>
      <c r="G611" s="239" t="s">
        <v>464</v>
      </c>
      <c r="H611" s="240">
        <f t="shared" si="9"/>
        <v>109035</v>
      </c>
      <c r="I611" s="241"/>
      <c r="J611" s="221" t="b">
        <f>EXACT(E612,[1]Main!E612)</f>
        <v>1</v>
      </c>
    </row>
    <row r="612" spans="1:10" x14ac:dyDescent="0.25">
      <c r="A612" s="249">
        <v>45115</v>
      </c>
      <c r="B612" s="237"/>
      <c r="C612" s="238"/>
      <c r="D612" s="239"/>
      <c r="E612" s="237">
        <v>20</v>
      </c>
      <c r="F612" s="242" t="s">
        <v>475</v>
      </c>
      <c r="G612" s="239" t="s">
        <v>941</v>
      </c>
      <c r="H612" s="240">
        <f t="shared" si="9"/>
        <v>109015</v>
      </c>
      <c r="I612" s="241"/>
      <c r="J612" s="221" t="b">
        <f>EXACT(E613,[1]Main!E613)</f>
        <v>1</v>
      </c>
    </row>
    <row r="613" spans="1:10" x14ac:dyDescent="0.25">
      <c r="A613" s="249">
        <v>45115</v>
      </c>
      <c r="B613" s="237"/>
      <c r="C613" s="238"/>
      <c r="D613" s="239"/>
      <c r="E613" s="237">
        <v>5625</v>
      </c>
      <c r="F613" s="242" t="s">
        <v>513</v>
      </c>
      <c r="G613" s="239" t="s">
        <v>464</v>
      </c>
      <c r="H613" s="240">
        <f t="shared" si="9"/>
        <v>103390</v>
      </c>
      <c r="I613" s="241"/>
      <c r="J613" s="221" t="b">
        <f>EXACT(E614,[1]Main!E614)</f>
        <v>1</v>
      </c>
    </row>
    <row r="614" spans="1:10" x14ac:dyDescent="0.25">
      <c r="A614" s="249">
        <v>45115</v>
      </c>
      <c r="B614" s="237"/>
      <c r="C614" s="238"/>
      <c r="D614" s="239"/>
      <c r="E614" s="237">
        <v>900</v>
      </c>
      <c r="F614" s="242" t="s">
        <v>472</v>
      </c>
      <c r="G614" s="239" t="s">
        <v>464</v>
      </c>
      <c r="H614" s="240">
        <f t="shared" si="9"/>
        <v>102490</v>
      </c>
      <c r="I614" s="241"/>
      <c r="J614" s="221" t="b">
        <f>EXACT(E615,[1]Main!E615)</f>
        <v>1</v>
      </c>
    </row>
    <row r="615" spans="1:10" x14ac:dyDescent="0.25">
      <c r="A615" s="249">
        <v>45115</v>
      </c>
      <c r="B615" s="237"/>
      <c r="C615" s="238"/>
      <c r="D615" s="239"/>
      <c r="E615" s="237">
        <v>100000</v>
      </c>
      <c r="F615" s="242" t="s">
        <v>358</v>
      </c>
      <c r="G615" s="239" t="s">
        <v>938</v>
      </c>
      <c r="H615" s="240">
        <f t="shared" si="9"/>
        <v>2490</v>
      </c>
      <c r="I615" s="241"/>
      <c r="J615" s="221" t="b">
        <f>EXACT(E616,[1]Main!E616)</f>
        <v>1</v>
      </c>
    </row>
    <row r="616" spans="1:10" x14ac:dyDescent="0.25">
      <c r="A616" s="244">
        <v>45115</v>
      </c>
      <c r="B616" s="245"/>
      <c r="C616" s="246"/>
      <c r="D616" s="247"/>
      <c r="E616" s="245">
        <v>1475</v>
      </c>
      <c r="F616" s="248" t="s">
        <v>537</v>
      </c>
      <c r="G616" s="247" t="s">
        <v>464</v>
      </c>
      <c r="H616" s="240">
        <f t="shared" si="9"/>
        <v>1015</v>
      </c>
      <c r="I616" s="241"/>
      <c r="J616" s="221" t="b">
        <f>EXACT(E617,[1]Main!E617)</f>
        <v>1</v>
      </c>
    </row>
    <row r="617" spans="1:10" x14ac:dyDescent="0.25">
      <c r="A617" s="249">
        <v>45116</v>
      </c>
      <c r="B617" s="237">
        <v>20000</v>
      </c>
      <c r="C617" s="238" t="s">
        <v>863</v>
      </c>
      <c r="D617" s="239" t="s">
        <v>771</v>
      </c>
      <c r="E617" s="237">
        <v>4770</v>
      </c>
      <c r="F617" s="242" t="s">
        <v>520</v>
      </c>
      <c r="G617" s="239" t="s">
        <v>928</v>
      </c>
      <c r="H617" s="240">
        <f t="shared" si="9"/>
        <v>16245</v>
      </c>
      <c r="I617" s="241"/>
      <c r="J617" s="221" t="b">
        <f>EXACT(E618,[1]Main!E618)</f>
        <v>1</v>
      </c>
    </row>
    <row r="618" spans="1:10" x14ac:dyDescent="0.25">
      <c r="A618" s="249">
        <v>45116</v>
      </c>
      <c r="B618" s="237">
        <v>18450</v>
      </c>
      <c r="C618" s="238" t="s">
        <v>358</v>
      </c>
      <c r="D618" s="239" t="s">
        <v>938</v>
      </c>
      <c r="E618" s="237">
        <v>2220</v>
      </c>
      <c r="F618" s="242" t="s">
        <v>519</v>
      </c>
      <c r="G618" s="239" t="s">
        <v>928</v>
      </c>
      <c r="H618" s="240">
        <f t="shared" si="9"/>
        <v>32475</v>
      </c>
      <c r="I618" s="241"/>
      <c r="J618" s="221" t="b">
        <f>EXACT(E619,[1]Main!E619)</f>
        <v>1</v>
      </c>
    </row>
    <row r="619" spans="1:10" x14ac:dyDescent="0.25">
      <c r="A619" s="249">
        <v>45116</v>
      </c>
      <c r="B619" s="237">
        <v>9150</v>
      </c>
      <c r="C619" s="238" t="s">
        <v>9</v>
      </c>
      <c r="D619" s="239" t="s">
        <v>763</v>
      </c>
      <c r="E619" s="237">
        <v>2300</v>
      </c>
      <c r="F619" s="242" t="s">
        <v>464</v>
      </c>
      <c r="G619" s="239" t="s">
        <v>464</v>
      </c>
      <c r="H619" s="240">
        <f t="shared" si="9"/>
        <v>39325</v>
      </c>
      <c r="I619" s="241"/>
      <c r="J619" s="221" t="b">
        <f>EXACT(E620,[1]Main!E620)</f>
        <v>1</v>
      </c>
    </row>
    <row r="620" spans="1:10" x14ac:dyDescent="0.25">
      <c r="A620" s="249">
        <v>45116</v>
      </c>
      <c r="B620" s="237">
        <v>13899</v>
      </c>
      <c r="C620" s="238" t="s">
        <v>80</v>
      </c>
      <c r="D620" s="239" t="s">
        <v>763</v>
      </c>
      <c r="E620" s="237">
        <v>790</v>
      </c>
      <c r="F620" s="242" t="s">
        <v>781</v>
      </c>
      <c r="G620" s="239" t="s">
        <v>928</v>
      </c>
      <c r="H620" s="240">
        <f t="shared" si="9"/>
        <v>52434</v>
      </c>
      <c r="I620" s="241" t="s">
        <v>864</v>
      </c>
      <c r="J620" s="221" t="b">
        <f>EXACT(E621,[1]Main!E621)</f>
        <v>1</v>
      </c>
    </row>
    <row r="621" spans="1:10" x14ac:dyDescent="0.25">
      <c r="A621" s="249">
        <v>45116</v>
      </c>
      <c r="B621" s="237">
        <v>1427</v>
      </c>
      <c r="C621" s="238" t="s">
        <v>81</v>
      </c>
      <c r="D621" s="239" t="s">
        <v>765</v>
      </c>
      <c r="E621" s="237">
        <v>5100</v>
      </c>
      <c r="F621" s="242" t="s">
        <v>517</v>
      </c>
      <c r="G621" s="239" t="s">
        <v>928</v>
      </c>
      <c r="H621" s="240">
        <f t="shared" si="9"/>
        <v>48761</v>
      </c>
      <c r="I621" s="241" t="s">
        <v>865</v>
      </c>
      <c r="J621" s="221" t="b">
        <f>EXACT(E622,[1]Main!E622)</f>
        <v>1</v>
      </c>
    </row>
    <row r="622" spans="1:10" x14ac:dyDescent="0.25">
      <c r="A622" s="249">
        <v>45116</v>
      </c>
      <c r="B622" s="237">
        <v>3230</v>
      </c>
      <c r="C622" s="238" t="s">
        <v>535</v>
      </c>
      <c r="D622" s="239" t="s">
        <v>763</v>
      </c>
      <c r="E622" s="237">
        <v>1800</v>
      </c>
      <c r="F622" s="242" t="s">
        <v>58</v>
      </c>
      <c r="G622" s="239" t="s">
        <v>928</v>
      </c>
      <c r="H622" s="240">
        <f t="shared" si="9"/>
        <v>50191</v>
      </c>
      <c r="I622" s="241"/>
      <c r="J622" s="221" t="b">
        <f>EXACT(E623,[1]Main!E623)</f>
        <v>1</v>
      </c>
    </row>
    <row r="623" spans="1:10" x14ac:dyDescent="0.25">
      <c r="A623" s="249">
        <v>45116</v>
      </c>
      <c r="B623" s="237">
        <v>194</v>
      </c>
      <c r="C623" s="238" t="s">
        <v>539</v>
      </c>
      <c r="D623" s="239" t="s">
        <v>765</v>
      </c>
      <c r="E623" s="237">
        <v>720</v>
      </c>
      <c r="F623" s="242" t="s">
        <v>220</v>
      </c>
      <c r="G623" s="239" t="s">
        <v>928</v>
      </c>
      <c r="H623" s="240">
        <f t="shared" si="9"/>
        <v>49665</v>
      </c>
      <c r="I623" s="241"/>
      <c r="J623" s="221" t="b">
        <f>EXACT(E624,[1]Main!E624)</f>
        <v>1</v>
      </c>
    </row>
    <row r="624" spans="1:10" x14ac:dyDescent="0.25">
      <c r="A624" s="249">
        <v>45116</v>
      </c>
      <c r="B624" s="237">
        <v>575</v>
      </c>
      <c r="C624" s="238" t="s">
        <v>27</v>
      </c>
      <c r="D624" s="239" t="s">
        <v>772</v>
      </c>
      <c r="E624" s="237">
        <v>1060</v>
      </c>
      <c r="F624" s="242" t="s">
        <v>1147</v>
      </c>
      <c r="G624" s="239" t="s">
        <v>928</v>
      </c>
      <c r="H624" s="240">
        <f t="shared" si="9"/>
        <v>49180</v>
      </c>
      <c r="I624" s="241" t="s">
        <v>866</v>
      </c>
      <c r="J624" s="221" t="b">
        <f>EXACT(E625,[1]Main!E625)</f>
        <v>1</v>
      </c>
    </row>
    <row r="625" spans="1:10" x14ac:dyDescent="0.25">
      <c r="A625" s="249">
        <v>45116</v>
      </c>
      <c r="B625" s="237">
        <v>49</v>
      </c>
      <c r="C625" s="238" t="s">
        <v>35</v>
      </c>
      <c r="D625" s="239" t="s">
        <v>937</v>
      </c>
      <c r="E625" s="237">
        <v>2640</v>
      </c>
      <c r="F625" s="242" t="s">
        <v>515</v>
      </c>
      <c r="G625" s="239" t="s">
        <v>928</v>
      </c>
      <c r="H625" s="240">
        <f t="shared" si="9"/>
        <v>46589</v>
      </c>
      <c r="I625" s="241"/>
      <c r="J625" s="221" t="b">
        <f>EXACT(E626,[1]Main!E626)</f>
        <v>1</v>
      </c>
    </row>
    <row r="626" spans="1:10" x14ac:dyDescent="0.25">
      <c r="A626" s="249">
        <v>45116</v>
      </c>
      <c r="B626" s="237">
        <v>5000</v>
      </c>
      <c r="C626" s="238" t="s">
        <v>300</v>
      </c>
      <c r="D626" s="239" t="s">
        <v>763</v>
      </c>
      <c r="E626" s="237">
        <v>120</v>
      </c>
      <c r="F626" s="242" t="s">
        <v>393</v>
      </c>
      <c r="G626" s="239" t="s">
        <v>930</v>
      </c>
      <c r="H626" s="240">
        <f t="shared" si="9"/>
        <v>51469</v>
      </c>
      <c r="I626" s="241"/>
      <c r="J626" s="221" t="b">
        <f>EXACT(E627,[1]Main!E627)</f>
        <v>1</v>
      </c>
    </row>
    <row r="627" spans="1:10" x14ac:dyDescent="0.25">
      <c r="A627" s="249">
        <v>45116</v>
      </c>
      <c r="B627" s="237">
        <v>20</v>
      </c>
      <c r="C627" s="238" t="s">
        <v>27</v>
      </c>
      <c r="D627" s="239" t="s">
        <v>772</v>
      </c>
      <c r="E627" s="237">
        <v>120</v>
      </c>
      <c r="F627" s="242" t="s">
        <v>19</v>
      </c>
      <c r="G627" s="239" t="s">
        <v>930</v>
      </c>
      <c r="H627" s="240">
        <f t="shared" si="9"/>
        <v>51369</v>
      </c>
      <c r="I627" s="241"/>
      <c r="J627" s="221" t="b">
        <f>EXACT(E628,[1]Main!E628)</f>
        <v>1</v>
      </c>
    </row>
    <row r="628" spans="1:10" x14ac:dyDescent="0.25">
      <c r="A628" s="249">
        <v>45116</v>
      </c>
      <c r="B628" s="237">
        <v>155</v>
      </c>
      <c r="C628" s="238" t="s">
        <v>27</v>
      </c>
      <c r="D628" s="239" t="s">
        <v>772</v>
      </c>
      <c r="E628" s="237">
        <v>210</v>
      </c>
      <c r="F628" s="242" t="s">
        <v>521</v>
      </c>
      <c r="G628" s="239" t="s">
        <v>930</v>
      </c>
      <c r="H628" s="240">
        <f t="shared" si="9"/>
        <v>51314</v>
      </c>
      <c r="I628" s="241"/>
      <c r="J628" s="221" t="b">
        <f>EXACT(E629,[1]Main!E629)</f>
        <v>1</v>
      </c>
    </row>
    <row r="629" spans="1:10" x14ac:dyDescent="0.25">
      <c r="A629" s="249">
        <v>45116</v>
      </c>
      <c r="B629" s="237">
        <v>1515</v>
      </c>
      <c r="C629" s="238" t="s">
        <v>27</v>
      </c>
      <c r="D629" s="239" t="s">
        <v>772</v>
      </c>
      <c r="E629" s="237">
        <v>450</v>
      </c>
      <c r="F629" s="242" t="s">
        <v>34</v>
      </c>
      <c r="G629" s="239" t="s">
        <v>935</v>
      </c>
      <c r="H629" s="240">
        <f t="shared" si="9"/>
        <v>52379</v>
      </c>
      <c r="I629" s="241"/>
      <c r="J629" s="221" t="b">
        <f>EXACT(E630,[1]Main!E630)</f>
        <v>1</v>
      </c>
    </row>
    <row r="630" spans="1:10" x14ac:dyDescent="0.25">
      <c r="A630" s="249">
        <v>45116</v>
      </c>
      <c r="B630" s="237">
        <v>1210</v>
      </c>
      <c r="C630" s="238" t="s">
        <v>27</v>
      </c>
      <c r="D630" s="239" t="s">
        <v>772</v>
      </c>
      <c r="E630" s="237">
        <v>240</v>
      </c>
      <c r="F630" s="242" t="s">
        <v>399</v>
      </c>
      <c r="G630" s="239" t="s">
        <v>930</v>
      </c>
      <c r="H630" s="240">
        <f t="shared" si="9"/>
        <v>53349</v>
      </c>
      <c r="I630" s="241"/>
      <c r="J630" s="221" t="b">
        <f>EXACT(E631,[1]Main!E631)</f>
        <v>1</v>
      </c>
    </row>
    <row r="631" spans="1:10" x14ac:dyDescent="0.25">
      <c r="A631" s="249">
        <v>45116</v>
      </c>
      <c r="B631" s="237">
        <v>18110</v>
      </c>
      <c r="C631" s="238" t="s">
        <v>300</v>
      </c>
      <c r="D631" s="239" t="s">
        <v>763</v>
      </c>
      <c r="E631" s="237">
        <v>440</v>
      </c>
      <c r="F631" s="242" t="s">
        <v>265</v>
      </c>
      <c r="G631" s="239" t="s">
        <v>935</v>
      </c>
      <c r="H631" s="240">
        <f t="shared" si="9"/>
        <v>71019</v>
      </c>
      <c r="I631" s="241"/>
      <c r="J631" s="221" t="b">
        <f>EXACT(E632,[1]Main!E632)</f>
        <v>1</v>
      </c>
    </row>
    <row r="632" spans="1:10" x14ac:dyDescent="0.25">
      <c r="A632" s="249">
        <v>45116</v>
      </c>
      <c r="B632" s="237">
        <v>1881</v>
      </c>
      <c r="C632" s="238" t="s">
        <v>549</v>
      </c>
      <c r="D632" s="239" t="s">
        <v>765</v>
      </c>
      <c r="E632" s="237">
        <v>520</v>
      </c>
      <c r="F632" s="242" t="s">
        <v>56</v>
      </c>
      <c r="G632" s="239" t="s">
        <v>928</v>
      </c>
      <c r="H632" s="240">
        <f t="shared" si="9"/>
        <v>72380</v>
      </c>
      <c r="I632" s="241"/>
      <c r="J632" s="221" t="b">
        <f>EXACT(E633,[1]Main!E633)</f>
        <v>1</v>
      </c>
    </row>
    <row r="633" spans="1:10" x14ac:dyDescent="0.25">
      <c r="A633" s="249">
        <v>45116</v>
      </c>
      <c r="B633" s="237">
        <v>17725</v>
      </c>
      <c r="C633" s="238" t="s">
        <v>6</v>
      </c>
      <c r="D633" s="239" t="s">
        <v>766</v>
      </c>
      <c r="E633" s="237">
        <v>55</v>
      </c>
      <c r="F633" s="242" t="s">
        <v>522</v>
      </c>
      <c r="G633" s="239" t="s">
        <v>464</v>
      </c>
      <c r="H633" s="240">
        <f t="shared" si="9"/>
        <v>90050</v>
      </c>
      <c r="I633" s="241" t="s">
        <v>830</v>
      </c>
      <c r="J633" s="221" t="b">
        <f>EXACT(E634,[1]Main!E634)</f>
        <v>1</v>
      </c>
    </row>
    <row r="634" spans="1:10" x14ac:dyDescent="0.25">
      <c r="A634" s="249">
        <v>45116</v>
      </c>
      <c r="B634" s="237">
        <v>126</v>
      </c>
      <c r="C634" s="238" t="s">
        <v>93</v>
      </c>
      <c r="D634" s="239" t="s">
        <v>768</v>
      </c>
      <c r="E634" s="237">
        <v>690</v>
      </c>
      <c r="F634" s="242" t="s">
        <v>74</v>
      </c>
      <c r="G634" s="239" t="s">
        <v>464</v>
      </c>
      <c r="H634" s="240">
        <f t="shared" si="9"/>
        <v>89486</v>
      </c>
      <c r="I634" s="241"/>
      <c r="J634" s="221" t="b">
        <f>EXACT(E635,[1]Main!E635)</f>
        <v>1</v>
      </c>
    </row>
    <row r="635" spans="1:10" x14ac:dyDescent="0.25">
      <c r="A635" s="249">
        <v>45116</v>
      </c>
      <c r="B635" s="237">
        <v>150</v>
      </c>
      <c r="C635" s="238" t="s">
        <v>27</v>
      </c>
      <c r="D635" s="239" t="s">
        <v>772</v>
      </c>
      <c r="E635" s="237">
        <v>2658</v>
      </c>
      <c r="F635" s="242" t="s">
        <v>12</v>
      </c>
      <c r="G635" s="239" t="s">
        <v>974</v>
      </c>
      <c r="H635" s="240">
        <f t="shared" si="9"/>
        <v>86978</v>
      </c>
      <c r="I635" s="241" t="s">
        <v>867</v>
      </c>
      <c r="J635" s="221" t="b">
        <f>EXACT(E636,[1]Main!E636)</f>
        <v>1</v>
      </c>
    </row>
    <row r="636" spans="1:10" x14ac:dyDescent="0.25">
      <c r="A636" s="249">
        <v>45116</v>
      </c>
      <c r="B636" s="237">
        <v>3640</v>
      </c>
      <c r="C636" s="261" t="s">
        <v>556</v>
      </c>
      <c r="D636" s="262" t="s">
        <v>772</v>
      </c>
      <c r="E636" s="237">
        <v>1301</v>
      </c>
      <c r="F636" s="242" t="s">
        <v>79</v>
      </c>
      <c r="G636" s="239" t="s">
        <v>929</v>
      </c>
      <c r="H636" s="240">
        <f t="shared" si="9"/>
        <v>89317</v>
      </c>
      <c r="I636" s="241"/>
      <c r="J636" s="221" t="b">
        <f>EXACT(E637,[1]Main!E637)</f>
        <v>1</v>
      </c>
    </row>
    <row r="637" spans="1:10" x14ac:dyDescent="0.25">
      <c r="A637" s="249">
        <v>45116</v>
      </c>
      <c r="B637" s="237">
        <v>18720</v>
      </c>
      <c r="C637" s="238" t="s">
        <v>88</v>
      </c>
      <c r="D637" s="239" t="s">
        <v>766</v>
      </c>
      <c r="E637" s="237">
        <v>495</v>
      </c>
      <c r="F637" s="242" t="s">
        <v>27</v>
      </c>
      <c r="G637" s="239" t="s">
        <v>943</v>
      </c>
      <c r="H637" s="240">
        <f t="shared" si="9"/>
        <v>107542</v>
      </c>
      <c r="I637" s="241"/>
      <c r="J637" s="221" t="b">
        <f>EXACT(E638,[1]Main!E638)</f>
        <v>1</v>
      </c>
    </row>
    <row r="638" spans="1:10" x14ac:dyDescent="0.25">
      <c r="A638" s="249">
        <v>45116</v>
      </c>
      <c r="B638" s="237">
        <v>202</v>
      </c>
      <c r="C638" s="238" t="s">
        <v>747</v>
      </c>
      <c r="D638" s="239" t="s">
        <v>768</v>
      </c>
      <c r="E638" s="237">
        <v>3190</v>
      </c>
      <c r="F638" s="242" t="s">
        <v>51</v>
      </c>
      <c r="G638" s="239" t="s">
        <v>928</v>
      </c>
      <c r="H638" s="240">
        <f t="shared" si="9"/>
        <v>104554</v>
      </c>
      <c r="I638" s="241"/>
      <c r="J638" s="221" t="b">
        <f>EXACT(E639,[1]Main!E639)</f>
        <v>1</v>
      </c>
    </row>
    <row r="639" spans="1:10" x14ac:dyDescent="0.25">
      <c r="A639" s="249">
        <v>45116</v>
      </c>
      <c r="B639" s="237">
        <v>6803</v>
      </c>
      <c r="C639" s="238" t="s">
        <v>60</v>
      </c>
      <c r="D639" s="239" t="s">
        <v>763</v>
      </c>
      <c r="E639" s="237">
        <v>50</v>
      </c>
      <c r="F639" s="242" t="s">
        <v>13</v>
      </c>
      <c r="G639" s="239" t="s">
        <v>930</v>
      </c>
      <c r="H639" s="240">
        <f t="shared" si="9"/>
        <v>111307</v>
      </c>
      <c r="I639" s="241"/>
      <c r="J639" s="221" t="b">
        <f>EXACT(E640,[1]Main!E640)</f>
        <v>1</v>
      </c>
    </row>
    <row r="640" spans="1:10" x14ac:dyDescent="0.25">
      <c r="A640" s="249">
        <v>45116</v>
      </c>
      <c r="B640" s="237">
        <v>11930</v>
      </c>
      <c r="C640" s="238" t="s">
        <v>85</v>
      </c>
      <c r="D640" s="239" t="s">
        <v>766</v>
      </c>
      <c r="E640" s="237">
        <v>120</v>
      </c>
      <c r="F640" s="242" t="s">
        <v>38</v>
      </c>
      <c r="G640" s="239" t="s">
        <v>930</v>
      </c>
      <c r="H640" s="240">
        <f t="shared" si="9"/>
        <v>123117</v>
      </c>
      <c r="I640" s="241"/>
      <c r="J640" s="221" t="b">
        <f>EXACT(E641,[1]Main!E641)</f>
        <v>1</v>
      </c>
    </row>
    <row r="641" spans="1:10" x14ac:dyDescent="0.25">
      <c r="A641" s="249">
        <v>45116</v>
      </c>
      <c r="B641" s="237">
        <v>230</v>
      </c>
      <c r="C641" s="238" t="s">
        <v>1333</v>
      </c>
      <c r="D641" s="239" t="s">
        <v>768</v>
      </c>
      <c r="E641" s="237"/>
      <c r="F641" s="242"/>
      <c r="G641" s="239"/>
      <c r="H641" s="240">
        <f t="shared" si="9"/>
        <v>123347</v>
      </c>
      <c r="I641" s="241"/>
      <c r="J641" s="221" t="b">
        <f>EXACT(E642,[1]Main!E642)</f>
        <v>1</v>
      </c>
    </row>
    <row r="642" spans="1:10" x14ac:dyDescent="0.25">
      <c r="A642" s="249">
        <v>45116</v>
      </c>
      <c r="B642" s="237">
        <v>218</v>
      </c>
      <c r="C642" s="238" t="s">
        <v>541</v>
      </c>
      <c r="D642" s="239" t="s">
        <v>937</v>
      </c>
      <c r="E642" s="237">
        <v>600</v>
      </c>
      <c r="F642" s="242" t="s">
        <v>230</v>
      </c>
      <c r="G642" s="239" t="s">
        <v>928</v>
      </c>
      <c r="H642" s="240">
        <f t="shared" si="9"/>
        <v>122965</v>
      </c>
      <c r="I642" s="241"/>
      <c r="J642" s="221" t="b">
        <f>EXACT(E643,[1]Main!E643)</f>
        <v>1</v>
      </c>
    </row>
    <row r="643" spans="1:10" x14ac:dyDescent="0.25">
      <c r="A643" s="249">
        <v>45116</v>
      </c>
      <c r="B643" s="237"/>
      <c r="C643" s="238"/>
      <c r="D643" s="239"/>
      <c r="E643" s="237">
        <v>2425</v>
      </c>
      <c r="F643" s="242" t="s">
        <v>737</v>
      </c>
      <c r="G643" s="239" t="s">
        <v>928</v>
      </c>
      <c r="H643" s="240">
        <f t="shared" si="9"/>
        <v>120540</v>
      </c>
      <c r="I643" s="241" t="s">
        <v>829</v>
      </c>
      <c r="J643" s="221" t="b">
        <f>EXACT(E644,[1]Main!E644)</f>
        <v>1</v>
      </c>
    </row>
    <row r="644" spans="1:10" x14ac:dyDescent="0.25">
      <c r="A644" s="249">
        <v>45116</v>
      </c>
      <c r="B644" s="237"/>
      <c r="C644" s="238"/>
      <c r="D644" s="239"/>
      <c r="E644" s="237">
        <v>55</v>
      </c>
      <c r="F644" s="242" t="s">
        <v>8</v>
      </c>
      <c r="G644" s="239" t="s">
        <v>930</v>
      </c>
      <c r="H644" s="240">
        <f t="shared" si="9"/>
        <v>120485</v>
      </c>
      <c r="I644" s="241" t="s">
        <v>868</v>
      </c>
      <c r="J644" s="221" t="b">
        <f>EXACT(E645,[1]Main!E645)</f>
        <v>1</v>
      </c>
    </row>
    <row r="645" spans="1:10" x14ac:dyDescent="0.25">
      <c r="A645" s="249">
        <v>45116</v>
      </c>
      <c r="B645" s="237"/>
      <c r="C645" s="238"/>
      <c r="D645" s="239"/>
      <c r="E645" s="237">
        <v>1485</v>
      </c>
      <c r="F645" s="242" t="s">
        <v>826</v>
      </c>
      <c r="G645" s="239" t="s">
        <v>928</v>
      </c>
      <c r="H645" s="240">
        <f t="shared" si="9"/>
        <v>119000</v>
      </c>
      <c r="I645" s="241"/>
      <c r="J645" s="221" t="b">
        <f>EXACT(E646,[1]Main!E646)</f>
        <v>1</v>
      </c>
    </row>
    <row r="646" spans="1:10" x14ac:dyDescent="0.25">
      <c r="A646" s="249">
        <v>45116</v>
      </c>
      <c r="B646" s="237"/>
      <c r="C646" s="238"/>
      <c r="D646" s="239"/>
      <c r="E646" s="237">
        <v>350</v>
      </c>
      <c r="F646" s="242" t="s">
        <v>532</v>
      </c>
      <c r="G646" s="239" t="s">
        <v>464</v>
      </c>
      <c r="H646" s="240">
        <f t="shared" si="9"/>
        <v>118650</v>
      </c>
      <c r="I646" s="241" t="s">
        <v>869</v>
      </c>
      <c r="J646" s="221" t="b">
        <f>EXACT(E647,[1]Main!E647)</f>
        <v>1</v>
      </c>
    </row>
    <row r="647" spans="1:10" x14ac:dyDescent="0.25">
      <c r="A647" s="249">
        <v>45116</v>
      </c>
      <c r="B647" s="237"/>
      <c r="C647" s="238"/>
      <c r="D647" s="239"/>
      <c r="E647" s="237">
        <v>72</v>
      </c>
      <c r="F647" s="242" t="s">
        <v>33</v>
      </c>
      <c r="G647" s="239" t="s">
        <v>464</v>
      </c>
      <c r="H647" s="240">
        <f t="shared" ref="H647:H710" si="10">H646+B647-E647</f>
        <v>118578</v>
      </c>
      <c r="I647" s="241"/>
      <c r="J647" s="221" t="b">
        <f>EXACT(E648,[1]Main!E648)</f>
        <v>1</v>
      </c>
    </row>
    <row r="648" spans="1:10" x14ac:dyDescent="0.25">
      <c r="A648" s="249">
        <v>45116</v>
      </c>
      <c r="B648" s="237"/>
      <c r="C648" s="238"/>
      <c r="D648" s="239"/>
      <c r="E648" s="237">
        <v>175</v>
      </c>
      <c r="F648" s="242" t="s">
        <v>373</v>
      </c>
      <c r="G648" s="239" t="s">
        <v>930</v>
      </c>
      <c r="H648" s="240">
        <f t="shared" si="10"/>
        <v>118403</v>
      </c>
      <c r="I648" s="241"/>
      <c r="J648" s="221" t="b">
        <f>EXACT(E649,[1]Main!E649)</f>
        <v>1</v>
      </c>
    </row>
    <row r="649" spans="1:10" x14ac:dyDescent="0.25">
      <c r="A649" s="249">
        <v>45116</v>
      </c>
      <c r="B649" s="237"/>
      <c r="C649" s="238"/>
      <c r="D649" s="239"/>
      <c r="E649" s="237">
        <v>2070</v>
      </c>
      <c r="F649" s="242" t="s">
        <v>505</v>
      </c>
      <c r="G649" s="239" t="s">
        <v>928</v>
      </c>
      <c r="H649" s="240">
        <f t="shared" si="10"/>
        <v>116333</v>
      </c>
      <c r="I649" s="241"/>
      <c r="J649" s="221" t="b">
        <f>EXACT(E650,[1]Main!E650)</f>
        <v>1</v>
      </c>
    </row>
    <row r="650" spans="1:10" x14ac:dyDescent="0.25">
      <c r="A650" s="249">
        <v>45116</v>
      </c>
      <c r="B650" s="237"/>
      <c r="C650" s="238"/>
      <c r="D650" s="239"/>
      <c r="E650" s="237">
        <v>5000</v>
      </c>
      <c r="F650" s="242" t="s">
        <v>43</v>
      </c>
      <c r="G650" s="239" t="s">
        <v>941</v>
      </c>
      <c r="H650" s="240">
        <f t="shared" si="10"/>
        <v>111333</v>
      </c>
      <c r="I650" s="241"/>
      <c r="J650" s="221" t="b">
        <f>EXACT(E651,[1]Main!E651)</f>
        <v>1</v>
      </c>
    </row>
    <row r="651" spans="1:10" x14ac:dyDescent="0.25">
      <c r="A651" s="249">
        <v>45116</v>
      </c>
      <c r="B651" s="237"/>
      <c r="C651" s="238"/>
      <c r="D651" s="239"/>
      <c r="E651" s="237">
        <v>23000</v>
      </c>
      <c r="F651" s="242" t="s">
        <v>1340</v>
      </c>
      <c r="G651" s="239" t="s">
        <v>928</v>
      </c>
      <c r="H651" s="240">
        <f t="shared" si="10"/>
        <v>88333</v>
      </c>
      <c r="I651" s="241" t="s">
        <v>1338</v>
      </c>
      <c r="J651" s="221" t="b">
        <f>EXACT(E652,[1]Main!E652)</f>
        <v>1</v>
      </c>
    </row>
    <row r="652" spans="1:10" x14ac:dyDescent="0.25">
      <c r="A652" s="249">
        <v>45116</v>
      </c>
      <c r="B652" s="237"/>
      <c r="C652" s="238"/>
      <c r="D652" s="239"/>
      <c r="E652" s="237">
        <v>910</v>
      </c>
      <c r="F652" s="242" t="s">
        <v>803</v>
      </c>
      <c r="G652" s="239" t="s">
        <v>928</v>
      </c>
      <c r="H652" s="240">
        <f t="shared" si="10"/>
        <v>87423</v>
      </c>
      <c r="I652" s="241" t="s">
        <v>796</v>
      </c>
      <c r="J652" s="221" t="b">
        <f>EXACT(E653,[1]Main!E653)</f>
        <v>1</v>
      </c>
    </row>
    <row r="653" spans="1:10" x14ac:dyDescent="0.25">
      <c r="A653" s="249">
        <v>45116</v>
      </c>
      <c r="B653" s="237"/>
      <c r="C653" s="238"/>
      <c r="D653" s="239"/>
      <c r="E653" s="237">
        <v>90</v>
      </c>
      <c r="F653" s="242" t="s">
        <v>223</v>
      </c>
      <c r="G653" s="239" t="s">
        <v>930</v>
      </c>
      <c r="H653" s="240">
        <f t="shared" si="10"/>
        <v>87333</v>
      </c>
      <c r="I653" s="241" t="s">
        <v>871</v>
      </c>
      <c r="J653" s="221" t="b">
        <f>EXACT(E654,[1]Main!E654)</f>
        <v>1</v>
      </c>
    </row>
    <row r="654" spans="1:10" x14ac:dyDescent="0.25">
      <c r="A654" s="249">
        <v>45116</v>
      </c>
      <c r="B654" s="237"/>
      <c r="C654" s="238"/>
      <c r="D654" s="239"/>
      <c r="E654" s="237">
        <v>5000</v>
      </c>
      <c r="F654" s="242" t="s">
        <v>872</v>
      </c>
      <c r="G654" s="239" t="s">
        <v>928</v>
      </c>
      <c r="H654" s="240">
        <f t="shared" si="10"/>
        <v>82333</v>
      </c>
      <c r="I654" s="241"/>
      <c r="J654" s="221" t="b">
        <f>EXACT(E655,[1]Main!E655)</f>
        <v>1</v>
      </c>
    </row>
    <row r="655" spans="1:10" x14ac:dyDescent="0.25">
      <c r="A655" s="249">
        <v>45116</v>
      </c>
      <c r="B655" s="237"/>
      <c r="C655" s="238"/>
      <c r="D655" s="239"/>
      <c r="E655" s="237">
        <v>5000</v>
      </c>
      <c r="F655" s="242" t="s">
        <v>368</v>
      </c>
      <c r="G655" s="239" t="s">
        <v>928</v>
      </c>
      <c r="H655" s="240">
        <f t="shared" si="10"/>
        <v>77333</v>
      </c>
      <c r="I655" s="241" t="s">
        <v>873</v>
      </c>
      <c r="J655" s="221" t="b">
        <f>EXACT(E656,[1]Main!E656)</f>
        <v>1</v>
      </c>
    </row>
    <row r="656" spans="1:10" x14ac:dyDescent="0.25">
      <c r="A656" s="249">
        <v>45116</v>
      </c>
      <c r="B656" s="237"/>
      <c r="C656" s="238"/>
      <c r="D656" s="239"/>
      <c r="E656" s="237">
        <v>20</v>
      </c>
      <c r="F656" s="242" t="s">
        <v>74</v>
      </c>
      <c r="G656" s="239" t="s">
        <v>464</v>
      </c>
      <c r="H656" s="240">
        <f t="shared" si="10"/>
        <v>77313</v>
      </c>
      <c r="I656" s="241"/>
      <c r="J656" s="221" t="b">
        <f>EXACT(E657,[1]Main!E657)</f>
        <v>1</v>
      </c>
    </row>
    <row r="657" spans="1:10" x14ac:dyDescent="0.25">
      <c r="A657" s="249">
        <v>45116</v>
      </c>
      <c r="B657" s="237"/>
      <c r="C657" s="238"/>
      <c r="D657" s="239"/>
      <c r="E657" s="237">
        <v>200</v>
      </c>
      <c r="F657" s="242" t="s">
        <v>544</v>
      </c>
      <c r="G657" s="239" t="s">
        <v>931</v>
      </c>
      <c r="H657" s="240">
        <f t="shared" si="10"/>
        <v>77113</v>
      </c>
      <c r="I657" s="241"/>
      <c r="J657" s="221" t="b">
        <f>EXACT(E658,[1]Main!E658)</f>
        <v>1</v>
      </c>
    </row>
    <row r="658" spans="1:10" x14ac:dyDescent="0.25">
      <c r="A658" s="249">
        <v>45116</v>
      </c>
      <c r="B658" s="237"/>
      <c r="C658" s="238"/>
      <c r="D658" s="239"/>
      <c r="E658" s="237">
        <v>1185</v>
      </c>
      <c r="F658" s="242" t="s">
        <v>27</v>
      </c>
      <c r="G658" s="239" t="s">
        <v>943</v>
      </c>
      <c r="H658" s="240">
        <f t="shared" si="10"/>
        <v>75928</v>
      </c>
      <c r="I658" s="241"/>
      <c r="J658" s="221" t="b">
        <f>EXACT(E659,[1]Main!E659)</f>
        <v>1</v>
      </c>
    </row>
    <row r="659" spans="1:10" x14ac:dyDescent="0.25">
      <c r="A659" s="249">
        <v>45116</v>
      </c>
      <c r="B659" s="237"/>
      <c r="C659" s="238"/>
      <c r="D659" s="239"/>
      <c r="E659" s="237">
        <v>2830</v>
      </c>
      <c r="F659" s="242" t="s">
        <v>664</v>
      </c>
      <c r="G659" s="239" t="s">
        <v>928</v>
      </c>
      <c r="H659" s="240">
        <f t="shared" si="10"/>
        <v>73098</v>
      </c>
      <c r="I659" s="241"/>
      <c r="J659" s="221" t="b">
        <f>EXACT(E660,[1]Main!E660)</f>
        <v>1</v>
      </c>
    </row>
    <row r="660" spans="1:10" x14ac:dyDescent="0.25">
      <c r="A660" s="249">
        <v>45116</v>
      </c>
      <c r="B660" s="237"/>
      <c r="C660" s="238"/>
      <c r="D660" s="239"/>
      <c r="E660" s="237">
        <v>80</v>
      </c>
      <c r="F660" s="242" t="s">
        <v>546</v>
      </c>
      <c r="G660" s="239" t="s">
        <v>464</v>
      </c>
      <c r="H660" s="240">
        <f t="shared" si="10"/>
        <v>73018</v>
      </c>
      <c r="I660" s="241" t="s">
        <v>829</v>
      </c>
      <c r="J660" s="221" t="b">
        <f>EXACT(E661,[1]Main!E661)</f>
        <v>1</v>
      </c>
    </row>
    <row r="661" spans="1:10" x14ac:dyDescent="0.25">
      <c r="A661" s="249">
        <v>45116</v>
      </c>
      <c r="B661" s="237"/>
      <c r="C661" s="238"/>
      <c r="D661" s="239"/>
      <c r="E661" s="237">
        <v>400</v>
      </c>
      <c r="F661" s="242" t="s">
        <v>27</v>
      </c>
      <c r="G661" s="239" t="s">
        <v>943</v>
      </c>
      <c r="H661" s="240">
        <f t="shared" si="10"/>
        <v>72618</v>
      </c>
      <c r="I661" s="241"/>
      <c r="J661" s="221" t="b">
        <f>EXACT(E662,[1]Main!E662)</f>
        <v>1</v>
      </c>
    </row>
    <row r="662" spans="1:10" x14ac:dyDescent="0.25">
      <c r="A662" s="249">
        <v>45116</v>
      </c>
      <c r="B662" s="237"/>
      <c r="C662" s="238"/>
      <c r="D662" s="239"/>
      <c r="E662" s="237">
        <v>1260</v>
      </c>
      <c r="F662" s="242" t="s">
        <v>14</v>
      </c>
      <c r="G662" s="239" t="s">
        <v>935</v>
      </c>
      <c r="H662" s="240">
        <f t="shared" si="10"/>
        <v>71358</v>
      </c>
      <c r="I662" s="241"/>
      <c r="J662" s="221" t="b">
        <f>EXACT(E663,[1]Main!E663)</f>
        <v>1</v>
      </c>
    </row>
    <row r="663" spans="1:10" x14ac:dyDescent="0.25">
      <c r="A663" s="249">
        <v>45116</v>
      </c>
      <c r="B663" s="237"/>
      <c r="C663" s="238"/>
      <c r="D663" s="239"/>
      <c r="E663" s="237">
        <v>20</v>
      </c>
      <c r="F663" s="242" t="s">
        <v>10</v>
      </c>
      <c r="G663" s="239" t="s">
        <v>930</v>
      </c>
      <c r="H663" s="240">
        <f t="shared" si="10"/>
        <v>71338</v>
      </c>
      <c r="I663" s="241"/>
      <c r="J663" s="221" t="b">
        <f>EXACT(E664,[1]Main!E664)</f>
        <v>1</v>
      </c>
    </row>
    <row r="664" spans="1:10" x14ac:dyDescent="0.25">
      <c r="A664" s="249">
        <v>45116</v>
      </c>
      <c r="B664" s="237"/>
      <c r="C664" s="238"/>
      <c r="D664" s="239"/>
      <c r="E664" s="237">
        <v>10</v>
      </c>
      <c r="F664" s="242" t="s">
        <v>399</v>
      </c>
      <c r="G664" s="239" t="s">
        <v>930</v>
      </c>
      <c r="H664" s="240">
        <f t="shared" si="10"/>
        <v>71328</v>
      </c>
      <c r="I664" s="241"/>
      <c r="J664" s="221" t="b">
        <f>EXACT(E665,[1]Main!E665)</f>
        <v>1</v>
      </c>
    </row>
    <row r="665" spans="1:10" x14ac:dyDescent="0.25">
      <c r="A665" s="249">
        <v>45116</v>
      </c>
      <c r="B665" s="237"/>
      <c r="C665" s="238"/>
      <c r="D665" s="239"/>
      <c r="E665" s="237">
        <v>239</v>
      </c>
      <c r="F665" s="242" t="s">
        <v>358</v>
      </c>
      <c r="G665" s="239" t="s">
        <v>938</v>
      </c>
      <c r="H665" s="240">
        <f t="shared" si="10"/>
        <v>71089</v>
      </c>
      <c r="I665" s="241"/>
      <c r="J665" s="221" t="b">
        <f>EXACT(E666,[1]Main!E666)</f>
        <v>1</v>
      </c>
    </row>
    <row r="666" spans="1:10" x14ac:dyDescent="0.25">
      <c r="A666" s="249">
        <v>45116</v>
      </c>
      <c r="B666" s="237"/>
      <c r="C666" s="238"/>
      <c r="D666" s="239"/>
      <c r="E666" s="237">
        <v>51</v>
      </c>
      <c r="F666" s="242" t="s">
        <v>874</v>
      </c>
      <c r="G666" s="239" t="s">
        <v>464</v>
      </c>
      <c r="H666" s="240">
        <f t="shared" si="10"/>
        <v>71038</v>
      </c>
      <c r="I666" s="241"/>
      <c r="J666" s="221" t="b">
        <f>EXACT(E667,[1]Main!E667)</f>
        <v>1</v>
      </c>
    </row>
    <row r="667" spans="1:10" x14ac:dyDescent="0.25">
      <c r="A667" s="249">
        <v>45116</v>
      </c>
      <c r="B667" s="237"/>
      <c r="C667" s="238"/>
      <c r="D667" s="239"/>
      <c r="E667" s="237">
        <v>110</v>
      </c>
      <c r="F667" s="242" t="s">
        <v>551</v>
      </c>
      <c r="G667" s="239" t="s">
        <v>930</v>
      </c>
      <c r="H667" s="240">
        <f t="shared" si="10"/>
        <v>70928</v>
      </c>
      <c r="I667" s="241" t="s">
        <v>875</v>
      </c>
      <c r="J667" s="221" t="b">
        <f>EXACT(E668,[1]Main!E668)</f>
        <v>1</v>
      </c>
    </row>
    <row r="668" spans="1:10" x14ac:dyDescent="0.25">
      <c r="A668" s="249">
        <v>45116</v>
      </c>
      <c r="B668" s="237"/>
      <c r="C668" s="238"/>
      <c r="D668" s="239"/>
      <c r="E668" s="237">
        <v>840</v>
      </c>
      <c r="F668" s="242" t="s">
        <v>1060</v>
      </c>
      <c r="G668" s="239" t="s">
        <v>928</v>
      </c>
      <c r="H668" s="240">
        <f t="shared" si="10"/>
        <v>70088</v>
      </c>
      <c r="I668" s="241"/>
      <c r="J668" s="221" t="b">
        <f>EXACT(E669,[1]Main!E669)</f>
        <v>1</v>
      </c>
    </row>
    <row r="669" spans="1:10" x14ac:dyDescent="0.25">
      <c r="A669" s="249">
        <v>45116</v>
      </c>
      <c r="B669" s="237"/>
      <c r="C669" s="238"/>
      <c r="D669" s="239"/>
      <c r="E669" s="237">
        <v>90</v>
      </c>
      <c r="F669" s="242" t="s">
        <v>510</v>
      </c>
      <c r="G669" s="239" t="s">
        <v>930</v>
      </c>
      <c r="H669" s="240">
        <f t="shared" si="10"/>
        <v>69998</v>
      </c>
      <c r="I669" s="241"/>
      <c r="J669" s="221" t="b">
        <f>EXACT(E670,[1]Main!E670)</f>
        <v>1</v>
      </c>
    </row>
    <row r="670" spans="1:10" x14ac:dyDescent="0.25">
      <c r="A670" s="249">
        <v>45116</v>
      </c>
      <c r="B670" s="237"/>
      <c r="C670" s="238"/>
      <c r="D670" s="239"/>
      <c r="E670" s="237">
        <v>180</v>
      </c>
      <c r="F670" s="242" t="s">
        <v>210</v>
      </c>
      <c r="G670" s="239" t="s">
        <v>930</v>
      </c>
      <c r="H670" s="240">
        <f t="shared" si="10"/>
        <v>69818</v>
      </c>
      <c r="I670" s="241"/>
      <c r="J670" s="221" t="b">
        <f>EXACT(E671,[1]Main!E671)</f>
        <v>1</v>
      </c>
    </row>
    <row r="671" spans="1:10" x14ac:dyDescent="0.25">
      <c r="A671" s="249">
        <v>45116</v>
      </c>
      <c r="B671" s="237"/>
      <c r="C671" s="238"/>
      <c r="D671" s="239"/>
      <c r="E671" s="237">
        <v>45</v>
      </c>
      <c r="F671" s="242" t="s">
        <v>255</v>
      </c>
      <c r="G671" s="239" t="s">
        <v>930</v>
      </c>
      <c r="H671" s="240">
        <f t="shared" si="10"/>
        <v>69773</v>
      </c>
      <c r="I671" s="241"/>
      <c r="J671" s="221" t="b">
        <f>EXACT(E672,[1]Main!E672)</f>
        <v>1</v>
      </c>
    </row>
    <row r="672" spans="1:10" x14ac:dyDescent="0.25">
      <c r="A672" s="249">
        <v>45116</v>
      </c>
      <c r="B672" s="237"/>
      <c r="C672" s="238"/>
      <c r="D672" s="239"/>
      <c r="E672" s="237">
        <v>120</v>
      </c>
      <c r="F672" s="242" t="s">
        <v>32</v>
      </c>
      <c r="G672" s="239" t="s">
        <v>930</v>
      </c>
      <c r="H672" s="240">
        <f t="shared" si="10"/>
        <v>69653</v>
      </c>
      <c r="I672" s="241"/>
      <c r="J672" s="221" t="b">
        <f>EXACT(E673,[1]Main!E673)</f>
        <v>1</v>
      </c>
    </row>
    <row r="673" spans="1:10" x14ac:dyDescent="0.25">
      <c r="A673" s="249">
        <v>45116</v>
      </c>
      <c r="B673" s="237"/>
      <c r="C673" s="238"/>
      <c r="D673" s="239"/>
      <c r="E673" s="237">
        <v>140</v>
      </c>
      <c r="F673" s="242" t="s">
        <v>552</v>
      </c>
      <c r="G673" s="239" t="s">
        <v>930</v>
      </c>
      <c r="H673" s="240">
        <f t="shared" si="10"/>
        <v>69513</v>
      </c>
      <c r="I673" s="241"/>
      <c r="J673" s="221" t="b">
        <f>EXACT(E674,[1]Main!E674)</f>
        <v>1</v>
      </c>
    </row>
    <row r="674" spans="1:10" x14ac:dyDescent="0.25">
      <c r="A674" s="249">
        <v>45116</v>
      </c>
      <c r="B674" s="237"/>
      <c r="C674" s="238"/>
      <c r="D674" s="239"/>
      <c r="E674" s="237">
        <v>45</v>
      </c>
      <c r="F674" s="242" t="s">
        <v>86</v>
      </c>
      <c r="G674" s="239" t="s">
        <v>930</v>
      </c>
      <c r="H674" s="240">
        <f t="shared" si="10"/>
        <v>69468</v>
      </c>
      <c r="I674" s="241"/>
      <c r="J674" s="221" t="b">
        <f>EXACT(E675,[1]Main!E675)</f>
        <v>1</v>
      </c>
    </row>
    <row r="675" spans="1:10" x14ac:dyDescent="0.25">
      <c r="A675" s="249">
        <v>45116</v>
      </c>
      <c r="B675" s="237"/>
      <c r="C675" s="238"/>
      <c r="D675" s="239"/>
      <c r="E675" s="237">
        <v>100</v>
      </c>
      <c r="F675" s="242" t="s">
        <v>9</v>
      </c>
      <c r="G675" s="239" t="s">
        <v>930</v>
      </c>
      <c r="H675" s="240">
        <f t="shared" si="10"/>
        <v>69368</v>
      </c>
      <c r="I675" s="241"/>
      <c r="J675" s="221" t="b">
        <f>EXACT(E676,[1]Main!E676)</f>
        <v>1</v>
      </c>
    </row>
    <row r="676" spans="1:10" x14ac:dyDescent="0.25">
      <c r="A676" s="249">
        <v>45116</v>
      </c>
      <c r="B676" s="237"/>
      <c r="C676" s="238"/>
      <c r="D676" s="239"/>
      <c r="E676" s="237">
        <v>210</v>
      </c>
      <c r="F676" s="242" t="s">
        <v>11</v>
      </c>
      <c r="G676" s="239" t="s">
        <v>935</v>
      </c>
      <c r="H676" s="240">
        <f t="shared" si="10"/>
        <v>69158</v>
      </c>
      <c r="I676" s="241"/>
      <c r="J676" s="221" t="b">
        <f>EXACT(E677,[1]Main!E677)</f>
        <v>1</v>
      </c>
    </row>
    <row r="677" spans="1:10" x14ac:dyDescent="0.25">
      <c r="A677" s="249">
        <v>45116</v>
      </c>
      <c r="B677" s="237"/>
      <c r="C677" s="238"/>
      <c r="D677" s="239"/>
      <c r="E677" s="237">
        <v>305</v>
      </c>
      <c r="F677" s="242" t="s">
        <v>8</v>
      </c>
      <c r="G677" s="239" t="s">
        <v>930</v>
      </c>
      <c r="H677" s="240">
        <f t="shared" si="10"/>
        <v>68853</v>
      </c>
      <c r="I677" s="241"/>
      <c r="J677" s="221" t="b">
        <f>EXACT(E678,[1]Main!E678)</f>
        <v>1</v>
      </c>
    </row>
    <row r="678" spans="1:10" x14ac:dyDescent="0.25">
      <c r="A678" s="249">
        <v>45116</v>
      </c>
      <c r="B678" s="237"/>
      <c r="C678" s="238"/>
      <c r="D678" s="239"/>
      <c r="E678" s="237">
        <v>210</v>
      </c>
      <c r="F678" s="242" t="s">
        <v>265</v>
      </c>
      <c r="G678" s="239" t="s">
        <v>935</v>
      </c>
      <c r="H678" s="240">
        <f t="shared" si="10"/>
        <v>68643</v>
      </c>
      <c r="I678" s="241"/>
      <c r="J678" s="221" t="b">
        <f>EXACT(E679,[1]Main!E679)</f>
        <v>1</v>
      </c>
    </row>
    <row r="679" spans="1:10" x14ac:dyDescent="0.25">
      <c r="A679" s="249">
        <v>45116</v>
      </c>
      <c r="B679" s="237"/>
      <c r="C679" s="238"/>
      <c r="D679" s="239"/>
      <c r="E679" s="237">
        <v>15</v>
      </c>
      <c r="F679" s="242" t="s">
        <v>104</v>
      </c>
      <c r="G679" s="239" t="s">
        <v>464</v>
      </c>
      <c r="H679" s="240">
        <f t="shared" si="10"/>
        <v>68628</v>
      </c>
      <c r="I679" s="241"/>
      <c r="J679" s="221" t="b">
        <f>EXACT(E680,[1]Main!E680)</f>
        <v>1</v>
      </c>
    </row>
    <row r="680" spans="1:10" x14ac:dyDescent="0.25">
      <c r="A680" s="249">
        <v>45116</v>
      </c>
      <c r="B680" s="237"/>
      <c r="C680" s="238"/>
      <c r="D680" s="239"/>
      <c r="E680" s="237">
        <v>475</v>
      </c>
      <c r="F680" s="242" t="s">
        <v>313</v>
      </c>
      <c r="G680" s="239" t="s">
        <v>929</v>
      </c>
      <c r="H680" s="240">
        <f t="shared" si="10"/>
        <v>68153</v>
      </c>
      <c r="I680" s="241"/>
      <c r="J680" s="221" t="b">
        <f>EXACT(E681,[1]Main!E681)</f>
        <v>1</v>
      </c>
    </row>
    <row r="681" spans="1:10" x14ac:dyDescent="0.25">
      <c r="A681" s="249">
        <v>45116</v>
      </c>
      <c r="B681" s="237"/>
      <c r="C681" s="238"/>
      <c r="D681" s="239"/>
      <c r="E681" s="237">
        <v>100</v>
      </c>
      <c r="F681" s="242" t="s">
        <v>553</v>
      </c>
      <c r="G681" s="239" t="s">
        <v>464</v>
      </c>
      <c r="H681" s="240">
        <f t="shared" si="10"/>
        <v>68053</v>
      </c>
      <c r="I681" s="241"/>
      <c r="J681" s="221" t="b">
        <f>EXACT(E682,[1]Main!E682)</f>
        <v>1</v>
      </c>
    </row>
    <row r="682" spans="1:10" x14ac:dyDescent="0.25">
      <c r="A682" s="249">
        <v>45116</v>
      </c>
      <c r="B682" s="237"/>
      <c r="C682" s="238"/>
      <c r="D682" s="239"/>
      <c r="E682" s="237">
        <v>608</v>
      </c>
      <c r="F682" s="242" t="s">
        <v>215</v>
      </c>
      <c r="G682" s="239" t="s">
        <v>935</v>
      </c>
      <c r="H682" s="240">
        <f t="shared" si="10"/>
        <v>67445</v>
      </c>
      <c r="I682" s="241"/>
      <c r="J682" s="221" t="b">
        <f>EXACT(E683,[1]Main!E683)</f>
        <v>1</v>
      </c>
    </row>
    <row r="683" spans="1:10" x14ac:dyDescent="0.25">
      <c r="A683" s="249">
        <v>45116</v>
      </c>
      <c r="B683" s="237"/>
      <c r="C683" s="238"/>
      <c r="D683" s="239"/>
      <c r="E683" s="237">
        <v>10</v>
      </c>
      <c r="F683" s="242" t="s">
        <v>555</v>
      </c>
      <c r="G683" s="239" t="s">
        <v>929</v>
      </c>
      <c r="H683" s="240">
        <f t="shared" si="10"/>
        <v>67435</v>
      </c>
      <c r="I683" s="241"/>
      <c r="J683" s="221" t="b">
        <f>EXACT(E684,[1]Main!E684)</f>
        <v>1</v>
      </c>
    </row>
    <row r="684" spans="1:10" x14ac:dyDescent="0.25">
      <c r="A684" s="249">
        <v>45116</v>
      </c>
      <c r="B684" s="237"/>
      <c r="C684" s="238"/>
      <c r="D684" s="239"/>
      <c r="E684" s="237">
        <v>1385</v>
      </c>
      <c r="F684" s="242" t="s">
        <v>58</v>
      </c>
      <c r="G684" s="239" t="s">
        <v>928</v>
      </c>
      <c r="H684" s="240">
        <f t="shared" si="10"/>
        <v>66050</v>
      </c>
      <c r="I684" s="241"/>
      <c r="J684" s="221" t="b">
        <f>EXACT(E685,[1]Main!E685)</f>
        <v>1</v>
      </c>
    </row>
    <row r="685" spans="1:10" x14ac:dyDescent="0.25">
      <c r="A685" s="249">
        <v>45116</v>
      </c>
      <c r="B685" s="237"/>
      <c r="C685" s="238"/>
      <c r="D685" s="239"/>
      <c r="E685" s="237">
        <v>25</v>
      </c>
      <c r="F685" s="242" t="s">
        <v>464</v>
      </c>
      <c r="G685" s="239" t="s">
        <v>464</v>
      </c>
      <c r="H685" s="240">
        <f t="shared" si="10"/>
        <v>66025</v>
      </c>
      <c r="I685" s="241"/>
      <c r="J685" s="221" t="b">
        <f>EXACT(E686,[1]Main!E686)</f>
        <v>1</v>
      </c>
    </row>
    <row r="686" spans="1:10" x14ac:dyDescent="0.25">
      <c r="A686" s="249">
        <v>45116</v>
      </c>
      <c r="B686" s="237"/>
      <c r="C686" s="238"/>
      <c r="D686" s="239"/>
      <c r="E686" s="237">
        <v>140</v>
      </c>
      <c r="F686" s="242" t="s">
        <v>341</v>
      </c>
      <c r="G686" s="239" t="s">
        <v>930</v>
      </c>
      <c r="H686" s="240">
        <f t="shared" si="10"/>
        <v>65885</v>
      </c>
      <c r="I686" s="241"/>
      <c r="J686" s="221" t="b">
        <f>EXACT(E687,[1]Main!E687)</f>
        <v>1</v>
      </c>
    </row>
    <row r="687" spans="1:10" x14ac:dyDescent="0.25">
      <c r="A687" s="249">
        <v>45116</v>
      </c>
      <c r="B687" s="237"/>
      <c r="C687" s="238"/>
      <c r="D687" s="239"/>
      <c r="E687" s="237">
        <v>150</v>
      </c>
      <c r="F687" s="242" t="s">
        <v>255</v>
      </c>
      <c r="G687" s="239" t="s">
        <v>930</v>
      </c>
      <c r="H687" s="240">
        <f t="shared" si="10"/>
        <v>65735</v>
      </c>
      <c r="I687" s="241"/>
      <c r="J687" s="221" t="b">
        <f>EXACT(E688,[1]Main!E688)</f>
        <v>1</v>
      </c>
    </row>
    <row r="688" spans="1:10" x14ac:dyDescent="0.25">
      <c r="A688" s="249">
        <v>45116</v>
      </c>
      <c r="B688" s="237"/>
      <c r="C688" s="238"/>
      <c r="D688" s="239"/>
      <c r="E688" s="237">
        <v>120</v>
      </c>
      <c r="F688" s="242" t="s">
        <v>39</v>
      </c>
      <c r="G688" s="239" t="s">
        <v>930</v>
      </c>
      <c r="H688" s="240">
        <f t="shared" si="10"/>
        <v>65615</v>
      </c>
      <c r="I688" s="241"/>
      <c r="J688" s="221" t="b">
        <f>EXACT(E689,[1]Main!E689)</f>
        <v>1</v>
      </c>
    </row>
    <row r="689" spans="1:10" x14ac:dyDescent="0.25">
      <c r="A689" s="249">
        <v>45116</v>
      </c>
      <c r="B689" s="237"/>
      <c r="C689" s="238"/>
      <c r="D689" s="239"/>
      <c r="E689" s="237">
        <v>565</v>
      </c>
      <c r="F689" s="242" t="s">
        <v>27</v>
      </c>
      <c r="G689" s="239" t="s">
        <v>943</v>
      </c>
      <c r="H689" s="240">
        <f t="shared" si="10"/>
        <v>65050</v>
      </c>
      <c r="I689" s="241"/>
      <c r="J689" s="221" t="b">
        <f>EXACT(E690,[1]Main!E690)</f>
        <v>1</v>
      </c>
    </row>
    <row r="690" spans="1:10" x14ac:dyDescent="0.25">
      <c r="A690" s="249">
        <v>45116</v>
      </c>
      <c r="B690" s="237"/>
      <c r="C690" s="238"/>
      <c r="D690" s="239"/>
      <c r="E690" s="237">
        <v>185</v>
      </c>
      <c r="F690" s="242" t="s">
        <v>358</v>
      </c>
      <c r="G690" s="239" t="s">
        <v>938</v>
      </c>
      <c r="H690" s="240">
        <f t="shared" si="10"/>
        <v>64865</v>
      </c>
      <c r="I690" s="241"/>
      <c r="J690" s="221" t="b">
        <f>EXACT(E691,[1]Main!E691)</f>
        <v>1</v>
      </c>
    </row>
    <row r="691" spans="1:10" x14ac:dyDescent="0.25">
      <c r="A691" s="249">
        <v>45116</v>
      </c>
      <c r="B691" s="237"/>
      <c r="C691" s="238"/>
      <c r="D691" s="239"/>
      <c r="E691" s="237">
        <v>40</v>
      </c>
      <c r="F691" s="242" t="s">
        <v>358</v>
      </c>
      <c r="G691" s="239" t="s">
        <v>938</v>
      </c>
      <c r="H691" s="240">
        <f t="shared" si="10"/>
        <v>64825</v>
      </c>
      <c r="I691" s="241"/>
      <c r="J691" s="221" t="b">
        <f>EXACT(E692,[1]Main!E692)</f>
        <v>1</v>
      </c>
    </row>
    <row r="692" spans="1:10" x14ac:dyDescent="0.25">
      <c r="A692" s="249">
        <v>45116</v>
      </c>
      <c r="B692" s="237"/>
      <c r="C692" s="238"/>
      <c r="D692" s="239"/>
      <c r="E692" s="237">
        <v>45</v>
      </c>
      <c r="F692" s="242" t="s">
        <v>339</v>
      </c>
      <c r="G692" s="239" t="s">
        <v>935</v>
      </c>
      <c r="H692" s="240">
        <f t="shared" si="10"/>
        <v>64780</v>
      </c>
      <c r="I692" s="241" t="s">
        <v>773</v>
      </c>
      <c r="J692" s="221" t="b">
        <f>EXACT(E693,[1]Main!E693)</f>
        <v>1</v>
      </c>
    </row>
    <row r="693" spans="1:10" x14ac:dyDescent="0.25">
      <c r="A693" s="249">
        <v>45116</v>
      </c>
      <c r="B693" s="237"/>
      <c r="C693" s="238"/>
      <c r="D693" s="239"/>
      <c r="E693" s="237">
        <v>100</v>
      </c>
      <c r="F693" s="242" t="s">
        <v>494</v>
      </c>
      <c r="G693" s="239" t="s">
        <v>930</v>
      </c>
      <c r="H693" s="240">
        <f t="shared" si="10"/>
        <v>64680</v>
      </c>
      <c r="I693" s="241"/>
      <c r="J693" s="221" t="b">
        <f>EXACT(E694,[1]Main!E694)</f>
        <v>1</v>
      </c>
    </row>
    <row r="694" spans="1:10" x14ac:dyDescent="0.25">
      <c r="A694" s="249">
        <v>45116</v>
      </c>
      <c r="B694" s="237"/>
      <c r="C694" s="238"/>
      <c r="D694" s="239"/>
      <c r="E694" s="237">
        <v>130</v>
      </c>
      <c r="F694" s="242" t="s">
        <v>32</v>
      </c>
      <c r="G694" s="239" t="s">
        <v>930</v>
      </c>
      <c r="H694" s="240">
        <f t="shared" si="10"/>
        <v>64550</v>
      </c>
      <c r="I694" s="241"/>
      <c r="J694" s="221" t="b">
        <f>EXACT(E695,[1]Main!E695)</f>
        <v>1</v>
      </c>
    </row>
    <row r="695" spans="1:10" x14ac:dyDescent="0.25">
      <c r="A695" s="249">
        <v>45116</v>
      </c>
      <c r="B695" s="237"/>
      <c r="C695" s="238"/>
      <c r="D695" s="239"/>
      <c r="E695" s="237">
        <v>100</v>
      </c>
      <c r="F695" s="242" t="s">
        <v>552</v>
      </c>
      <c r="G695" s="239" t="s">
        <v>930</v>
      </c>
      <c r="H695" s="240">
        <f t="shared" si="10"/>
        <v>64450</v>
      </c>
      <c r="I695" s="241"/>
      <c r="J695" s="221" t="b">
        <f>EXACT(E696,[1]Main!E696)</f>
        <v>1</v>
      </c>
    </row>
    <row r="696" spans="1:10" x14ac:dyDescent="0.25">
      <c r="A696" s="249">
        <v>45116</v>
      </c>
      <c r="B696" s="237"/>
      <c r="C696" s="238"/>
      <c r="D696" s="239"/>
      <c r="E696" s="237">
        <v>80</v>
      </c>
      <c r="F696" s="242" t="s">
        <v>559</v>
      </c>
      <c r="G696" s="239" t="s">
        <v>929</v>
      </c>
      <c r="H696" s="240">
        <f t="shared" si="10"/>
        <v>64370</v>
      </c>
      <c r="I696" s="241"/>
      <c r="J696" s="221" t="b">
        <f>EXACT(E697,[1]Main!E697)</f>
        <v>1</v>
      </c>
    </row>
    <row r="697" spans="1:10" x14ac:dyDescent="0.25">
      <c r="A697" s="249">
        <v>45116</v>
      </c>
      <c r="B697" s="237"/>
      <c r="C697" s="238"/>
      <c r="D697" s="239"/>
      <c r="E697" s="237">
        <v>200</v>
      </c>
      <c r="F697" s="242" t="s">
        <v>353</v>
      </c>
      <c r="G697" s="239" t="s">
        <v>929</v>
      </c>
      <c r="H697" s="240">
        <f t="shared" si="10"/>
        <v>64170</v>
      </c>
      <c r="I697" s="241"/>
      <c r="J697" s="221" t="b">
        <f>EXACT(E698,[1]Main!E698)</f>
        <v>1</v>
      </c>
    </row>
    <row r="698" spans="1:10" x14ac:dyDescent="0.25">
      <c r="A698" s="249">
        <v>45116</v>
      </c>
      <c r="B698" s="237"/>
      <c r="C698" s="238"/>
      <c r="D698" s="239"/>
      <c r="E698" s="237">
        <v>145</v>
      </c>
      <c r="F698" s="242" t="s">
        <v>498</v>
      </c>
      <c r="G698" s="239" t="s">
        <v>930</v>
      </c>
      <c r="H698" s="240">
        <f t="shared" si="10"/>
        <v>64025</v>
      </c>
      <c r="I698" s="241"/>
      <c r="J698" s="221" t="b">
        <f>EXACT(E699,[1]Main!E699)</f>
        <v>1</v>
      </c>
    </row>
    <row r="699" spans="1:10" x14ac:dyDescent="0.25">
      <c r="A699" s="249">
        <v>45116</v>
      </c>
      <c r="B699" s="237"/>
      <c r="C699" s="238"/>
      <c r="D699" s="239"/>
      <c r="E699" s="237">
        <v>1225</v>
      </c>
      <c r="F699" s="242" t="s">
        <v>27</v>
      </c>
      <c r="G699" s="239" t="s">
        <v>943</v>
      </c>
      <c r="H699" s="240">
        <f t="shared" si="10"/>
        <v>62800</v>
      </c>
      <c r="I699" s="241"/>
      <c r="J699" s="221" t="b">
        <f>EXACT(E700,[1]Main!E700)</f>
        <v>1</v>
      </c>
    </row>
    <row r="700" spans="1:10" x14ac:dyDescent="0.25">
      <c r="A700" s="249">
        <v>45116</v>
      </c>
      <c r="B700" s="237"/>
      <c r="C700" s="238"/>
      <c r="D700" s="239"/>
      <c r="E700" s="237">
        <v>2765</v>
      </c>
      <c r="F700" s="242" t="s">
        <v>20</v>
      </c>
      <c r="G700" s="239" t="s">
        <v>928</v>
      </c>
      <c r="H700" s="240">
        <f t="shared" si="10"/>
        <v>60035</v>
      </c>
      <c r="I700" s="241"/>
      <c r="J700" s="221" t="b">
        <f>EXACT(E701,[1]Main!E701)</f>
        <v>1</v>
      </c>
    </row>
    <row r="701" spans="1:10" x14ac:dyDescent="0.25">
      <c r="A701" s="249">
        <v>45116</v>
      </c>
      <c r="B701" s="237"/>
      <c r="C701" s="238"/>
      <c r="D701" s="239"/>
      <c r="E701" s="237">
        <v>250</v>
      </c>
      <c r="F701" s="242" t="s">
        <v>562</v>
      </c>
      <c r="G701" s="239" t="s">
        <v>929</v>
      </c>
      <c r="H701" s="240">
        <f t="shared" si="10"/>
        <v>59785</v>
      </c>
      <c r="I701" s="241"/>
      <c r="J701" s="221" t="b">
        <f>EXACT(E702,[1]Main!E702)</f>
        <v>1</v>
      </c>
    </row>
    <row r="702" spans="1:10" x14ac:dyDescent="0.25">
      <c r="A702" s="249">
        <v>45116</v>
      </c>
      <c r="B702" s="237"/>
      <c r="C702" s="238"/>
      <c r="D702" s="239"/>
      <c r="E702" s="237">
        <v>5000</v>
      </c>
      <c r="F702" s="242" t="s">
        <v>876</v>
      </c>
      <c r="G702" s="239" t="s">
        <v>930</v>
      </c>
      <c r="H702" s="240">
        <f t="shared" si="10"/>
        <v>54785</v>
      </c>
      <c r="I702" s="241"/>
      <c r="J702" s="221" t="b">
        <f>EXACT(E703,[1]Main!E703)</f>
        <v>1</v>
      </c>
    </row>
    <row r="703" spans="1:10" x14ac:dyDescent="0.25">
      <c r="A703" s="249">
        <v>45116</v>
      </c>
      <c r="B703" s="237"/>
      <c r="C703" s="238"/>
      <c r="D703" s="239"/>
      <c r="E703" s="237">
        <v>10000</v>
      </c>
      <c r="F703" s="242" t="s">
        <v>387</v>
      </c>
      <c r="G703" s="239" t="s">
        <v>929</v>
      </c>
      <c r="H703" s="240">
        <f t="shared" si="10"/>
        <v>44785</v>
      </c>
      <c r="I703" s="241" t="s">
        <v>877</v>
      </c>
      <c r="J703" s="221" t="b">
        <f>EXACT(E704,[1]Main!E704)</f>
        <v>1</v>
      </c>
    </row>
    <row r="704" spans="1:10" x14ac:dyDescent="0.25">
      <c r="A704" s="249">
        <v>45116</v>
      </c>
      <c r="B704" s="237"/>
      <c r="C704" s="238"/>
      <c r="D704" s="239"/>
      <c r="E704" s="237">
        <v>2100</v>
      </c>
      <c r="F704" s="242" t="s">
        <v>538</v>
      </c>
      <c r="G704" s="239" t="s">
        <v>464</v>
      </c>
      <c r="H704" s="240">
        <f t="shared" si="10"/>
        <v>42685</v>
      </c>
      <c r="I704" s="241"/>
      <c r="J704" s="221" t="b">
        <f>EXACT(E705,[1]Main!E705)</f>
        <v>1</v>
      </c>
    </row>
    <row r="705" spans="1:10" x14ac:dyDescent="0.25">
      <c r="A705" s="244">
        <v>45116</v>
      </c>
      <c r="B705" s="245"/>
      <c r="C705" s="246"/>
      <c r="D705" s="247"/>
      <c r="E705" s="245">
        <v>500</v>
      </c>
      <c r="F705" s="248" t="s">
        <v>530</v>
      </c>
      <c r="G705" s="247" t="s">
        <v>931</v>
      </c>
      <c r="H705" s="240">
        <f t="shared" si="10"/>
        <v>42185</v>
      </c>
      <c r="I705" s="241"/>
      <c r="J705" s="221" t="b">
        <f>EXACT(E706,[1]Main!E706)</f>
        <v>1</v>
      </c>
    </row>
    <row r="706" spans="1:10" x14ac:dyDescent="0.25">
      <c r="A706" s="249">
        <v>45117</v>
      </c>
      <c r="B706" s="237">
        <v>14145</v>
      </c>
      <c r="C706" s="238" t="s">
        <v>9</v>
      </c>
      <c r="D706" s="239" t="s">
        <v>763</v>
      </c>
      <c r="E706" s="237">
        <v>6115</v>
      </c>
      <c r="F706" s="242" t="s">
        <v>565</v>
      </c>
      <c r="G706" s="239" t="s">
        <v>928</v>
      </c>
      <c r="H706" s="240">
        <f t="shared" si="10"/>
        <v>50215</v>
      </c>
      <c r="I706" s="241"/>
      <c r="J706" s="221" t="b">
        <f>EXACT(E707,[1]Main!E707)</f>
        <v>1</v>
      </c>
    </row>
    <row r="707" spans="1:10" x14ac:dyDescent="0.25">
      <c r="A707" s="249">
        <v>45117</v>
      </c>
      <c r="B707" s="237">
        <v>1542</v>
      </c>
      <c r="C707" s="238" t="s">
        <v>28</v>
      </c>
      <c r="D707" s="239" t="s">
        <v>765</v>
      </c>
      <c r="E707" s="237">
        <v>8374</v>
      </c>
      <c r="F707" s="242" t="s">
        <v>793</v>
      </c>
      <c r="G707" s="239" t="s">
        <v>928</v>
      </c>
      <c r="H707" s="240">
        <f t="shared" si="10"/>
        <v>43383</v>
      </c>
      <c r="I707" s="241" t="s">
        <v>285</v>
      </c>
      <c r="J707" s="221" t="b">
        <f>EXACT(E708,[1]Main!E708)</f>
        <v>1</v>
      </c>
    </row>
    <row r="708" spans="1:10" x14ac:dyDescent="0.25">
      <c r="A708" s="249">
        <v>45117</v>
      </c>
      <c r="B708" s="237">
        <v>16960</v>
      </c>
      <c r="C708" s="238" t="s">
        <v>80</v>
      </c>
      <c r="D708" s="239" t="s">
        <v>763</v>
      </c>
      <c r="E708" s="237">
        <v>35</v>
      </c>
      <c r="F708" s="242" t="s">
        <v>33</v>
      </c>
      <c r="G708" s="239" t="s">
        <v>464</v>
      </c>
      <c r="H708" s="240">
        <f t="shared" si="10"/>
        <v>60308</v>
      </c>
      <c r="I708" s="241"/>
      <c r="J708" s="221" t="b">
        <f>EXACT(E709,[1]Main!E709)</f>
        <v>1</v>
      </c>
    </row>
    <row r="709" spans="1:10" x14ac:dyDescent="0.25">
      <c r="A709" s="249">
        <v>45117</v>
      </c>
      <c r="B709" s="237">
        <v>764</v>
      </c>
      <c r="C709" s="238" t="s">
        <v>81</v>
      </c>
      <c r="D709" s="239" t="s">
        <v>765</v>
      </c>
      <c r="E709" s="237">
        <v>45</v>
      </c>
      <c r="F709" s="242" t="s">
        <v>73</v>
      </c>
      <c r="G709" s="239" t="s">
        <v>945</v>
      </c>
      <c r="H709" s="240">
        <f t="shared" si="10"/>
        <v>61027</v>
      </c>
      <c r="I709" s="241"/>
      <c r="J709" s="221" t="b">
        <f>EXACT(E710,[1]Main!E710)</f>
        <v>1</v>
      </c>
    </row>
    <row r="710" spans="1:10" x14ac:dyDescent="0.25">
      <c r="A710" s="249">
        <v>45117</v>
      </c>
      <c r="B710" s="237">
        <v>500</v>
      </c>
      <c r="C710" s="238" t="s">
        <v>566</v>
      </c>
      <c r="D710" s="239" t="s">
        <v>931</v>
      </c>
      <c r="E710" s="237">
        <v>80</v>
      </c>
      <c r="F710" s="242" t="s">
        <v>10</v>
      </c>
      <c r="G710" s="239" t="s">
        <v>930</v>
      </c>
      <c r="H710" s="240">
        <f t="shared" si="10"/>
        <v>61447</v>
      </c>
      <c r="I710" s="241"/>
      <c r="J710" s="221" t="b">
        <f>EXACT(E711,[1]Main!E711)</f>
        <v>1</v>
      </c>
    </row>
    <row r="711" spans="1:10" x14ac:dyDescent="0.25">
      <c r="A711" s="249">
        <v>45117</v>
      </c>
      <c r="B711" s="237">
        <v>25</v>
      </c>
      <c r="C711" s="238" t="s">
        <v>399</v>
      </c>
      <c r="D711" s="239" t="s">
        <v>931</v>
      </c>
      <c r="E711" s="237">
        <v>2575</v>
      </c>
      <c r="F711" s="242" t="s">
        <v>568</v>
      </c>
      <c r="G711" s="239" t="s">
        <v>929</v>
      </c>
      <c r="H711" s="240">
        <f t="shared" ref="H711:H774" si="11">H710+B711-E711</f>
        <v>58897</v>
      </c>
      <c r="I711" s="241"/>
      <c r="J711" s="221" t="b">
        <f>EXACT(E712,[1]Main!E712)</f>
        <v>1</v>
      </c>
    </row>
    <row r="712" spans="1:10" x14ac:dyDescent="0.25">
      <c r="A712" s="249">
        <v>45117</v>
      </c>
      <c r="B712" s="237">
        <v>85</v>
      </c>
      <c r="C712" s="238" t="s">
        <v>541</v>
      </c>
      <c r="D712" s="239" t="s">
        <v>937</v>
      </c>
      <c r="E712" s="237">
        <v>1068</v>
      </c>
      <c r="F712" s="242" t="s">
        <v>505</v>
      </c>
      <c r="G712" s="239" t="s">
        <v>928</v>
      </c>
      <c r="H712" s="240">
        <f t="shared" si="11"/>
        <v>57914</v>
      </c>
      <c r="I712" s="241" t="s">
        <v>794</v>
      </c>
      <c r="J712" s="221" t="b">
        <f>EXACT(E713,[1]Main!E713)</f>
        <v>1</v>
      </c>
    </row>
    <row r="713" spans="1:10" x14ac:dyDescent="0.25">
      <c r="A713" s="249">
        <v>45117</v>
      </c>
      <c r="B713" s="237">
        <v>200</v>
      </c>
      <c r="C713" s="238" t="s">
        <v>573</v>
      </c>
      <c r="D713" s="239" t="s">
        <v>931</v>
      </c>
      <c r="E713" s="237">
        <v>8567</v>
      </c>
      <c r="F713" s="242" t="s">
        <v>793</v>
      </c>
      <c r="G713" s="239" t="s">
        <v>928</v>
      </c>
      <c r="H713" s="240">
        <f t="shared" si="11"/>
        <v>49547</v>
      </c>
      <c r="I713" s="241" t="s">
        <v>878</v>
      </c>
      <c r="J713" s="221" t="b">
        <f>EXACT(E714,[1]Main!E714)</f>
        <v>1</v>
      </c>
    </row>
    <row r="714" spans="1:10" x14ac:dyDescent="0.25">
      <c r="A714" s="249">
        <v>45117</v>
      </c>
      <c r="B714" s="237">
        <v>605</v>
      </c>
      <c r="C714" s="238" t="s">
        <v>27</v>
      </c>
      <c r="D714" s="239" t="s">
        <v>772</v>
      </c>
      <c r="E714" s="237">
        <v>833</v>
      </c>
      <c r="F714" s="242" t="s">
        <v>571</v>
      </c>
      <c r="G714" s="239" t="s">
        <v>928</v>
      </c>
      <c r="H714" s="240">
        <f t="shared" si="11"/>
        <v>49319</v>
      </c>
      <c r="I714" s="241"/>
      <c r="J714" s="221" t="b">
        <f>EXACT(E715,[1]Main!E715)</f>
        <v>1</v>
      </c>
    </row>
    <row r="715" spans="1:10" x14ac:dyDescent="0.25">
      <c r="A715" s="249">
        <v>45117</v>
      </c>
      <c r="B715" s="237">
        <v>5210</v>
      </c>
      <c r="C715" s="238" t="s">
        <v>6</v>
      </c>
      <c r="D715" s="239" t="s">
        <v>766</v>
      </c>
      <c r="E715" s="237">
        <v>4087</v>
      </c>
      <c r="F715" s="242" t="s">
        <v>44</v>
      </c>
      <c r="G715" s="239" t="s">
        <v>928</v>
      </c>
      <c r="H715" s="240">
        <f t="shared" si="11"/>
        <v>50442</v>
      </c>
      <c r="I715" s="241"/>
      <c r="J715" s="221" t="b">
        <f>EXACT(E716,[1]Main!E716)</f>
        <v>1</v>
      </c>
    </row>
    <row r="716" spans="1:10" x14ac:dyDescent="0.25">
      <c r="A716" s="249">
        <v>45117</v>
      </c>
      <c r="B716" s="237">
        <v>19562</v>
      </c>
      <c r="C716" s="238" t="s">
        <v>88</v>
      </c>
      <c r="D716" s="239" t="s">
        <v>766</v>
      </c>
      <c r="E716" s="237">
        <v>290</v>
      </c>
      <c r="F716" s="242" t="s">
        <v>34</v>
      </c>
      <c r="G716" s="239" t="s">
        <v>928</v>
      </c>
      <c r="H716" s="240">
        <f t="shared" si="11"/>
        <v>69714</v>
      </c>
      <c r="I716" s="241"/>
      <c r="J716" s="221" t="b">
        <f>EXACT(E717,[1]Main!E717)</f>
        <v>1</v>
      </c>
    </row>
    <row r="717" spans="1:10" x14ac:dyDescent="0.25">
      <c r="A717" s="249">
        <v>45117</v>
      </c>
      <c r="B717" s="237">
        <v>10</v>
      </c>
      <c r="C717" s="238" t="s">
        <v>747</v>
      </c>
      <c r="D717" s="239" t="s">
        <v>768</v>
      </c>
      <c r="E717" s="237">
        <v>770</v>
      </c>
      <c r="F717" s="242" t="s">
        <v>79</v>
      </c>
      <c r="G717" s="239" t="s">
        <v>929</v>
      </c>
      <c r="H717" s="240">
        <f t="shared" si="11"/>
        <v>68954</v>
      </c>
      <c r="I717" s="241" t="s">
        <v>828</v>
      </c>
      <c r="J717" s="221" t="b">
        <f>EXACT(E718,[1]Main!E718)</f>
        <v>1</v>
      </c>
    </row>
    <row r="718" spans="1:10" x14ac:dyDescent="0.25">
      <c r="A718" s="249">
        <v>45117</v>
      </c>
      <c r="B718" s="237">
        <v>505</v>
      </c>
      <c r="C718" s="238" t="s">
        <v>27</v>
      </c>
      <c r="D718" s="239" t="s">
        <v>772</v>
      </c>
      <c r="E718" s="237">
        <v>280</v>
      </c>
      <c r="F718" s="242" t="s">
        <v>7</v>
      </c>
      <c r="G718" s="239" t="s">
        <v>930</v>
      </c>
      <c r="H718" s="240">
        <f t="shared" si="11"/>
        <v>69179</v>
      </c>
      <c r="I718" s="241"/>
      <c r="J718" s="221" t="b">
        <f>EXACT(E719,[1]Main!E719)</f>
        <v>1</v>
      </c>
    </row>
    <row r="719" spans="1:10" x14ac:dyDescent="0.25">
      <c r="A719" s="249">
        <v>45117</v>
      </c>
      <c r="B719" s="237">
        <v>19283</v>
      </c>
      <c r="C719" s="238" t="s">
        <v>15</v>
      </c>
      <c r="D719" s="239" t="s">
        <v>766</v>
      </c>
      <c r="E719" s="237">
        <v>265</v>
      </c>
      <c r="F719" s="242" t="s">
        <v>66</v>
      </c>
      <c r="G719" s="239" t="s">
        <v>928</v>
      </c>
      <c r="H719" s="240">
        <f t="shared" si="11"/>
        <v>88197</v>
      </c>
      <c r="I719" s="241"/>
      <c r="J719" s="221" t="b">
        <f>EXACT(E720,[1]Main!E720)</f>
        <v>1</v>
      </c>
    </row>
    <row r="720" spans="1:10" x14ac:dyDescent="0.25">
      <c r="A720" s="249">
        <v>45117</v>
      </c>
      <c r="B720" s="237">
        <v>570</v>
      </c>
      <c r="C720" s="238" t="s">
        <v>90</v>
      </c>
      <c r="D720" s="239" t="s">
        <v>768</v>
      </c>
      <c r="E720" s="237">
        <v>240</v>
      </c>
      <c r="F720" s="242" t="s">
        <v>399</v>
      </c>
      <c r="G720" s="239" t="s">
        <v>930</v>
      </c>
      <c r="H720" s="240">
        <f t="shared" si="11"/>
        <v>88527</v>
      </c>
      <c r="I720" s="241"/>
      <c r="J720" s="221" t="b">
        <f>EXACT(E721,[1]Main!E721)</f>
        <v>1</v>
      </c>
    </row>
    <row r="721" spans="1:10" x14ac:dyDescent="0.25">
      <c r="A721" s="249">
        <v>45117</v>
      </c>
      <c r="B721" s="237">
        <v>21</v>
      </c>
      <c r="C721" s="238" t="s">
        <v>595</v>
      </c>
      <c r="D721" s="239" t="s">
        <v>763</v>
      </c>
      <c r="E721" s="237">
        <v>3225</v>
      </c>
      <c r="F721" s="242" t="s">
        <v>12</v>
      </c>
      <c r="G721" s="239" t="s">
        <v>974</v>
      </c>
      <c r="H721" s="240">
        <f t="shared" si="11"/>
        <v>85323</v>
      </c>
      <c r="I721" s="241"/>
      <c r="J721" s="221" t="b">
        <f>EXACT(E722,[1]Main!E722)</f>
        <v>1</v>
      </c>
    </row>
    <row r="722" spans="1:10" x14ac:dyDescent="0.25">
      <c r="A722" s="249">
        <v>45117</v>
      </c>
      <c r="B722" s="237">
        <v>22020</v>
      </c>
      <c r="C722" s="238" t="s">
        <v>363</v>
      </c>
      <c r="D722" s="239" t="s">
        <v>763</v>
      </c>
      <c r="E722" s="237">
        <v>665</v>
      </c>
      <c r="F722" s="242" t="s">
        <v>572</v>
      </c>
      <c r="G722" s="239" t="s">
        <v>928</v>
      </c>
      <c r="H722" s="240">
        <f t="shared" si="11"/>
        <v>106678</v>
      </c>
      <c r="I722" s="241"/>
      <c r="J722" s="221" t="b">
        <f>EXACT(E723,[1]Main!E723)</f>
        <v>1</v>
      </c>
    </row>
    <row r="723" spans="1:10" x14ac:dyDescent="0.25">
      <c r="A723" s="249">
        <v>45117</v>
      </c>
      <c r="B723" s="237">
        <v>923</v>
      </c>
      <c r="C723" s="238" t="s">
        <v>921</v>
      </c>
      <c r="D723" s="239" t="s">
        <v>765</v>
      </c>
      <c r="E723" s="237">
        <v>50</v>
      </c>
      <c r="F723" s="242" t="s">
        <v>13</v>
      </c>
      <c r="G723" s="239" t="s">
        <v>930</v>
      </c>
      <c r="H723" s="240">
        <f t="shared" si="11"/>
        <v>107551</v>
      </c>
      <c r="I723" s="241"/>
      <c r="J723" s="221" t="b">
        <f>EXACT(E724,[1]Main!E724)</f>
        <v>1</v>
      </c>
    </row>
    <row r="724" spans="1:10" x14ac:dyDescent="0.25">
      <c r="A724" s="249">
        <v>45117</v>
      </c>
      <c r="B724" s="237">
        <v>11189</v>
      </c>
      <c r="C724" s="238" t="s">
        <v>85</v>
      </c>
      <c r="D724" s="239" t="s">
        <v>766</v>
      </c>
      <c r="E724" s="237">
        <v>120</v>
      </c>
      <c r="F724" s="242" t="s">
        <v>38</v>
      </c>
      <c r="G724" s="239" t="s">
        <v>930</v>
      </c>
      <c r="H724" s="240">
        <f t="shared" si="11"/>
        <v>118620</v>
      </c>
      <c r="I724" s="241"/>
      <c r="J724" s="221" t="b">
        <f>EXACT(E725,[1]Main!E725)</f>
        <v>1</v>
      </c>
    </row>
    <row r="725" spans="1:10" x14ac:dyDescent="0.25">
      <c r="A725" s="249">
        <v>45117</v>
      </c>
      <c r="B725" s="237">
        <v>6620</v>
      </c>
      <c r="C725" s="238" t="s">
        <v>60</v>
      </c>
      <c r="D725" s="239" t="s">
        <v>763</v>
      </c>
      <c r="E725" s="237">
        <v>100</v>
      </c>
      <c r="F725" s="242" t="s">
        <v>301</v>
      </c>
      <c r="G725" s="239" t="s">
        <v>930</v>
      </c>
      <c r="H725" s="240">
        <f t="shared" si="11"/>
        <v>125140</v>
      </c>
      <c r="I725" s="241"/>
      <c r="J725" s="221" t="b">
        <f>EXACT(E726,[1]Main!E726)</f>
        <v>1</v>
      </c>
    </row>
    <row r="726" spans="1:10" x14ac:dyDescent="0.25">
      <c r="A726" s="249">
        <v>45117</v>
      </c>
      <c r="B726" s="237"/>
      <c r="C726" s="238"/>
      <c r="D726" s="239"/>
      <c r="E726" s="237">
        <v>1130</v>
      </c>
      <c r="F726" s="242" t="s">
        <v>51</v>
      </c>
      <c r="G726" s="239" t="s">
        <v>928</v>
      </c>
      <c r="H726" s="240">
        <f t="shared" si="11"/>
        <v>124010</v>
      </c>
      <c r="I726" s="241"/>
      <c r="J726" s="221" t="b">
        <f>EXACT(E727,[1]Main!E727)</f>
        <v>1</v>
      </c>
    </row>
    <row r="727" spans="1:10" x14ac:dyDescent="0.25">
      <c r="A727" s="249">
        <v>45117</v>
      </c>
      <c r="B727" s="237"/>
      <c r="C727" s="238"/>
      <c r="D727" s="239"/>
      <c r="E727" s="237">
        <v>4950</v>
      </c>
      <c r="F727" s="242" t="s">
        <v>574</v>
      </c>
      <c r="G727" s="239" t="s">
        <v>929</v>
      </c>
      <c r="H727" s="240">
        <f t="shared" si="11"/>
        <v>119060</v>
      </c>
      <c r="I727" s="241"/>
      <c r="J727" s="221" t="b">
        <f>EXACT(E728,[1]Main!E728)</f>
        <v>1</v>
      </c>
    </row>
    <row r="728" spans="1:10" x14ac:dyDescent="0.25">
      <c r="A728" s="249">
        <v>45117</v>
      </c>
      <c r="B728" s="237"/>
      <c r="C728" s="238"/>
      <c r="D728" s="239"/>
      <c r="E728" s="237">
        <v>182</v>
      </c>
      <c r="F728" s="242" t="s">
        <v>86</v>
      </c>
      <c r="G728" s="239" t="s">
        <v>930</v>
      </c>
      <c r="H728" s="240">
        <f t="shared" si="11"/>
        <v>118878</v>
      </c>
      <c r="I728" s="241"/>
      <c r="J728" s="221" t="b">
        <f>EXACT(E729,[1]Main!E729)</f>
        <v>1</v>
      </c>
    </row>
    <row r="729" spans="1:10" x14ac:dyDescent="0.25">
      <c r="A729" s="249">
        <v>45117</v>
      </c>
      <c r="B729" s="237"/>
      <c r="C729" s="238"/>
      <c r="D729" s="239"/>
      <c r="E729" s="237">
        <v>85</v>
      </c>
      <c r="F729" s="242" t="s">
        <v>510</v>
      </c>
      <c r="G729" s="239" t="s">
        <v>930</v>
      </c>
      <c r="H729" s="240">
        <f t="shared" si="11"/>
        <v>118793</v>
      </c>
      <c r="I729" s="241"/>
      <c r="J729" s="221" t="b">
        <f>EXACT(E730,[1]Main!E730)</f>
        <v>1</v>
      </c>
    </row>
    <row r="730" spans="1:10" x14ac:dyDescent="0.25">
      <c r="A730" s="249">
        <v>45117</v>
      </c>
      <c r="B730" s="237"/>
      <c r="C730" s="238"/>
      <c r="D730" s="239"/>
      <c r="E730" s="237">
        <v>120</v>
      </c>
      <c r="F730" s="242" t="s">
        <v>497</v>
      </c>
      <c r="G730" s="239" t="s">
        <v>929</v>
      </c>
      <c r="H730" s="240">
        <f t="shared" si="11"/>
        <v>118673</v>
      </c>
      <c r="I730" s="241"/>
      <c r="J730" s="221" t="b">
        <f>EXACT(E731,[1]Main!E731)</f>
        <v>1</v>
      </c>
    </row>
    <row r="731" spans="1:10" x14ac:dyDescent="0.25">
      <c r="A731" s="249">
        <v>45117</v>
      </c>
      <c r="B731" s="237"/>
      <c r="C731" s="238"/>
      <c r="D731" s="239"/>
      <c r="E731" s="237">
        <v>100</v>
      </c>
      <c r="F731" s="242" t="s">
        <v>9</v>
      </c>
      <c r="G731" s="239" t="s">
        <v>930</v>
      </c>
      <c r="H731" s="240">
        <f t="shared" si="11"/>
        <v>118573</v>
      </c>
      <c r="I731" s="241"/>
      <c r="J731" s="221" t="b">
        <f>EXACT(E732,[1]Main!E732)</f>
        <v>1</v>
      </c>
    </row>
    <row r="732" spans="1:10" x14ac:dyDescent="0.25">
      <c r="A732" s="249">
        <v>45117</v>
      </c>
      <c r="B732" s="237"/>
      <c r="C732" s="238"/>
      <c r="D732" s="239"/>
      <c r="E732" s="237">
        <v>120</v>
      </c>
      <c r="F732" s="242" t="s">
        <v>39</v>
      </c>
      <c r="G732" s="239" t="s">
        <v>930</v>
      </c>
      <c r="H732" s="240">
        <f t="shared" si="11"/>
        <v>118453</v>
      </c>
      <c r="I732" s="241"/>
      <c r="J732" s="221" t="b">
        <f>EXACT(E733,[1]Main!E733)</f>
        <v>1</v>
      </c>
    </row>
    <row r="733" spans="1:10" x14ac:dyDescent="0.25">
      <c r="A733" s="249">
        <v>45117</v>
      </c>
      <c r="B733" s="237"/>
      <c r="C733" s="238"/>
      <c r="D733" s="239"/>
      <c r="E733" s="237">
        <v>135</v>
      </c>
      <c r="F733" s="242" t="s">
        <v>34</v>
      </c>
      <c r="G733" s="239" t="s">
        <v>930</v>
      </c>
      <c r="H733" s="240">
        <f t="shared" si="11"/>
        <v>118318</v>
      </c>
      <c r="I733" s="241"/>
      <c r="J733" s="221" t="b">
        <f>EXACT(E734,[1]Main!E734)</f>
        <v>1</v>
      </c>
    </row>
    <row r="734" spans="1:10" x14ac:dyDescent="0.25">
      <c r="A734" s="249">
        <v>45117</v>
      </c>
      <c r="B734" s="237"/>
      <c r="C734" s="238"/>
      <c r="D734" s="239"/>
      <c r="E734" s="237">
        <v>305</v>
      </c>
      <c r="F734" s="242" t="s">
        <v>8</v>
      </c>
      <c r="G734" s="239" t="s">
        <v>930</v>
      </c>
      <c r="H734" s="240">
        <f t="shared" si="11"/>
        <v>118013</v>
      </c>
      <c r="I734" s="241"/>
      <c r="J734" s="221" t="b">
        <f>EXACT(E735,[1]Main!E735)</f>
        <v>1</v>
      </c>
    </row>
    <row r="735" spans="1:10" x14ac:dyDescent="0.25">
      <c r="A735" s="249">
        <v>45117</v>
      </c>
      <c r="B735" s="237"/>
      <c r="C735" s="238"/>
      <c r="D735" s="239"/>
      <c r="E735" s="237">
        <v>1600</v>
      </c>
      <c r="F735" s="242" t="s">
        <v>575</v>
      </c>
      <c r="G735" s="239" t="s">
        <v>928</v>
      </c>
      <c r="H735" s="240">
        <f t="shared" si="11"/>
        <v>116413</v>
      </c>
      <c r="I735" s="241"/>
      <c r="J735" s="221" t="b">
        <f>EXACT(E736,[1]Main!E736)</f>
        <v>1</v>
      </c>
    </row>
    <row r="736" spans="1:10" x14ac:dyDescent="0.25">
      <c r="A736" s="249">
        <v>45117</v>
      </c>
      <c r="B736" s="237"/>
      <c r="C736" s="238"/>
      <c r="D736" s="239"/>
      <c r="E736" s="237">
        <v>3685</v>
      </c>
      <c r="F736" s="242" t="s">
        <v>576</v>
      </c>
      <c r="G736" s="239" t="s">
        <v>928</v>
      </c>
      <c r="H736" s="240">
        <f t="shared" si="11"/>
        <v>112728</v>
      </c>
      <c r="I736" s="241"/>
      <c r="J736" s="221" t="b">
        <f>EXACT(E737,[1]Main!E737)</f>
        <v>1</v>
      </c>
    </row>
    <row r="737" spans="1:10" x14ac:dyDescent="0.25">
      <c r="A737" s="249">
        <v>45117</v>
      </c>
      <c r="B737" s="237"/>
      <c r="C737" s="238"/>
      <c r="D737" s="239"/>
      <c r="E737" s="237">
        <v>135</v>
      </c>
      <c r="F737" s="242" t="s">
        <v>577</v>
      </c>
      <c r="G737" s="239" t="s">
        <v>935</v>
      </c>
      <c r="H737" s="240">
        <f t="shared" si="11"/>
        <v>112593</v>
      </c>
      <c r="I737" s="241"/>
      <c r="J737" s="221" t="b">
        <f>EXACT(E738,[1]Main!E738)</f>
        <v>1</v>
      </c>
    </row>
    <row r="738" spans="1:10" x14ac:dyDescent="0.25">
      <c r="A738" s="249">
        <v>45117</v>
      </c>
      <c r="B738" s="237"/>
      <c r="C738" s="238"/>
      <c r="D738" s="239"/>
      <c r="E738" s="237">
        <v>1135</v>
      </c>
      <c r="F738" s="242" t="s">
        <v>56</v>
      </c>
      <c r="G738" s="239" t="s">
        <v>928</v>
      </c>
      <c r="H738" s="240">
        <f t="shared" si="11"/>
        <v>111458</v>
      </c>
      <c r="I738" s="241"/>
      <c r="J738" s="221" t="b">
        <f>EXACT(E739,[1]Main!E739)</f>
        <v>1</v>
      </c>
    </row>
    <row r="739" spans="1:10" x14ac:dyDescent="0.25">
      <c r="A739" s="249">
        <v>45117</v>
      </c>
      <c r="B739" s="237"/>
      <c r="C739" s="238"/>
      <c r="D739" s="239"/>
      <c r="E739" s="237">
        <v>130</v>
      </c>
      <c r="F739" s="242" t="s">
        <v>341</v>
      </c>
      <c r="G739" s="239" t="s">
        <v>930</v>
      </c>
      <c r="H739" s="240">
        <f t="shared" si="11"/>
        <v>111328</v>
      </c>
      <c r="I739" s="241"/>
      <c r="J739" s="221" t="b">
        <f>EXACT(E740,[1]Main!E740)</f>
        <v>1</v>
      </c>
    </row>
    <row r="740" spans="1:10" x14ac:dyDescent="0.25">
      <c r="A740" s="249">
        <v>45117</v>
      </c>
      <c r="B740" s="237"/>
      <c r="C740" s="238"/>
      <c r="D740" s="239"/>
      <c r="E740" s="237">
        <v>425</v>
      </c>
      <c r="F740" s="242" t="s">
        <v>505</v>
      </c>
      <c r="G740" s="239" t="s">
        <v>928</v>
      </c>
      <c r="H740" s="240">
        <f t="shared" si="11"/>
        <v>110903</v>
      </c>
      <c r="I740" s="241" t="s">
        <v>828</v>
      </c>
      <c r="J740" s="221" t="b">
        <f>EXACT(E741,[1]Main!E741)</f>
        <v>1</v>
      </c>
    </row>
    <row r="741" spans="1:10" x14ac:dyDescent="0.25">
      <c r="A741" s="249">
        <v>45117</v>
      </c>
      <c r="B741" s="237"/>
      <c r="C741" s="238"/>
      <c r="D741" s="239"/>
      <c r="E741" s="237">
        <v>195</v>
      </c>
      <c r="F741" s="242" t="s">
        <v>255</v>
      </c>
      <c r="G741" s="239" t="s">
        <v>930</v>
      </c>
      <c r="H741" s="240">
        <f t="shared" si="11"/>
        <v>110708</v>
      </c>
      <c r="I741" s="241"/>
      <c r="J741" s="221" t="b">
        <f>EXACT(E742,[1]Main!E742)</f>
        <v>1</v>
      </c>
    </row>
    <row r="742" spans="1:10" x14ac:dyDescent="0.25">
      <c r="A742" s="249">
        <v>45117</v>
      </c>
      <c r="B742" s="237"/>
      <c r="C742" s="238"/>
      <c r="D742" s="239"/>
      <c r="E742" s="237">
        <v>579</v>
      </c>
      <c r="F742" s="242" t="s">
        <v>252</v>
      </c>
      <c r="G742" s="239" t="s">
        <v>935</v>
      </c>
      <c r="H742" s="240">
        <f t="shared" si="11"/>
        <v>110129</v>
      </c>
      <c r="I742" s="241"/>
      <c r="J742" s="221" t="b">
        <f>EXACT(E743,[1]Main!E743)</f>
        <v>1</v>
      </c>
    </row>
    <row r="743" spans="1:10" x14ac:dyDescent="0.25">
      <c r="A743" s="249">
        <v>45117</v>
      </c>
      <c r="B743" s="237"/>
      <c r="C743" s="238"/>
      <c r="D743" s="239"/>
      <c r="E743" s="237">
        <v>2000</v>
      </c>
      <c r="F743" s="242" t="s">
        <v>737</v>
      </c>
      <c r="G743" s="239" t="s">
        <v>928</v>
      </c>
      <c r="H743" s="240">
        <f t="shared" si="11"/>
        <v>108129</v>
      </c>
      <c r="I743" s="241" t="s">
        <v>879</v>
      </c>
      <c r="J743" s="221" t="b">
        <f>EXACT(E744,[1]Main!E744)</f>
        <v>1</v>
      </c>
    </row>
    <row r="744" spans="1:10" x14ac:dyDescent="0.25">
      <c r="A744" s="249">
        <v>45117</v>
      </c>
      <c r="B744" s="237"/>
      <c r="C744" s="238"/>
      <c r="D744" s="239"/>
      <c r="E744" s="237">
        <v>2145</v>
      </c>
      <c r="F744" s="242" t="s">
        <v>580</v>
      </c>
      <c r="G744" s="239" t="s">
        <v>928</v>
      </c>
      <c r="H744" s="240">
        <f t="shared" si="11"/>
        <v>105984</v>
      </c>
      <c r="I744" s="241"/>
      <c r="J744" s="221" t="b">
        <f>EXACT(E745,[1]Main!E745)</f>
        <v>1</v>
      </c>
    </row>
    <row r="745" spans="1:10" x14ac:dyDescent="0.25">
      <c r="A745" s="249">
        <v>45117</v>
      </c>
      <c r="B745" s="237"/>
      <c r="C745" s="238"/>
      <c r="D745" s="239"/>
      <c r="E745" s="237">
        <v>1000</v>
      </c>
      <c r="F745" s="242" t="s">
        <v>230</v>
      </c>
      <c r="G745" s="239" t="s">
        <v>928</v>
      </c>
      <c r="H745" s="240">
        <f t="shared" si="11"/>
        <v>104984</v>
      </c>
      <c r="I745" s="241" t="s">
        <v>855</v>
      </c>
      <c r="J745" s="221" t="b">
        <f>EXACT(E746,[1]Main!E746)</f>
        <v>1</v>
      </c>
    </row>
    <row r="746" spans="1:10" x14ac:dyDescent="0.25">
      <c r="A746" s="249">
        <v>45117</v>
      </c>
      <c r="B746" s="237"/>
      <c r="C746" s="238"/>
      <c r="D746" s="239"/>
      <c r="E746" s="237">
        <v>105</v>
      </c>
      <c r="F746" s="242" t="s">
        <v>582</v>
      </c>
      <c r="G746" s="239" t="s">
        <v>930</v>
      </c>
      <c r="H746" s="240">
        <f t="shared" si="11"/>
        <v>104879</v>
      </c>
      <c r="I746" s="241"/>
      <c r="J746" s="221" t="b">
        <f>EXACT(E747,[1]Main!E747)</f>
        <v>1</v>
      </c>
    </row>
    <row r="747" spans="1:10" x14ac:dyDescent="0.25">
      <c r="A747" s="249">
        <v>45117</v>
      </c>
      <c r="B747" s="237"/>
      <c r="C747" s="238"/>
      <c r="D747" s="239"/>
      <c r="E747" s="237">
        <v>5245</v>
      </c>
      <c r="F747" s="242" t="s">
        <v>793</v>
      </c>
      <c r="G747" s="239" t="s">
        <v>928</v>
      </c>
      <c r="H747" s="240">
        <f t="shared" si="11"/>
        <v>99634</v>
      </c>
      <c r="I747" s="241" t="s">
        <v>880</v>
      </c>
      <c r="J747" s="221" t="b">
        <f>EXACT(E748,[1]Main!E748)</f>
        <v>1</v>
      </c>
    </row>
    <row r="748" spans="1:10" x14ac:dyDescent="0.25">
      <c r="A748" s="249">
        <v>45117</v>
      </c>
      <c r="B748" s="237"/>
      <c r="C748" s="238"/>
      <c r="D748" s="239"/>
      <c r="E748" s="237">
        <v>3000</v>
      </c>
      <c r="F748" s="242" t="s">
        <v>182</v>
      </c>
      <c r="G748" s="239" t="s">
        <v>941</v>
      </c>
      <c r="H748" s="240">
        <f t="shared" si="11"/>
        <v>96634</v>
      </c>
      <c r="I748" s="241"/>
      <c r="J748" s="221" t="b">
        <f>EXACT(E749,[1]Main!E749)</f>
        <v>1</v>
      </c>
    </row>
    <row r="749" spans="1:10" x14ac:dyDescent="0.25">
      <c r="A749" s="249">
        <v>45117</v>
      </c>
      <c r="B749" s="237"/>
      <c r="C749" s="238"/>
      <c r="D749" s="239"/>
      <c r="E749" s="237">
        <v>11000</v>
      </c>
      <c r="F749" s="242" t="s">
        <v>584</v>
      </c>
      <c r="G749" s="239" t="s">
        <v>936</v>
      </c>
      <c r="H749" s="240">
        <f t="shared" si="11"/>
        <v>85634</v>
      </c>
      <c r="I749" s="241"/>
      <c r="J749" s="221" t="b">
        <f>EXACT(E750,[1]Main!E750)</f>
        <v>1</v>
      </c>
    </row>
    <row r="750" spans="1:10" x14ac:dyDescent="0.25">
      <c r="A750" s="249">
        <v>45117</v>
      </c>
      <c r="B750" s="237"/>
      <c r="C750" s="238"/>
      <c r="D750" s="239"/>
      <c r="E750" s="237">
        <v>1000</v>
      </c>
      <c r="F750" s="242" t="s">
        <v>881</v>
      </c>
      <c r="G750" s="239" t="s">
        <v>928</v>
      </c>
      <c r="H750" s="240">
        <f t="shared" si="11"/>
        <v>84634</v>
      </c>
      <c r="I750" s="241" t="s">
        <v>789</v>
      </c>
      <c r="J750" s="221" t="b">
        <f>EXACT(E751,[1]Main!E751)</f>
        <v>1</v>
      </c>
    </row>
    <row r="751" spans="1:10" x14ac:dyDescent="0.25">
      <c r="A751" s="249">
        <v>45117</v>
      </c>
      <c r="B751" s="237"/>
      <c r="C751" s="238"/>
      <c r="D751" s="239"/>
      <c r="E751" s="237">
        <v>43</v>
      </c>
      <c r="F751" s="242" t="s">
        <v>339</v>
      </c>
      <c r="G751" s="239" t="s">
        <v>935</v>
      </c>
      <c r="H751" s="240">
        <f t="shared" si="11"/>
        <v>84591</v>
      </c>
      <c r="I751" s="241"/>
      <c r="J751" s="221" t="b">
        <f>EXACT(E752,[1]Main!E752)</f>
        <v>1</v>
      </c>
    </row>
    <row r="752" spans="1:10" x14ac:dyDescent="0.25">
      <c r="A752" s="249">
        <v>45117</v>
      </c>
      <c r="B752" s="237"/>
      <c r="C752" s="238"/>
      <c r="D752" s="239"/>
      <c r="E752" s="237">
        <v>850</v>
      </c>
      <c r="F752" s="242" t="s">
        <v>586</v>
      </c>
      <c r="G752" s="239" t="s">
        <v>928</v>
      </c>
      <c r="H752" s="240">
        <f t="shared" si="11"/>
        <v>83741</v>
      </c>
      <c r="I752" s="241"/>
      <c r="J752" s="221" t="b">
        <f>EXACT(E753,[1]Main!E753)</f>
        <v>1</v>
      </c>
    </row>
    <row r="753" spans="1:10" x14ac:dyDescent="0.25">
      <c r="A753" s="249">
        <v>45117</v>
      </c>
      <c r="B753" s="237"/>
      <c r="C753" s="238"/>
      <c r="D753" s="239"/>
      <c r="E753" s="237">
        <v>100</v>
      </c>
      <c r="F753" s="242" t="s">
        <v>494</v>
      </c>
      <c r="G753" s="239" t="s">
        <v>930</v>
      </c>
      <c r="H753" s="240">
        <f t="shared" si="11"/>
        <v>83641</v>
      </c>
      <c r="I753" s="241"/>
      <c r="J753" s="221" t="b">
        <f>EXACT(E754,[1]Main!E754)</f>
        <v>1</v>
      </c>
    </row>
    <row r="754" spans="1:10" x14ac:dyDescent="0.25">
      <c r="A754" s="249">
        <v>45117</v>
      </c>
      <c r="B754" s="237"/>
      <c r="C754" s="238"/>
      <c r="D754" s="239"/>
      <c r="E754" s="237">
        <v>615</v>
      </c>
      <c r="F754" s="242" t="s">
        <v>439</v>
      </c>
      <c r="G754" s="239" t="s">
        <v>929</v>
      </c>
      <c r="H754" s="240">
        <f t="shared" si="11"/>
        <v>83026</v>
      </c>
      <c r="I754" s="241"/>
      <c r="J754" s="221" t="b">
        <f>EXACT(E755,[1]Main!E755)</f>
        <v>1</v>
      </c>
    </row>
    <row r="755" spans="1:10" x14ac:dyDescent="0.25">
      <c r="A755" s="249">
        <v>45117</v>
      </c>
      <c r="B755" s="237"/>
      <c r="C755" s="238"/>
      <c r="D755" s="239"/>
      <c r="E755" s="237">
        <v>3690</v>
      </c>
      <c r="F755" s="242" t="s">
        <v>587</v>
      </c>
      <c r="G755" s="239" t="s">
        <v>929</v>
      </c>
      <c r="H755" s="240">
        <f t="shared" si="11"/>
        <v>79336</v>
      </c>
      <c r="I755" s="241"/>
      <c r="J755" s="221" t="b">
        <f>EXACT(E756,[1]Main!E756)</f>
        <v>1</v>
      </c>
    </row>
    <row r="756" spans="1:10" x14ac:dyDescent="0.25">
      <c r="A756" s="249">
        <v>45117</v>
      </c>
      <c r="B756" s="237"/>
      <c r="C756" s="238"/>
      <c r="D756" s="239"/>
      <c r="E756" s="237">
        <v>170</v>
      </c>
      <c r="F756" s="242" t="s">
        <v>498</v>
      </c>
      <c r="G756" s="239" t="s">
        <v>930</v>
      </c>
      <c r="H756" s="240">
        <f t="shared" si="11"/>
        <v>79166</v>
      </c>
      <c r="I756" s="241"/>
      <c r="J756" s="221" t="b">
        <f>EXACT(E757,[1]Main!E757)</f>
        <v>1</v>
      </c>
    </row>
    <row r="757" spans="1:10" x14ac:dyDescent="0.25">
      <c r="A757" s="249">
        <v>45117</v>
      </c>
      <c r="B757" s="237"/>
      <c r="C757" s="238"/>
      <c r="D757" s="239"/>
      <c r="E757" s="237">
        <v>100</v>
      </c>
      <c r="F757" s="242" t="s">
        <v>588</v>
      </c>
      <c r="G757" s="239" t="s">
        <v>930</v>
      </c>
      <c r="H757" s="240">
        <f t="shared" si="11"/>
        <v>79066</v>
      </c>
      <c r="I757" s="241"/>
      <c r="J757" s="221" t="b">
        <f>EXACT(E758,[1]Main!E758)</f>
        <v>1</v>
      </c>
    </row>
    <row r="758" spans="1:10" x14ac:dyDescent="0.25">
      <c r="A758" s="249">
        <v>45117</v>
      </c>
      <c r="B758" s="237"/>
      <c r="C758" s="238"/>
      <c r="D758" s="239"/>
      <c r="E758" s="237">
        <v>5</v>
      </c>
      <c r="F758" s="242" t="s">
        <v>458</v>
      </c>
      <c r="G758" s="239" t="s">
        <v>464</v>
      </c>
      <c r="H758" s="240">
        <f t="shared" si="11"/>
        <v>79061</v>
      </c>
      <c r="I758" s="241"/>
      <c r="J758" s="221" t="b">
        <f>EXACT(E759,[1]Main!E759)</f>
        <v>1</v>
      </c>
    </row>
    <row r="759" spans="1:10" x14ac:dyDescent="0.25">
      <c r="A759" s="249">
        <v>45117</v>
      </c>
      <c r="B759" s="237"/>
      <c r="C759" s="238"/>
      <c r="D759" s="239"/>
      <c r="E759" s="237">
        <v>1695</v>
      </c>
      <c r="F759" s="242" t="s">
        <v>439</v>
      </c>
      <c r="G759" s="239" t="s">
        <v>929</v>
      </c>
      <c r="H759" s="240">
        <f t="shared" si="11"/>
        <v>77366</v>
      </c>
      <c r="I759" s="241" t="s">
        <v>301</v>
      </c>
      <c r="J759" s="221" t="b">
        <f>EXACT(E760,[1]Main!E760)</f>
        <v>1</v>
      </c>
    </row>
    <row r="760" spans="1:10" x14ac:dyDescent="0.25">
      <c r="A760" s="249">
        <v>45117</v>
      </c>
      <c r="B760" s="237"/>
      <c r="C760" s="238"/>
      <c r="D760" s="239"/>
      <c r="E760" s="237">
        <v>160</v>
      </c>
      <c r="F760" s="242" t="s">
        <v>15</v>
      </c>
      <c r="G760" s="239" t="s">
        <v>930</v>
      </c>
      <c r="H760" s="240">
        <f t="shared" si="11"/>
        <v>77206</v>
      </c>
      <c r="I760" s="241"/>
      <c r="J760" s="221" t="b">
        <f>EXACT(E761,[1]Main!E761)</f>
        <v>1</v>
      </c>
    </row>
    <row r="761" spans="1:10" x14ac:dyDescent="0.25">
      <c r="A761" s="249">
        <v>45117</v>
      </c>
      <c r="B761" s="237"/>
      <c r="C761" s="238"/>
      <c r="D761" s="239"/>
      <c r="E761" s="237">
        <v>7350</v>
      </c>
      <c r="F761" s="242" t="s">
        <v>590</v>
      </c>
      <c r="G761" s="239" t="s">
        <v>929</v>
      </c>
      <c r="H761" s="240">
        <f t="shared" si="11"/>
        <v>69856</v>
      </c>
      <c r="I761" s="241"/>
      <c r="J761" s="221" t="b">
        <f>EXACT(E762,[1]Main!E762)</f>
        <v>1</v>
      </c>
    </row>
    <row r="762" spans="1:10" x14ac:dyDescent="0.25">
      <c r="A762" s="249">
        <v>45117</v>
      </c>
      <c r="B762" s="237"/>
      <c r="C762" s="238"/>
      <c r="D762" s="239"/>
      <c r="E762" s="237">
        <v>90</v>
      </c>
      <c r="F762" s="242" t="s">
        <v>223</v>
      </c>
      <c r="G762" s="239" t="s">
        <v>930</v>
      </c>
      <c r="H762" s="240">
        <f t="shared" si="11"/>
        <v>69766</v>
      </c>
      <c r="I762" s="241"/>
      <c r="J762" s="221" t="b">
        <f>EXACT(E763,[1]Main!E763)</f>
        <v>1</v>
      </c>
    </row>
    <row r="763" spans="1:10" x14ac:dyDescent="0.25">
      <c r="A763" s="249">
        <v>45117</v>
      </c>
      <c r="B763" s="237"/>
      <c r="C763" s="238"/>
      <c r="D763" s="239"/>
      <c r="E763" s="237">
        <v>5000</v>
      </c>
      <c r="F763" s="242" t="s">
        <v>594</v>
      </c>
      <c r="G763" s="239" t="s">
        <v>928</v>
      </c>
      <c r="H763" s="240">
        <f t="shared" si="11"/>
        <v>64766</v>
      </c>
      <c r="I763" s="241"/>
      <c r="J763" s="221" t="b">
        <f>EXACT(E764,[1]Main!E764)</f>
        <v>1</v>
      </c>
    </row>
    <row r="764" spans="1:10" x14ac:dyDescent="0.25">
      <c r="A764" s="249">
        <v>45117</v>
      </c>
      <c r="B764" s="237"/>
      <c r="C764" s="238"/>
      <c r="D764" s="239"/>
      <c r="E764" s="237">
        <v>2145</v>
      </c>
      <c r="F764" s="242" t="s">
        <v>45</v>
      </c>
      <c r="G764" s="239" t="s">
        <v>928</v>
      </c>
      <c r="H764" s="240">
        <f t="shared" si="11"/>
        <v>62621</v>
      </c>
      <c r="I764" s="241"/>
      <c r="J764" s="221" t="b">
        <f>EXACT(E765,[1]Main!E765)</f>
        <v>1</v>
      </c>
    </row>
    <row r="765" spans="1:10" x14ac:dyDescent="0.25">
      <c r="A765" s="249">
        <v>45117</v>
      </c>
      <c r="B765" s="237"/>
      <c r="C765" s="238"/>
      <c r="D765" s="239"/>
      <c r="E765" s="237">
        <v>4800</v>
      </c>
      <c r="F765" s="242" t="s">
        <v>882</v>
      </c>
      <c r="G765" s="239" t="s">
        <v>928</v>
      </c>
      <c r="H765" s="240">
        <f t="shared" si="11"/>
        <v>57821</v>
      </c>
      <c r="I765" s="241" t="s">
        <v>883</v>
      </c>
      <c r="J765" s="221" t="b">
        <f>EXACT(E766,[1]Main!E766)</f>
        <v>1</v>
      </c>
    </row>
    <row r="766" spans="1:10" x14ac:dyDescent="0.25">
      <c r="A766" s="249">
        <v>45117</v>
      </c>
      <c r="B766" s="237"/>
      <c r="C766" s="238"/>
      <c r="D766" s="239"/>
      <c r="E766" s="237">
        <v>200</v>
      </c>
      <c r="F766" s="242" t="s">
        <v>600</v>
      </c>
      <c r="G766" s="239" t="s">
        <v>929</v>
      </c>
      <c r="H766" s="240">
        <f t="shared" si="11"/>
        <v>57621</v>
      </c>
      <c r="I766" s="241"/>
      <c r="J766" s="221" t="b">
        <f>EXACT(E767,[1]Main!E767)</f>
        <v>1</v>
      </c>
    </row>
    <row r="767" spans="1:10" x14ac:dyDescent="0.25">
      <c r="A767" s="249">
        <v>45117</v>
      </c>
      <c r="B767" s="237"/>
      <c r="C767" s="238"/>
      <c r="D767" s="239"/>
      <c r="E767" s="237">
        <v>10000</v>
      </c>
      <c r="F767" s="242" t="s">
        <v>543</v>
      </c>
      <c r="G767" s="239" t="s">
        <v>928</v>
      </c>
      <c r="H767" s="240">
        <f t="shared" si="11"/>
        <v>47621</v>
      </c>
      <c r="I767" s="241" t="s">
        <v>884</v>
      </c>
      <c r="J767" s="221" t="b">
        <f>EXACT(E768,[1]Main!E768)</f>
        <v>1</v>
      </c>
    </row>
    <row r="768" spans="1:10" x14ac:dyDescent="0.25">
      <c r="A768" s="249">
        <v>45117</v>
      </c>
      <c r="B768" s="237"/>
      <c r="C768" s="238"/>
      <c r="D768" s="239"/>
      <c r="E768" s="237">
        <v>1780</v>
      </c>
      <c r="F768" s="242" t="s">
        <v>14</v>
      </c>
      <c r="G768" s="239" t="s">
        <v>935</v>
      </c>
      <c r="H768" s="240">
        <f t="shared" si="11"/>
        <v>45841</v>
      </c>
      <c r="I768" s="241"/>
      <c r="J768" s="221" t="b">
        <f>EXACT(E769,[1]Main!E769)</f>
        <v>1</v>
      </c>
    </row>
    <row r="769" spans="1:10" x14ac:dyDescent="0.25">
      <c r="A769" s="249">
        <v>45117</v>
      </c>
      <c r="B769" s="237"/>
      <c r="C769" s="238"/>
      <c r="D769" s="239"/>
      <c r="E769" s="237">
        <v>25</v>
      </c>
      <c r="F769" s="242" t="s">
        <v>598</v>
      </c>
      <c r="G769" s="239" t="s">
        <v>464</v>
      </c>
      <c r="H769" s="240">
        <f t="shared" si="11"/>
        <v>45816</v>
      </c>
      <c r="I769" s="241"/>
      <c r="J769" s="221" t="b">
        <f>EXACT(E770,[1]Main!E770)</f>
        <v>1</v>
      </c>
    </row>
    <row r="770" spans="1:10" x14ac:dyDescent="0.25">
      <c r="A770" s="249">
        <v>45117</v>
      </c>
      <c r="B770" s="237"/>
      <c r="C770" s="238"/>
      <c r="D770" s="239"/>
      <c r="E770" s="237">
        <v>20</v>
      </c>
      <c r="F770" s="242" t="s">
        <v>599</v>
      </c>
      <c r="G770" s="239" t="s">
        <v>930</v>
      </c>
      <c r="H770" s="240">
        <f t="shared" si="11"/>
        <v>45796</v>
      </c>
      <c r="I770" s="241"/>
      <c r="J770" s="221" t="b">
        <f>EXACT(E771,[1]Main!E771)</f>
        <v>1</v>
      </c>
    </row>
    <row r="771" spans="1:10" x14ac:dyDescent="0.25">
      <c r="A771" s="249">
        <v>45117</v>
      </c>
      <c r="B771" s="237"/>
      <c r="C771" s="238"/>
      <c r="D771" s="239"/>
      <c r="E771" s="237">
        <v>75</v>
      </c>
      <c r="F771" s="242" t="s">
        <v>26</v>
      </c>
      <c r="G771" s="239" t="s">
        <v>930</v>
      </c>
      <c r="H771" s="240">
        <f t="shared" si="11"/>
        <v>45721</v>
      </c>
      <c r="I771" s="241"/>
      <c r="J771" s="221" t="b">
        <f>EXACT(E772,[1]Main!E772)</f>
        <v>1</v>
      </c>
    </row>
    <row r="772" spans="1:10" x14ac:dyDescent="0.25">
      <c r="A772" s="249">
        <v>45117</v>
      </c>
      <c r="B772" s="237"/>
      <c r="C772" s="238"/>
      <c r="D772" s="239"/>
      <c r="E772" s="237">
        <v>1363</v>
      </c>
      <c r="F772" s="242" t="s">
        <v>580</v>
      </c>
      <c r="G772" s="239" t="s">
        <v>928</v>
      </c>
      <c r="H772" s="240">
        <f t="shared" si="11"/>
        <v>44358</v>
      </c>
      <c r="I772" s="241"/>
      <c r="J772" s="221" t="b">
        <f>EXACT(E773,[1]Main!E773)</f>
        <v>1</v>
      </c>
    </row>
    <row r="773" spans="1:10" x14ac:dyDescent="0.25">
      <c r="A773" s="249">
        <v>45117</v>
      </c>
      <c r="B773" s="237"/>
      <c r="C773" s="238"/>
      <c r="D773" s="239"/>
      <c r="E773" s="237">
        <v>160</v>
      </c>
      <c r="F773" s="242" t="s">
        <v>602</v>
      </c>
      <c r="G773" s="239" t="s">
        <v>929</v>
      </c>
      <c r="H773" s="240">
        <f t="shared" si="11"/>
        <v>44198</v>
      </c>
      <c r="I773" s="241"/>
      <c r="J773" s="221" t="b">
        <f>EXACT(E774,[1]Main!E774)</f>
        <v>1</v>
      </c>
    </row>
    <row r="774" spans="1:10" x14ac:dyDescent="0.25">
      <c r="A774" s="249">
        <v>45117</v>
      </c>
      <c r="B774" s="237"/>
      <c r="C774" s="238"/>
      <c r="D774" s="239"/>
      <c r="E774" s="237">
        <v>110</v>
      </c>
      <c r="F774" s="242" t="s">
        <v>552</v>
      </c>
      <c r="G774" s="239" t="s">
        <v>930</v>
      </c>
      <c r="H774" s="240">
        <f t="shared" si="11"/>
        <v>44088</v>
      </c>
      <c r="I774" s="241"/>
      <c r="J774" s="221" t="b">
        <f>EXACT(E775,[1]Main!E775)</f>
        <v>1</v>
      </c>
    </row>
    <row r="775" spans="1:10" x14ac:dyDescent="0.25">
      <c r="A775" s="249">
        <v>45117</v>
      </c>
      <c r="B775" s="237"/>
      <c r="C775" s="238"/>
      <c r="D775" s="239"/>
      <c r="E775" s="237">
        <v>260</v>
      </c>
      <c r="F775" s="242" t="s">
        <v>603</v>
      </c>
      <c r="G775" s="239" t="s">
        <v>929</v>
      </c>
      <c r="H775" s="240">
        <f t="shared" ref="H775:H838" si="12">H774+B775-E775</f>
        <v>43828</v>
      </c>
      <c r="I775" s="241"/>
      <c r="J775" s="221" t="b">
        <f>EXACT(E776,[1]Main!E776)</f>
        <v>1</v>
      </c>
    </row>
    <row r="776" spans="1:10" x14ac:dyDescent="0.25">
      <c r="A776" s="249">
        <v>45117</v>
      </c>
      <c r="B776" s="237"/>
      <c r="C776" s="238"/>
      <c r="D776" s="239"/>
      <c r="E776" s="237">
        <v>135</v>
      </c>
      <c r="F776" s="242" t="s">
        <v>32</v>
      </c>
      <c r="G776" s="239" t="s">
        <v>930</v>
      </c>
      <c r="H776" s="240">
        <f t="shared" si="12"/>
        <v>43693</v>
      </c>
      <c r="I776" s="241"/>
      <c r="J776" s="221" t="b">
        <f>EXACT(E777,[1]Main!E777)</f>
        <v>1</v>
      </c>
    </row>
    <row r="777" spans="1:10" x14ac:dyDescent="0.25">
      <c r="A777" s="249">
        <v>45117</v>
      </c>
      <c r="B777" s="237"/>
      <c r="C777" s="238"/>
      <c r="D777" s="239"/>
      <c r="E777" s="237">
        <v>390</v>
      </c>
      <c r="F777" s="242" t="s">
        <v>27</v>
      </c>
      <c r="G777" s="239" t="s">
        <v>943</v>
      </c>
      <c r="H777" s="240">
        <f t="shared" si="12"/>
        <v>43303</v>
      </c>
      <c r="I777" s="241"/>
      <c r="J777" s="221" t="b">
        <f>EXACT(E778,[1]Main!E778)</f>
        <v>1</v>
      </c>
    </row>
    <row r="778" spans="1:10" x14ac:dyDescent="0.25">
      <c r="A778" s="249">
        <v>45117</v>
      </c>
      <c r="B778" s="237"/>
      <c r="C778" s="238"/>
      <c r="D778" s="239"/>
      <c r="E778" s="237">
        <v>495</v>
      </c>
      <c r="F778" s="242" t="s">
        <v>27</v>
      </c>
      <c r="G778" s="239" t="s">
        <v>943</v>
      </c>
      <c r="H778" s="240">
        <f t="shared" si="12"/>
        <v>42808</v>
      </c>
      <c r="I778" s="241"/>
      <c r="J778" s="221" t="b">
        <f>EXACT(E779,[1]Main!E779)</f>
        <v>1</v>
      </c>
    </row>
    <row r="779" spans="1:10" x14ac:dyDescent="0.25">
      <c r="A779" s="249">
        <v>45117</v>
      </c>
      <c r="B779" s="237"/>
      <c r="C779" s="238"/>
      <c r="D779" s="239"/>
      <c r="E779" s="237">
        <v>6</v>
      </c>
      <c r="F779" s="242" t="s">
        <v>604</v>
      </c>
      <c r="G779" s="239" t="s">
        <v>464</v>
      </c>
      <c r="H779" s="240">
        <f t="shared" si="12"/>
        <v>42802</v>
      </c>
      <c r="I779" s="241"/>
      <c r="J779" s="221" t="b">
        <f>EXACT(E780,[1]Main!E780)</f>
        <v>1</v>
      </c>
    </row>
    <row r="780" spans="1:10" x14ac:dyDescent="0.25">
      <c r="A780" s="249">
        <v>45117</v>
      </c>
      <c r="B780" s="237"/>
      <c r="C780" s="238"/>
      <c r="D780" s="239"/>
      <c r="E780" s="237">
        <v>147</v>
      </c>
      <c r="F780" s="242" t="s">
        <v>358</v>
      </c>
      <c r="G780" s="239" t="s">
        <v>938</v>
      </c>
      <c r="H780" s="240">
        <f t="shared" si="12"/>
        <v>42655</v>
      </c>
      <c r="I780" s="241" t="s">
        <v>412</v>
      </c>
      <c r="J780" s="221" t="b">
        <f>EXACT(E781,[1]Main!E781)</f>
        <v>1</v>
      </c>
    </row>
    <row r="781" spans="1:10" x14ac:dyDescent="0.25">
      <c r="A781" s="249">
        <v>45117</v>
      </c>
      <c r="B781" s="237"/>
      <c r="C781" s="238"/>
      <c r="D781" s="239"/>
      <c r="E781" s="237">
        <v>2500</v>
      </c>
      <c r="F781" s="242" t="s">
        <v>41</v>
      </c>
      <c r="G781" s="239" t="s">
        <v>930</v>
      </c>
      <c r="H781" s="240">
        <f t="shared" si="12"/>
        <v>40155</v>
      </c>
      <c r="I781" s="241"/>
      <c r="J781" s="221" t="b">
        <f>EXACT(E782,[1]Main!E782)</f>
        <v>1</v>
      </c>
    </row>
    <row r="782" spans="1:10" x14ac:dyDescent="0.25">
      <c r="A782" s="249">
        <v>45117</v>
      </c>
      <c r="B782" s="237"/>
      <c r="C782" s="238"/>
      <c r="D782" s="239"/>
      <c r="E782" s="237">
        <v>500</v>
      </c>
      <c r="F782" s="242" t="s">
        <v>593</v>
      </c>
      <c r="G782" s="239" t="s">
        <v>464</v>
      </c>
      <c r="H782" s="240">
        <f t="shared" si="12"/>
        <v>39655</v>
      </c>
      <c r="I782" s="241"/>
      <c r="J782" s="221" t="b">
        <f>EXACT(E783,[1]Main!E783)</f>
        <v>1</v>
      </c>
    </row>
    <row r="783" spans="1:10" x14ac:dyDescent="0.25">
      <c r="A783" s="249">
        <v>45117</v>
      </c>
      <c r="B783" s="237"/>
      <c r="C783" s="238"/>
      <c r="D783" s="239"/>
      <c r="E783" s="237">
        <v>3400</v>
      </c>
      <c r="F783" s="242" t="s">
        <v>74</v>
      </c>
      <c r="G783" s="239" t="s">
        <v>464</v>
      </c>
      <c r="H783" s="240">
        <f t="shared" si="12"/>
        <v>36255</v>
      </c>
      <c r="I783" s="241" t="s">
        <v>885</v>
      </c>
      <c r="J783" s="221" t="b">
        <f>EXACT(E784,[1]Main!E784)</f>
        <v>1</v>
      </c>
    </row>
    <row r="784" spans="1:10" x14ac:dyDescent="0.25">
      <c r="A784" s="249">
        <v>45117</v>
      </c>
      <c r="B784" s="237"/>
      <c r="C784" s="238"/>
      <c r="D784" s="239"/>
      <c r="E784" s="237">
        <v>20</v>
      </c>
      <c r="F784" s="242" t="s">
        <v>25</v>
      </c>
      <c r="G784" s="239" t="s">
        <v>464</v>
      </c>
      <c r="H784" s="240">
        <f t="shared" si="12"/>
        <v>36235</v>
      </c>
      <c r="I784" s="241" t="s">
        <v>412</v>
      </c>
      <c r="J784" s="221" t="b">
        <f>EXACT(E785,[1]Main!E785)</f>
        <v>1</v>
      </c>
    </row>
    <row r="785" spans="1:10" x14ac:dyDescent="0.25">
      <c r="A785" s="249">
        <v>45117</v>
      </c>
      <c r="B785" s="237"/>
      <c r="C785" s="238"/>
      <c r="D785" s="239"/>
      <c r="E785" s="237">
        <v>10</v>
      </c>
      <c r="F785" s="242" t="s">
        <v>408</v>
      </c>
      <c r="G785" s="239" t="s">
        <v>931</v>
      </c>
      <c r="H785" s="240">
        <f t="shared" si="12"/>
        <v>36225</v>
      </c>
      <c r="I785" s="241"/>
      <c r="J785" s="221" t="b">
        <f>EXACT(E786,[1]Main!E786)</f>
        <v>1</v>
      </c>
    </row>
    <row r="786" spans="1:10" x14ac:dyDescent="0.25">
      <c r="A786" s="249">
        <v>45117</v>
      </c>
      <c r="B786" s="237"/>
      <c r="C786" s="238"/>
      <c r="D786" s="239"/>
      <c r="E786" s="237">
        <v>28</v>
      </c>
      <c r="F786" s="242" t="s">
        <v>451</v>
      </c>
      <c r="G786" s="239" t="s">
        <v>931</v>
      </c>
      <c r="H786" s="240">
        <f t="shared" si="12"/>
        <v>36197</v>
      </c>
      <c r="I786" s="241"/>
      <c r="J786" s="221" t="b">
        <f>EXACT(E787,[1]Main!E787)</f>
        <v>1</v>
      </c>
    </row>
    <row r="787" spans="1:10" x14ac:dyDescent="0.25">
      <c r="A787" s="249">
        <v>45117</v>
      </c>
      <c r="B787" s="237"/>
      <c r="C787" s="238"/>
      <c r="D787" s="239"/>
      <c r="E787" s="237">
        <v>500</v>
      </c>
      <c r="F787" s="242" t="s">
        <v>569</v>
      </c>
      <c r="G787" s="239" t="s">
        <v>931</v>
      </c>
      <c r="H787" s="240">
        <f t="shared" si="12"/>
        <v>35697</v>
      </c>
      <c r="I787" s="241"/>
      <c r="J787" s="221" t="b">
        <f>EXACT(E788,[1]Main!E788)</f>
        <v>1</v>
      </c>
    </row>
    <row r="788" spans="1:10" x14ac:dyDescent="0.25">
      <c r="A788" s="249">
        <v>45117</v>
      </c>
      <c r="B788" s="237"/>
      <c r="C788" s="238"/>
      <c r="D788" s="239"/>
      <c r="E788" s="237">
        <v>48</v>
      </c>
      <c r="F788" s="242" t="s">
        <v>25</v>
      </c>
      <c r="G788" s="239" t="s">
        <v>464</v>
      </c>
      <c r="H788" s="240">
        <f t="shared" si="12"/>
        <v>35649</v>
      </c>
      <c r="I788" s="241" t="s">
        <v>412</v>
      </c>
      <c r="J788" s="221" t="b">
        <f>EXACT(E789,[1]Main!E789)</f>
        <v>1</v>
      </c>
    </row>
    <row r="789" spans="1:10" x14ac:dyDescent="0.25">
      <c r="A789" s="249">
        <v>45117</v>
      </c>
      <c r="B789" s="237"/>
      <c r="C789" s="238"/>
      <c r="D789" s="239"/>
      <c r="E789" s="237">
        <v>470</v>
      </c>
      <c r="F789" s="242" t="s">
        <v>358</v>
      </c>
      <c r="G789" s="239" t="s">
        <v>938</v>
      </c>
      <c r="H789" s="240">
        <f t="shared" si="12"/>
        <v>35179</v>
      </c>
      <c r="I789" s="241" t="s">
        <v>412</v>
      </c>
      <c r="J789" s="221" t="b">
        <f>EXACT(E790,[1]Main!E790)</f>
        <v>1</v>
      </c>
    </row>
    <row r="790" spans="1:10" x14ac:dyDescent="0.25">
      <c r="A790" s="244">
        <v>45117</v>
      </c>
      <c r="B790" s="245"/>
      <c r="C790" s="246"/>
      <c r="D790" s="247"/>
      <c r="E790" s="245">
        <v>100</v>
      </c>
      <c r="F790" s="248" t="s">
        <v>266</v>
      </c>
      <c r="G790" s="239" t="s">
        <v>930</v>
      </c>
      <c r="H790" s="240">
        <f t="shared" si="12"/>
        <v>35079</v>
      </c>
      <c r="I790" s="241" t="s">
        <v>412</v>
      </c>
      <c r="J790" s="221" t="b">
        <f>EXACT(E791,[1]Main!E791)</f>
        <v>1</v>
      </c>
    </row>
    <row r="791" spans="1:10" x14ac:dyDescent="0.25">
      <c r="A791" s="249">
        <v>45118</v>
      </c>
      <c r="B791" s="237">
        <v>13330</v>
      </c>
      <c r="C791" s="238" t="s">
        <v>9</v>
      </c>
      <c r="D791" s="239" t="s">
        <v>763</v>
      </c>
      <c r="E791" s="237">
        <v>3175</v>
      </c>
      <c r="F791" s="242" t="s">
        <v>505</v>
      </c>
      <c r="G791" s="239" t="s">
        <v>928</v>
      </c>
      <c r="H791" s="240">
        <f t="shared" si="12"/>
        <v>45234</v>
      </c>
      <c r="I791" s="241" t="s">
        <v>794</v>
      </c>
      <c r="J791" s="221" t="b">
        <f>EXACT(E792,[1]Main!E792)</f>
        <v>1</v>
      </c>
    </row>
    <row r="792" spans="1:10" x14ac:dyDescent="0.25">
      <c r="A792" s="249">
        <v>45118</v>
      </c>
      <c r="B792" s="237">
        <v>396</v>
      </c>
      <c r="C792" s="238" t="s">
        <v>28</v>
      </c>
      <c r="D792" s="239" t="s">
        <v>765</v>
      </c>
      <c r="E792" s="237">
        <v>710</v>
      </c>
      <c r="F792" s="242" t="s">
        <v>605</v>
      </c>
      <c r="G792" s="239" t="s">
        <v>928</v>
      </c>
      <c r="H792" s="240">
        <f t="shared" si="12"/>
        <v>44920</v>
      </c>
      <c r="I792" s="241"/>
      <c r="J792" s="221" t="b">
        <f>EXACT(E793,[1]Main!E793)</f>
        <v>1</v>
      </c>
    </row>
    <row r="793" spans="1:10" x14ac:dyDescent="0.25">
      <c r="A793" s="249">
        <v>45118</v>
      </c>
      <c r="B793" s="320">
        <v>5</v>
      </c>
      <c r="C793" s="415" t="s">
        <v>609</v>
      </c>
      <c r="D793" s="416"/>
      <c r="E793" s="237">
        <v>55</v>
      </c>
      <c r="F793" s="242" t="s">
        <v>464</v>
      </c>
      <c r="G793" s="239" t="s">
        <v>464</v>
      </c>
      <c r="H793" s="240">
        <f t="shared" si="12"/>
        <v>44870</v>
      </c>
      <c r="I793" s="241" t="s">
        <v>33</v>
      </c>
      <c r="J793" s="221" t="b">
        <f>EXACT(E794,[1]Main!E794)</f>
        <v>1</v>
      </c>
    </row>
    <row r="794" spans="1:10" x14ac:dyDescent="0.25">
      <c r="A794" s="249">
        <v>45118</v>
      </c>
      <c r="B794" s="237">
        <v>760</v>
      </c>
      <c r="C794" s="238" t="s">
        <v>610</v>
      </c>
      <c r="D794" s="239" t="s">
        <v>772</v>
      </c>
      <c r="E794" s="237">
        <v>2000</v>
      </c>
      <c r="F794" s="242" t="s">
        <v>27</v>
      </c>
      <c r="G794" s="239" t="s">
        <v>943</v>
      </c>
      <c r="H794" s="240">
        <f t="shared" si="12"/>
        <v>43630</v>
      </c>
      <c r="I794" s="241"/>
      <c r="J794" s="221" t="b">
        <f>EXACT(E795,[1]Main!E795)</f>
        <v>1</v>
      </c>
    </row>
    <row r="795" spans="1:10" x14ac:dyDescent="0.25">
      <c r="A795" s="249">
        <v>45118</v>
      </c>
      <c r="B795" s="237">
        <v>12640</v>
      </c>
      <c r="C795" s="238" t="s">
        <v>80</v>
      </c>
      <c r="D795" s="239" t="s">
        <v>763</v>
      </c>
      <c r="E795" s="237">
        <v>50</v>
      </c>
      <c r="F795" s="242" t="s">
        <v>464</v>
      </c>
      <c r="G795" s="239" t="s">
        <v>464</v>
      </c>
      <c r="H795" s="240">
        <f t="shared" si="12"/>
        <v>56220</v>
      </c>
      <c r="I795" s="241" t="s">
        <v>33</v>
      </c>
      <c r="J795" s="221" t="b">
        <f>EXACT(E796,[1]Main!E796)</f>
        <v>1</v>
      </c>
    </row>
    <row r="796" spans="1:10" x14ac:dyDescent="0.25">
      <c r="A796" s="249">
        <v>45118</v>
      </c>
      <c r="B796" s="237">
        <v>477</v>
      </c>
      <c r="C796" s="238" t="s">
        <v>81</v>
      </c>
      <c r="D796" s="239" t="s">
        <v>765</v>
      </c>
      <c r="E796" s="237">
        <v>270</v>
      </c>
      <c r="F796" s="242" t="s">
        <v>8</v>
      </c>
      <c r="G796" s="239" t="s">
        <v>930</v>
      </c>
      <c r="H796" s="240">
        <f t="shared" si="12"/>
        <v>56427</v>
      </c>
      <c r="I796" s="241"/>
      <c r="J796" s="221" t="b">
        <f>EXACT(E797,[1]Main!E797)</f>
        <v>1</v>
      </c>
    </row>
    <row r="797" spans="1:10" x14ac:dyDescent="0.25">
      <c r="A797" s="249">
        <v>45118</v>
      </c>
      <c r="B797" s="237">
        <v>170</v>
      </c>
      <c r="C797" s="238" t="s">
        <v>610</v>
      </c>
      <c r="D797" s="239" t="s">
        <v>772</v>
      </c>
      <c r="E797" s="237">
        <v>100</v>
      </c>
      <c r="F797" s="242" t="s">
        <v>10</v>
      </c>
      <c r="G797" s="239" t="s">
        <v>930</v>
      </c>
      <c r="H797" s="240">
        <f t="shared" si="12"/>
        <v>56497</v>
      </c>
      <c r="I797" s="241"/>
      <c r="J797" s="221" t="b">
        <f>EXACT(E798,[1]Main!E798)</f>
        <v>1</v>
      </c>
    </row>
    <row r="798" spans="1:10" x14ac:dyDescent="0.25">
      <c r="A798" s="249">
        <v>45118</v>
      </c>
      <c r="B798" s="237">
        <v>110</v>
      </c>
      <c r="C798" s="238" t="s">
        <v>610</v>
      </c>
      <c r="D798" s="239" t="s">
        <v>772</v>
      </c>
      <c r="E798" s="237">
        <v>3990</v>
      </c>
      <c r="F798" s="242" t="s">
        <v>56</v>
      </c>
      <c r="G798" s="239" t="s">
        <v>928</v>
      </c>
      <c r="H798" s="240">
        <f t="shared" si="12"/>
        <v>52617</v>
      </c>
      <c r="I798" s="241"/>
      <c r="J798" s="221" t="b">
        <f>EXACT(E799,[1]Main!E799)</f>
        <v>1</v>
      </c>
    </row>
    <row r="799" spans="1:10" x14ac:dyDescent="0.25">
      <c r="A799" s="249">
        <v>45118</v>
      </c>
      <c r="B799" s="320">
        <v>2065</v>
      </c>
      <c r="C799" s="415" t="s">
        <v>625</v>
      </c>
      <c r="D799" s="416"/>
      <c r="E799" s="237">
        <v>1145</v>
      </c>
      <c r="F799" s="242" t="s">
        <v>886</v>
      </c>
      <c r="G799" s="239" t="s">
        <v>928</v>
      </c>
      <c r="H799" s="240">
        <f t="shared" si="12"/>
        <v>53537</v>
      </c>
      <c r="I799" s="241" t="s">
        <v>887</v>
      </c>
      <c r="J799" s="221" t="b">
        <f>EXACT(E800,[1]Main!E800)</f>
        <v>1</v>
      </c>
    </row>
    <row r="800" spans="1:10" x14ac:dyDescent="0.25">
      <c r="A800" s="249">
        <v>45118</v>
      </c>
      <c r="B800" s="237">
        <v>21345</v>
      </c>
      <c r="C800" s="238" t="s">
        <v>363</v>
      </c>
      <c r="D800" s="239" t="s">
        <v>763</v>
      </c>
      <c r="E800" s="237">
        <v>585</v>
      </c>
      <c r="F800" s="242" t="s">
        <v>37</v>
      </c>
      <c r="G800" s="239" t="s">
        <v>928</v>
      </c>
      <c r="H800" s="240">
        <f t="shared" si="12"/>
        <v>74297</v>
      </c>
      <c r="I800" s="241"/>
      <c r="J800" s="221" t="b">
        <f>EXACT(E801,[1]Main!E801)</f>
        <v>1</v>
      </c>
    </row>
    <row r="801" spans="1:10" x14ac:dyDescent="0.25">
      <c r="A801" s="249">
        <v>45118</v>
      </c>
      <c r="B801" s="237">
        <v>1625</v>
      </c>
      <c r="C801" s="238" t="s">
        <v>921</v>
      </c>
      <c r="D801" s="239" t="s">
        <v>765</v>
      </c>
      <c r="E801" s="237">
        <v>6300</v>
      </c>
      <c r="F801" s="242" t="s">
        <v>888</v>
      </c>
      <c r="G801" s="239" t="s">
        <v>928</v>
      </c>
      <c r="H801" s="240">
        <f t="shared" si="12"/>
        <v>69622</v>
      </c>
      <c r="I801" s="241" t="s">
        <v>889</v>
      </c>
      <c r="J801" s="221" t="b">
        <f>EXACT(E802,[1]Main!E802)</f>
        <v>1</v>
      </c>
    </row>
    <row r="802" spans="1:10" x14ac:dyDescent="0.25">
      <c r="A802" s="249">
        <v>45118</v>
      </c>
      <c r="B802" s="237">
        <v>5135</v>
      </c>
      <c r="C802" s="238" t="s">
        <v>300</v>
      </c>
      <c r="D802" s="239" t="s">
        <v>763</v>
      </c>
      <c r="E802" s="237">
        <v>120</v>
      </c>
      <c r="F802" s="242" t="s">
        <v>393</v>
      </c>
      <c r="G802" s="239" t="s">
        <v>930</v>
      </c>
      <c r="H802" s="240">
        <f t="shared" si="12"/>
        <v>74637</v>
      </c>
      <c r="I802" s="241"/>
      <c r="J802" s="221" t="b">
        <f>EXACT(E803,[1]Main!E803)</f>
        <v>1</v>
      </c>
    </row>
    <row r="803" spans="1:10" x14ac:dyDescent="0.25">
      <c r="A803" s="249">
        <v>45118</v>
      </c>
      <c r="B803" s="237">
        <v>72</v>
      </c>
      <c r="C803" s="238" t="s">
        <v>636</v>
      </c>
      <c r="D803" s="239" t="s">
        <v>765</v>
      </c>
      <c r="E803" s="237">
        <v>360</v>
      </c>
      <c r="F803" s="242" t="s">
        <v>34</v>
      </c>
      <c r="G803" s="239" t="s">
        <v>930</v>
      </c>
      <c r="H803" s="240">
        <f t="shared" si="12"/>
        <v>74349</v>
      </c>
      <c r="I803" s="241"/>
      <c r="J803" s="221" t="b">
        <f>EXACT(E804,[1]Main!E804)</f>
        <v>1</v>
      </c>
    </row>
    <row r="804" spans="1:10" x14ac:dyDescent="0.25">
      <c r="A804" s="249">
        <v>45118</v>
      </c>
      <c r="B804" s="320">
        <v>200</v>
      </c>
      <c r="C804" s="415" t="s">
        <v>639</v>
      </c>
      <c r="D804" s="416"/>
      <c r="E804" s="237">
        <v>500</v>
      </c>
      <c r="F804" s="242" t="s">
        <v>505</v>
      </c>
      <c r="G804" s="239" t="s">
        <v>928</v>
      </c>
      <c r="H804" s="240">
        <f t="shared" si="12"/>
        <v>74049</v>
      </c>
      <c r="I804" s="241" t="s">
        <v>828</v>
      </c>
      <c r="J804" s="221" t="b">
        <f>EXACT(E805,[1]Main!E805)</f>
        <v>1</v>
      </c>
    </row>
    <row r="805" spans="1:10" x14ac:dyDescent="0.25">
      <c r="A805" s="249">
        <v>45118</v>
      </c>
      <c r="B805" s="237">
        <v>6230</v>
      </c>
      <c r="C805" s="238" t="s">
        <v>121</v>
      </c>
      <c r="D805" s="239" t="s">
        <v>766</v>
      </c>
      <c r="E805" s="237">
        <v>1440</v>
      </c>
      <c r="F805" s="242" t="s">
        <v>17</v>
      </c>
      <c r="G805" s="239" t="s">
        <v>928</v>
      </c>
      <c r="H805" s="240">
        <f t="shared" si="12"/>
        <v>78839</v>
      </c>
      <c r="I805" s="241" t="s">
        <v>890</v>
      </c>
      <c r="J805" s="221" t="b">
        <f>EXACT(E806,[1]Main!E806)</f>
        <v>1</v>
      </c>
    </row>
    <row r="806" spans="1:10" x14ac:dyDescent="0.25">
      <c r="A806" s="249">
        <v>45118</v>
      </c>
      <c r="B806" s="237">
        <v>16198</v>
      </c>
      <c r="C806" s="238" t="s">
        <v>88</v>
      </c>
      <c r="D806" s="239" t="s">
        <v>766</v>
      </c>
      <c r="E806" s="237">
        <v>215</v>
      </c>
      <c r="F806" s="242" t="s">
        <v>399</v>
      </c>
      <c r="G806" s="239" t="s">
        <v>930</v>
      </c>
      <c r="H806" s="240">
        <f t="shared" si="12"/>
        <v>94822</v>
      </c>
      <c r="I806" s="241"/>
      <c r="J806" s="221" t="b">
        <f>EXACT(E807,[1]Main!E807)</f>
        <v>1</v>
      </c>
    </row>
    <row r="807" spans="1:10" x14ac:dyDescent="0.25">
      <c r="A807" s="249">
        <v>45118</v>
      </c>
      <c r="B807" s="237">
        <v>810</v>
      </c>
      <c r="C807" s="238" t="s">
        <v>747</v>
      </c>
      <c r="D807" s="239" t="s">
        <v>768</v>
      </c>
      <c r="E807" s="237">
        <v>250</v>
      </c>
      <c r="F807" s="242" t="s">
        <v>7</v>
      </c>
      <c r="G807" s="239" t="s">
        <v>930</v>
      </c>
      <c r="H807" s="240">
        <f t="shared" si="12"/>
        <v>95382</v>
      </c>
      <c r="I807" s="241"/>
      <c r="J807" s="221" t="b">
        <f>EXACT(E808,[1]Main!E808)</f>
        <v>1</v>
      </c>
    </row>
    <row r="808" spans="1:10" x14ac:dyDescent="0.25">
      <c r="A808" s="249">
        <v>45118</v>
      </c>
      <c r="B808" s="237">
        <v>17395</v>
      </c>
      <c r="C808" s="238" t="s">
        <v>85</v>
      </c>
      <c r="D808" s="239" t="s">
        <v>766</v>
      </c>
      <c r="E808" s="237">
        <v>70</v>
      </c>
      <c r="F808" s="242" t="s">
        <v>265</v>
      </c>
      <c r="G808" s="239" t="s">
        <v>935</v>
      </c>
      <c r="H808" s="240">
        <f t="shared" si="12"/>
        <v>112707</v>
      </c>
      <c r="I808" s="241"/>
      <c r="J808" s="221" t="b">
        <f>EXACT(E809,[1]Main!E809)</f>
        <v>1</v>
      </c>
    </row>
    <row r="809" spans="1:10" x14ac:dyDescent="0.25">
      <c r="A809" s="249">
        <v>45118</v>
      </c>
      <c r="B809" s="237">
        <v>18107</v>
      </c>
      <c r="C809" s="238" t="s">
        <v>15</v>
      </c>
      <c r="D809" s="239" t="s">
        <v>766</v>
      </c>
      <c r="E809" s="237">
        <v>280</v>
      </c>
      <c r="F809" s="242" t="s">
        <v>613</v>
      </c>
      <c r="G809" s="239" t="s">
        <v>928</v>
      </c>
      <c r="H809" s="240">
        <f t="shared" si="12"/>
        <v>130534</v>
      </c>
      <c r="I809" s="241"/>
      <c r="J809" s="221" t="b">
        <f>EXACT(E810,[1]Main!E810)</f>
        <v>1</v>
      </c>
    </row>
    <row r="810" spans="1:10" x14ac:dyDescent="0.25">
      <c r="A810" s="249">
        <v>45118</v>
      </c>
      <c r="B810" s="237">
        <v>272</v>
      </c>
      <c r="C810" s="238" t="s">
        <v>90</v>
      </c>
      <c r="D810" s="239" t="s">
        <v>768</v>
      </c>
      <c r="E810" s="237">
        <v>400</v>
      </c>
      <c r="F810" s="242" t="s">
        <v>27</v>
      </c>
      <c r="G810" s="239" t="s">
        <v>943</v>
      </c>
      <c r="H810" s="240">
        <f t="shared" si="12"/>
        <v>130406</v>
      </c>
      <c r="I810" s="241"/>
      <c r="J810" s="221" t="b">
        <f>EXACT(E811,[1]Main!E811)</f>
        <v>1</v>
      </c>
    </row>
    <row r="811" spans="1:10" x14ac:dyDescent="0.25">
      <c r="A811" s="249">
        <v>45118</v>
      </c>
      <c r="B811" s="237"/>
      <c r="C811" s="238"/>
      <c r="D811" s="239"/>
      <c r="E811" s="237">
        <v>2025</v>
      </c>
      <c r="F811" s="242" t="s">
        <v>63</v>
      </c>
      <c r="G811" s="239" t="s">
        <v>928</v>
      </c>
      <c r="H811" s="240">
        <f t="shared" si="12"/>
        <v>128381</v>
      </c>
      <c r="I811" s="241"/>
      <c r="J811" s="221" t="b">
        <f>EXACT(E812,[1]Main!E812)</f>
        <v>1</v>
      </c>
    </row>
    <row r="812" spans="1:10" x14ac:dyDescent="0.25">
      <c r="A812" s="249">
        <v>45118</v>
      </c>
      <c r="B812" s="237"/>
      <c r="C812" s="238"/>
      <c r="D812" s="239"/>
      <c r="E812" s="237">
        <v>1000</v>
      </c>
      <c r="F812" s="242" t="s">
        <v>616</v>
      </c>
      <c r="G812" s="239" t="s">
        <v>928</v>
      </c>
      <c r="H812" s="240">
        <f t="shared" si="12"/>
        <v>127381</v>
      </c>
      <c r="I812" s="241"/>
      <c r="J812" s="221" t="b">
        <f>EXACT(E813,[1]Main!E813)</f>
        <v>1</v>
      </c>
    </row>
    <row r="813" spans="1:10" x14ac:dyDescent="0.25">
      <c r="A813" s="249">
        <v>45118</v>
      </c>
      <c r="B813" s="237"/>
      <c r="C813" s="238"/>
      <c r="D813" s="239"/>
      <c r="E813" s="237">
        <v>125</v>
      </c>
      <c r="F813" s="242" t="s">
        <v>38</v>
      </c>
      <c r="G813" s="239" t="s">
        <v>930</v>
      </c>
      <c r="H813" s="240">
        <f t="shared" si="12"/>
        <v>127256</v>
      </c>
      <c r="I813" s="241"/>
      <c r="J813" s="221" t="b">
        <f>EXACT(E814,[1]Main!E814)</f>
        <v>1</v>
      </c>
    </row>
    <row r="814" spans="1:10" x14ac:dyDescent="0.25">
      <c r="A814" s="249">
        <v>45118</v>
      </c>
      <c r="B814" s="237"/>
      <c r="C814" s="238"/>
      <c r="D814" s="239"/>
      <c r="E814" s="237">
        <v>1000</v>
      </c>
      <c r="F814" s="242" t="s">
        <v>737</v>
      </c>
      <c r="G814" s="239" t="s">
        <v>928</v>
      </c>
      <c r="H814" s="240">
        <f t="shared" si="12"/>
        <v>126256</v>
      </c>
      <c r="I814" s="241" t="s">
        <v>786</v>
      </c>
      <c r="J814" s="221" t="b">
        <f>EXACT(E815,[1]Main!E815)</f>
        <v>1</v>
      </c>
    </row>
    <row r="815" spans="1:10" x14ac:dyDescent="0.25">
      <c r="A815" s="249">
        <v>45118</v>
      </c>
      <c r="B815" s="237"/>
      <c r="C815" s="238"/>
      <c r="D815" s="239"/>
      <c r="E815" s="237">
        <v>5680</v>
      </c>
      <c r="F815" s="242" t="s">
        <v>891</v>
      </c>
      <c r="G815" s="239" t="s">
        <v>928</v>
      </c>
      <c r="H815" s="240">
        <f t="shared" si="12"/>
        <v>120576</v>
      </c>
      <c r="I815" s="241" t="s">
        <v>892</v>
      </c>
      <c r="J815" s="221" t="b">
        <f>EXACT(E816,[1]Main!E816)</f>
        <v>1</v>
      </c>
    </row>
    <row r="816" spans="1:10" x14ac:dyDescent="0.25">
      <c r="A816" s="249">
        <v>45118</v>
      </c>
      <c r="B816" s="237"/>
      <c r="C816" s="238"/>
      <c r="D816" s="239"/>
      <c r="E816" s="237">
        <v>50</v>
      </c>
      <c r="F816" s="242" t="s">
        <v>963</v>
      </c>
      <c r="G816" s="239" t="s">
        <v>931</v>
      </c>
      <c r="H816" s="240">
        <f t="shared" si="12"/>
        <v>120526</v>
      </c>
      <c r="I816" s="241"/>
      <c r="J816" s="221" t="b">
        <f>EXACT(E817,[1]Main!E817)</f>
        <v>1</v>
      </c>
    </row>
    <row r="817" spans="1:10" x14ac:dyDescent="0.25">
      <c r="A817" s="249">
        <v>45118</v>
      </c>
      <c r="B817" s="237"/>
      <c r="C817" s="238"/>
      <c r="D817" s="239"/>
      <c r="E817" s="237">
        <v>6065</v>
      </c>
      <c r="F817" s="242" t="s">
        <v>16</v>
      </c>
      <c r="G817" s="239" t="s">
        <v>936</v>
      </c>
      <c r="H817" s="240">
        <f t="shared" si="12"/>
        <v>114461</v>
      </c>
      <c r="I817" s="241"/>
      <c r="J817" s="221" t="b">
        <f>EXACT(E818,[1]Main!E818)</f>
        <v>1</v>
      </c>
    </row>
    <row r="818" spans="1:10" x14ac:dyDescent="0.25">
      <c r="A818" s="249">
        <v>45118</v>
      </c>
      <c r="B818" s="237"/>
      <c r="C818" s="238"/>
      <c r="D818" s="239"/>
      <c r="E818" s="237">
        <v>2275</v>
      </c>
      <c r="F818" s="242" t="s">
        <v>230</v>
      </c>
      <c r="G818" s="239" t="s">
        <v>928</v>
      </c>
      <c r="H818" s="240">
        <f t="shared" si="12"/>
        <v>112186</v>
      </c>
      <c r="I818" s="241" t="s">
        <v>796</v>
      </c>
      <c r="J818" s="221" t="b">
        <f>EXACT(E819,[1]Main!E819)</f>
        <v>1</v>
      </c>
    </row>
    <row r="819" spans="1:10" x14ac:dyDescent="0.25">
      <c r="A819" s="249">
        <v>45118</v>
      </c>
      <c r="B819" s="237"/>
      <c r="C819" s="238"/>
      <c r="D819" s="239"/>
      <c r="E819" s="237">
        <v>2000</v>
      </c>
      <c r="F819" s="242" t="s">
        <v>785</v>
      </c>
      <c r="G819" s="239" t="s">
        <v>928</v>
      </c>
      <c r="H819" s="240">
        <f t="shared" si="12"/>
        <v>110186</v>
      </c>
      <c r="I819" s="241" t="s">
        <v>893</v>
      </c>
      <c r="J819" s="221" t="b">
        <f>EXACT(E820,[1]Main!E820)</f>
        <v>1</v>
      </c>
    </row>
    <row r="820" spans="1:10" x14ac:dyDescent="0.25">
      <c r="A820" s="249">
        <v>45118</v>
      </c>
      <c r="B820" s="237"/>
      <c r="C820" s="238"/>
      <c r="D820" s="239"/>
      <c r="E820" s="237">
        <v>80</v>
      </c>
      <c r="F820" s="242" t="s">
        <v>300</v>
      </c>
      <c r="G820" s="239" t="s">
        <v>930</v>
      </c>
      <c r="H820" s="240">
        <f t="shared" si="12"/>
        <v>110106</v>
      </c>
      <c r="I820" s="241"/>
      <c r="J820" s="221" t="b">
        <f>EXACT(E821,[1]Main!E821)</f>
        <v>1</v>
      </c>
    </row>
    <row r="821" spans="1:10" x14ac:dyDescent="0.25">
      <c r="A821" s="249">
        <v>45118</v>
      </c>
      <c r="B821" s="237"/>
      <c r="C821" s="238"/>
      <c r="D821" s="239"/>
      <c r="E821" s="237">
        <v>5000</v>
      </c>
      <c r="F821" s="242" t="s">
        <v>975</v>
      </c>
      <c r="G821" s="239" t="s">
        <v>928</v>
      </c>
      <c r="H821" s="240">
        <f t="shared" si="12"/>
        <v>105106</v>
      </c>
      <c r="I821" s="241" t="s">
        <v>894</v>
      </c>
      <c r="J821" s="221" t="b">
        <f>EXACT(E822,[1]Main!E822)</f>
        <v>1</v>
      </c>
    </row>
    <row r="822" spans="1:10" x14ac:dyDescent="0.25">
      <c r="A822" s="249">
        <v>45118</v>
      </c>
      <c r="B822" s="237"/>
      <c r="C822" s="238"/>
      <c r="D822" s="239"/>
      <c r="E822" s="237">
        <v>5000</v>
      </c>
      <c r="F822" s="242" t="s">
        <v>43</v>
      </c>
      <c r="G822" s="239" t="s">
        <v>941</v>
      </c>
      <c r="H822" s="240">
        <f t="shared" si="12"/>
        <v>100106</v>
      </c>
      <c r="I822" s="241"/>
      <c r="J822" s="221" t="b">
        <f>EXACT(E823,[1]Main!E823)</f>
        <v>1</v>
      </c>
    </row>
    <row r="823" spans="1:10" x14ac:dyDescent="0.25">
      <c r="A823" s="249">
        <v>45118</v>
      </c>
      <c r="B823" s="237"/>
      <c r="C823" s="238"/>
      <c r="D823" s="239"/>
      <c r="E823" s="237">
        <v>1185</v>
      </c>
      <c r="F823" s="242" t="s">
        <v>895</v>
      </c>
      <c r="G823" s="239" t="s">
        <v>928</v>
      </c>
      <c r="H823" s="240">
        <f t="shared" si="12"/>
        <v>98921</v>
      </c>
      <c r="I823" s="241" t="s">
        <v>896</v>
      </c>
      <c r="J823" s="221" t="b">
        <f>EXACT(E824,[1]Main!E824)</f>
        <v>1</v>
      </c>
    </row>
    <row r="824" spans="1:10" x14ac:dyDescent="0.25">
      <c r="A824" s="249">
        <v>45118</v>
      </c>
      <c r="B824" s="237"/>
      <c r="C824" s="238"/>
      <c r="D824" s="239"/>
      <c r="E824" s="237">
        <v>530</v>
      </c>
      <c r="F824" s="242" t="s">
        <v>603</v>
      </c>
      <c r="G824" s="239" t="s">
        <v>929</v>
      </c>
      <c r="H824" s="240">
        <f t="shared" si="12"/>
        <v>98391</v>
      </c>
      <c r="I824" s="241"/>
      <c r="J824" s="221" t="b">
        <f>EXACT(E825,[1]Main!E825)</f>
        <v>1</v>
      </c>
    </row>
    <row r="825" spans="1:10" x14ac:dyDescent="0.25">
      <c r="A825" s="249">
        <v>45118</v>
      </c>
      <c r="B825" s="237"/>
      <c r="C825" s="238"/>
      <c r="D825" s="239"/>
      <c r="E825" s="237">
        <v>90</v>
      </c>
      <c r="F825" s="242" t="s">
        <v>223</v>
      </c>
      <c r="G825" s="239" t="s">
        <v>930</v>
      </c>
      <c r="H825" s="240">
        <f t="shared" si="12"/>
        <v>98301</v>
      </c>
      <c r="I825" s="241"/>
      <c r="J825" s="221" t="b">
        <f>EXACT(E826,[1]Main!E826)</f>
        <v>1</v>
      </c>
    </row>
    <row r="826" spans="1:10" x14ac:dyDescent="0.25">
      <c r="A826" s="249">
        <v>45118</v>
      </c>
      <c r="B826" s="237"/>
      <c r="C826" s="238"/>
      <c r="D826" s="239"/>
      <c r="E826" s="237">
        <v>1310</v>
      </c>
      <c r="F826" s="242" t="s">
        <v>793</v>
      </c>
      <c r="G826" s="239" t="s">
        <v>928</v>
      </c>
      <c r="H826" s="240">
        <f t="shared" si="12"/>
        <v>96991</v>
      </c>
      <c r="I826" s="241" t="s">
        <v>787</v>
      </c>
      <c r="J826" s="221" t="b">
        <f>EXACT(E827,[1]Main!E827)</f>
        <v>1</v>
      </c>
    </row>
    <row r="827" spans="1:10" x14ac:dyDescent="0.25">
      <c r="A827" s="249">
        <v>45118</v>
      </c>
      <c r="B827" s="237"/>
      <c r="C827" s="238"/>
      <c r="D827" s="239"/>
      <c r="E827" s="237">
        <v>4000</v>
      </c>
      <c r="F827" s="242" t="s">
        <v>814</v>
      </c>
      <c r="G827" s="239" t="s">
        <v>928</v>
      </c>
      <c r="H827" s="240">
        <f t="shared" si="12"/>
        <v>92991</v>
      </c>
      <c r="I827" s="241" t="s">
        <v>897</v>
      </c>
      <c r="J827" s="221" t="b">
        <f>EXACT(E828,[1]Main!E828)</f>
        <v>1</v>
      </c>
    </row>
    <row r="828" spans="1:10" x14ac:dyDescent="0.25">
      <c r="A828" s="249">
        <v>45118</v>
      </c>
      <c r="B828" s="237"/>
      <c r="C828" s="238"/>
      <c r="D828" s="239"/>
      <c r="E828" s="237">
        <v>70</v>
      </c>
      <c r="F828" s="242" t="s">
        <v>628</v>
      </c>
      <c r="G828" s="239" t="s">
        <v>930</v>
      </c>
      <c r="H828" s="240">
        <f t="shared" si="12"/>
        <v>92921</v>
      </c>
      <c r="I828" s="241"/>
      <c r="J828" s="221" t="b">
        <f>EXACT(E829,[1]Main!E829)</f>
        <v>1</v>
      </c>
    </row>
    <row r="829" spans="1:10" x14ac:dyDescent="0.25">
      <c r="A829" s="249">
        <v>45118</v>
      </c>
      <c r="B829" s="237"/>
      <c r="C829" s="238"/>
      <c r="D829" s="239"/>
      <c r="E829" s="237">
        <v>1605</v>
      </c>
      <c r="F829" s="242" t="s">
        <v>14</v>
      </c>
      <c r="G829" s="239" t="s">
        <v>935</v>
      </c>
      <c r="H829" s="240">
        <f t="shared" si="12"/>
        <v>91316</v>
      </c>
      <c r="I829" s="241"/>
      <c r="J829" s="221" t="b">
        <f>EXACT(E830,[1]Main!E830)</f>
        <v>1</v>
      </c>
    </row>
    <row r="830" spans="1:10" x14ac:dyDescent="0.25">
      <c r="A830" s="249">
        <v>45118</v>
      </c>
      <c r="B830" s="237"/>
      <c r="C830" s="238"/>
      <c r="D830" s="239"/>
      <c r="E830" s="237">
        <v>600</v>
      </c>
      <c r="F830" s="242" t="s">
        <v>630</v>
      </c>
      <c r="G830" s="239" t="s">
        <v>464</v>
      </c>
      <c r="H830" s="240">
        <f t="shared" si="12"/>
        <v>90716</v>
      </c>
      <c r="I830" s="241"/>
      <c r="J830" s="221" t="b">
        <f>EXACT(E831,[1]Main!E831)</f>
        <v>1</v>
      </c>
    </row>
    <row r="831" spans="1:10" x14ac:dyDescent="0.25">
      <c r="A831" s="249">
        <v>45118</v>
      </c>
      <c r="B831" s="237"/>
      <c r="C831" s="238"/>
      <c r="D831" s="239"/>
      <c r="E831" s="237">
        <v>105</v>
      </c>
      <c r="F831" s="242" t="s">
        <v>376</v>
      </c>
      <c r="G831" s="239" t="s">
        <v>930</v>
      </c>
      <c r="H831" s="240">
        <f t="shared" si="12"/>
        <v>90611</v>
      </c>
      <c r="I831" s="241"/>
      <c r="J831" s="221" t="b">
        <f>EXACT(E832,[1]Main!E832)</f>
        <v>1</v>
      </c>
    </row>
    <row r="832" spans="1:10" x14ac:dyDescent="0.25">
      <c r="A832" s="249">
        <v>45118</v>
      </c>
      <c r="B832" s="237"/>
      <c r="C832" s="238"/>
      <c r="D832" s="239"/>
      <c r="E832" s="237">
        <v>105</v>
      </c>
      <c r="F832" s="242" t="s">
        <v>629</v>
      </c>
      <c r="G832" s="239" t="s">
        <v>930</v>
      </c>
      <c r="H832" s="240">
        <f t="shared" si="12"/>
        <v>90506</v>
      </c>
      <c r="I832" s="241"/>
      <c r="J832" s="221" t="b">
        <f>EXACT(E833,[1]Main!E833)</f>
        <v>1</v>
      </c>
    </row>
    <row r="833" spans="1:10" x14ac:dyDescent="0.25">
      <c r="A833" s="249">
        <v>45118</v>
      </c>
      <c r="B833" s="237"/>
      <c r="C833" s="238"/>
      <c r="D833" s="239"/>
      <c r="E833" s="237">
        <v>1980</v>
      </c>
      <c r="F833" s="242" t="s">
        <v>27</v>
      </c>
      <c r="G833" s="239" t="s">
        <v>943</v>
      </c>
      <c r="H833" s="240">
        <f t="shared" si="12"/>
        <v>88526</v>
      </c>
      <c r="I833" s="241"/>
      <c r="J833" s="221" t="b">
        <f>EXACT(E834,[1]Main!E834)</f>
        <v>1</v>
      </c>
    </row>
    <row r="834" spans="1:10" x14ac:dyDescent="0.25">
      <c r="A834" s="249">
        <v>45118</v>
      </c>
      <c r="B834" s="237"/>
      <c r="C834" s="238"/>
      <c r="D834" s="239"/>
      <c r="E834" s="237">
        <v>10000</v>
      </c>
      <c r="F834" s="242" t="s">
        <v>872</v>
      </c>
      <c r="G834" s="239" t="s">
        <v>928</v>
      </c>
      <c r="H834" s="240">
        <f t="shared" si="12"/>
        <v>78526</v>
      </c>
      <c r="I834" s="241" t="s">
        <v>898</v>
      </c>
      <c r="J834" s="221" t="b">
        <f>EXACT(E835,[1]Main!E835)</f>
        <v>1</v>
      </c>
    </row>
    <row r="835" spans="1:10" x14ac:dyDescent="0.25">
      <c r="A835" s="249">
        <v>45118</v>
      </c>
      <c r="B835" s="237"/>
      <c r="C835" s="238"/>
      <c r="D835" s="239"/>
      <c r="E835" s="237">
        <v>6950</v>
      </c>
      <c r="F835" s="242" t="s">
        <v>228</v>
      </c>
      <c r="G835" s="239" t="s">
        <v>928</v>
      </c>
      <c r="H835" s="240">
        <f t="shared" si="12"/>
        <v>71576</v>
      </c>
      <c r="I835" s="241"/>
      <c r="J835" s="221" t="b">
        <f>EXACT(E836,[1]Main!E836)</f>
        <v>1</v>
      </c>
    </row>
    <row r="836" spans="1:10" x14ac:dyDescent="0.25">
      <c r="A836" s="249">
        <v>45118</v>
      </c>
      <c r="B836" s="237"/>
      <c r="C836" s="238"/>
      <c r="D836" s="239"/>
      <c r="E836" s="237">
        <v>70</v>
      </c>
      <c r="F836" s="242" t="s">
        <v>26</v>
      </c>
      <c r="G836" s="239" t="s">
        <v>930</v>
      </c>
      <c r="H836" s="240">
        <f t="shared" si="12"/>
        <v>71506</v>
      </c>
      <c r="I836" s="241"/>
      <c r="J836" s="221" t="b">
        <f>EXACT(E837,[1]Main!E837)</f>
        <v>1</v>
      </c>
    </row>
    <row r="837" spans="1:10" x14ac:dyDescent="0.25">
      <c r="A837" s="249">
        <v>45118</v>
      </c>
      <c r="B837" s="237"/>
      <c r="C837" s="238"/>
      <c r="D837" s="239"/>
      <c r="E837" s="237">
        <v>80</v>
      </c>
      <c r="F837" s="242" t="s">
        <v>510</v>
      </c>
      <c r="G837" s="239" t="s">
        <v>930</v>
      </c>
      <c r="H837" s="240">
        <f t="shared" si="12"/>
        <v>71426</v>
      </c>
      <c r="I837" s="241"/>
      <c r="J837" s="221" t="b">
        <f>EXACT(E838,[1]Main!E838)</f>
        <v>1</v>
      </c>
    </row>
    <row r="838" spans="1:10" x14ac:dyDescent="0.25">
      <c r="A838" s="249">
        <v>45118</v>
      </c>
      <c r="B838" s="237"/>
      <c r="C838" s="238"/>
      <c r="D838" s="239"/>
      <c r="E838" s="237">
        <v>210</v>
      </c>
      <c r="F838" s="242" t="s">
        <v>640</v>
      </c>
      <c r="G838" s="239" t="s">
        <v>930</v>
      </c>
      <c r="H838" s="240">
        <f t="shared" si="12"/>
        <v>71216</v>
      </c>
      <c r="I838" s="241"/>
      <c r="J838" s="221" t="b">
        <f>EXACT(E839,[1]Main!E839)</f>
        <v>1</v>
      </c>
    </row>
    <row r="839" spans="1:10" x14ac:dyDescent="0.25">
      <c r="A839" s="249">
        <v>45118</v>
      </c>
      <c r="B839" s="237"/>
      <c r="C839" s="238"/>
      <c r="D839" s="239"/>
      <c r="E839" s="237">
        <v>196</v>
      </c>
      <c r="F839" s="242" t="s">
        <v>86</v>
      </c>
      <c r="G839" s="239" t="s">
        <v>930</v>
      </c>
      <c r="H839" s="240">
        <f t="shared" ref="H839:H902" si="13">H838+B839-E839</f>
        <v>71020</v>
      </c>
      <c r="I839" s="241"/>
      <c r="J839" s="221" t="b">
        <f>EXACT(E840,[1]Main!E840)</f>
        <v>1</v>
      </c>
    </row>
    <row r="840" spans="1:10" x14ac:dyDescent="0.25">
      <c r="A840" s="249">
        <v>45118</v>
      </c>
      <c r="B840" s="237"/>
      <c r="C840" s="238"/>
      <c r="D840" s="239"/>
      <c r="E840" s="237">
        <v>100</v>
      </c>
      <c r="F840" s="242" t="s">
        <v>9</v>
      </c>
      <c r="G840" s="239" t="s">
        <v>930</v>
      </c>
      <c r="H840" s="240">
        <f t="shared" si="13"/>
        <v>70920</v>
      </c>
      <c r="I840" s="241"/>
      <c r="J840" s="221" t="b">
        <f>EXACT(E841,[1]Main!E841)</f>
        <v>1</v>
      </c>
    </row>
    <row r="841" spans="1:10" x14ac:dyDescent="0.25">
      <c r="A841" s="249">
        <v>45118</v>
      </c>
      <c r="B841" s="237"/>
      <c r="C841" s="238"/>
      <c r="D841" s="239"/>
      <c r="E841" s="237">
        <v>180</v>
      </c>
      <c r="F841" s="242" t="s">
        <v>255</v>
      </c>
      <c r="G841" s="239" t="s">
        <v>930</v>
      </c>
      <c r="H841" s="240">
        <f t="shared" si="13"/>
        <v>70740</v>
      </c>
      <c r="I841" s="241"/>
      <c r="J841" s="221" t="b">
        <f>EXACT(E842,[1]Main!E842)</f>
        <v>1</v>
      </c>
    </row>
    <row r="842" spans="1:10" x14ac:dyDescent="0.25">
      <c r="A842" s="249">
        <v>45118</v>
      </c>
      <c r="B842" s="237"/>
      <c r="C842" s="238"/>
      <c r="D842" s="239"/>
      <c r="E842" s="237">
        <v>7</v>
      </c>
      <c r="F842" s="242" t="s">
        <v>458</v>
      </c>
      <c r="G842" s="239" t="s">
        <v>464</v>
      </c>
      <c r="H842" s="240">
        <f t="shared" si="13"/>
        <v>70733</v>
      </c>
      <c r="I842" s="241"/>
      <c r="J842" s="221" t="b">
        <f>EXACT(E843,[1]Main!E843)</f>
        <v>1</v>
      </c>
    </row>
    <row r="843" spans="1:10" x14ac:dyDescent="0.25">
      <c r="A843" s="249">
        <v>45118</v>
      </c>
      <c r="B843" s="237"/>
      <c r="C843" s="238"/>
      <c r="D843" s="239"/>
      <c r="E843" s="237">
        <v>2970</v>
      </c>
      <c r="F843" s="242" t="s">
        <v>27</v>
      </c>
      <c r="G843" s="239" t="s">
        <v>943</v>
      </c>
      <c r="H843" s="240">
        <f t="shared" si="13"/>
        <v>67763</v>
      </c>
      <c r="I843" s="241"/>
      <c r="J843" s="221" t="b">
        <f>EXACT(E844,[1]Main!E844)</f>
        <v>1</v>
      </c>
    </row>
    <row r="844" spans="1:10" x14ac:dyDescent="0.25">
      <c r="A844" s="249">
        <v>45118</v>
      </c>
      <c r="B844" s="237"/>
      <c r="C844" s="238"/>
      <c r="D844" s="239"/>
      <c r="E844" s="237">
        <v>175</v>
      </c>
      <c r="F844" s="242" t="s">
        <v>776</v>
      </c>
      <c r="G844" s="239" t="s">
        <v>930</v>
      </c>
      <c r="H844" s="240">
        <f t="shared" si="13"/>
        <v>67588</v>
      </c>
      <c r="I844" s="241" t="s">
        <v>790</v>
      </c>
      <c r="J844" s="221" t="b">
        <f>EXACT(E845,[1]Main!E845)</f>
        <v>1</v>
      </c>
    </row>
    <row r="845" spans="1:10" x14ac:dyDescent="0.25">
      <c r="A845" s="249">
        <v>45118</v>
      </c>
      <c r="B845" s="237"/>
      <c r="C845" s="238"/>
      <c r="D845" s="239"/>
      <c r="E845" s="237">
        <v>300</v>
      </c>
      <c r="F845" s="242" t="s">
        <v>34</v>
      </c>
      <c r="G845" s="239" t="s">
        <v>930</v>
      </c>
      <c r="H845" s="240">
        <f t="shared" si="13"/>
        <v>67288</v>
      </c>
      <c r="I845" s="241"/>
      <c r="J845" s="221" t="b">
        <f>EXACT(E846,[1]Main!E846)</f>
        <v>1</v>
      </c>
    </row>
    <row r="846" spans="1:10" x14ac:dyDescent="0.25">
      <c r="A846" s="249">
        <v>45118</v>
      </c>
      <c r="B846" s="237"/>
      <c r="C846" s="238"/>
      <c r="D846" s="239"/>
      <c r="E846" s="237">
        <v>825</v>
      </c>
      <c r="F846" s="242" t="s">
        <v>66</v>
      </c>
      <c r="G846" s="239" t="s">
        <v>928</v>
      </c>
      <c r="H846" s="240">
        <f t="shared" si="13"/>
        <v>66463</v>
      </c>
      <c r="I846" s="241"/>
      <c r="J846" s="221" t="b">
        <f>EXACT(E847,[1]Main!E847)</f>
        <v>1</v>
      </c>
    </row>
    <row r="847" spans="1:10" x14ac:dyDescent="0.25">
      <c r="A847" s="249">
        <v>45118</v>
      </c>
      <c r="B847" s="237"/>
      <c r="C847" s="238"/>
      <c r="D847" s="239"/>
      <c r="E847" s="237">
        <v>400</v>
      </c>
      <c r="F847" s="242" t="s">
        <v>278</v>
      </c>
      <c r="G847" s="239" t="s">
        <v>935</v>
      </c>
      <c r="H847" s="240">
        <f t="shared" si="13"/>
        <v>66063</v>
      </c>
      <c r="I847" s="241"/>
      <c r="J847" s="221" t="b">
        <f>EXACT(E848,[1]Main!E848)</f>
        <v>1</v>
      </c>
    </row>
    <row r="848" spans="1:10" x14ac:dyDescent="0.25">
      <c r="A848" s="249">
        <v>45118</v>
      </c>
      <c r="B848" s="237"/>
      <c r="C848" s="238"/>
      <c r="D848" s="239"/>
      <c r="E848" s="237">
        <v>90</v>
      </c>
      <c r="F848" s="242" t="s">
        <v>642</v>
      </c>
      <c r="G848" s="239" t="s">
        <v>935</v>
      </c>
      <c r="H848" s="240">
        <f t="shared" si="13"/>
        <v>65973</v>
      </c>
      <c r="I848" s="241"/>
      <c r="J848" s="221" t="b">
        <f>EXACT(E849,[1]Main!E849)</f>
        <v>1</v>
      </c>
    </row>
    <row r="849" spans="1:10" x14ac:dyDescent="0.25">
      <c r="A849" s="249">
        <v>45118</v>
      </c>
      <c r="B849" s="237"/>
      <c r="C849" s="238"/>
      <c r="D849" s="239"/>
      <c r="E849" s="237">
        <v>525</v>
      </c>
      <c r="F849" s="242" t="s">
        <v>79</v>
      </c>
      <c r="G849" s="239" t="s">
        <v>929</v>
      </c>
      <c r="H849" s="240">
        <f t="shared" si="13"/>
        <v>65448</v>
      </c>
      <c r="I849" s="241" t="s">
        <v>828</v>
      </c>
      <c r="J849" s="221" t="b">
        <f>EXACT(E850,[1]Main!E850)</f>
        <v>1</v>
      </c>
    </row>
    <row r="850" spans="1:10" x14ac:dyDescent="0.25">
      <c r="A850" s="249">
        <v>45118</v>
      </c>
      <c r="B850" s="237"/>
      <c r="C850" s="238"/>
      <c r="D850" s="239"/>
      <c r="E850" s="237">
        <v>2400</v>
      </c>
      <c r="F850" s="242" t="s">
        <v>645</v>
      </c>
      <c r="G850" s="239" t="s">
        <v>928</v>
      </c>
      <c r="H850" s="240">
        <f t="shared" si="13"/>
        <v>63048</v>
      </c>
      <c r="I850" s="241"/>
      <c r="J850" s="221" t="b">
        <f>EXACT(E851,[1]Main!E851)</f>
        <v>1</v>
      </c>
    </row>
    <row r="851" spans="1:10" x14ac:dyDescent="0.25">
      <c r="A851" s="249">
        <v>45118</v>
      </c>
      <c r="B851" s="237"/>
      <c r="C851" s="238"/>
      <c r="D851" s="239"/>
      <c r="E851" s="237">
        <v>804</v>
      </c>
      <c r="F851" s="242" t="s">
        <v>214</v>
      </c>
      <c r="G851" s="239" t="s">
        <v>928</v>
      </c>
      <c r="H851" s="240">
        <f t="shared" si="13"/>
        <v>62244</v>
      </c>
      <c r="I851" s="241"/>
      <c r="J851" s="221" t="b">
        <f>EXACT(E852,[1]Main!E852)</f>
        <v>1</v>
      </c>
    </row>
    <row r="852" spans="1:10" x14ac:dyDescent="0.25">
      <c r="A852" s="249">
        <v>45118</v>
      </c>
      <c r="B852" s="237"/>
      <c r="C852" s="238"/>
      <c r="D852" s="239"/>
      <c r="E852" s="237">
        <v>90</v>
      </c>
      <c r="F852" s="242" t="s">
        <v>339</v>
      </c>
      <c r="G852" s="239" t="s">
        <v>935</v>
      </c>
      <c r="H852" s="240">
        <f t="shared" si="13"/>
        <v>62154</v>
      </c>
      <c r="I852" s="241"/>
      <c r="J852" s="221" t="b">
        <f>EXACT(E853,[1]Main!E853)</f>
        <v>1</v>
      </c>
    </row>
    <row r="853" spans="1:10" x14ac:dyDescent="0.25">
      <c r="A853" s="249">
        <v>45118</v>
      </c>
      <c r="B853" s="237"/>
      <c r="C853" s="238"/>
      <c r="D853" s="239"/>
      <c r="E853" s="237">
        <v>100</v>
      </c>
      <c r="F853" s="242" t="s">
        <v>29</v>
      </c>
      <c r="G853" s="239" t="s">
        <v>930</v>
      </c>
      <c r="H853" s="240">
        <f t="shared" si="13"/>
        <v>62054</v>
      </c>
      <c r="I853" s="241"/>
      <c r="J853" s="221" t="b">
        <f>EXACT(E854,[1]Main!E854)</f>
        <v>1</v>
      </c>
    </row>
    <row r="854" spans="1:10" x14ac:dyDescent="0.25">
      <c r="A854" s="249">
        <v>45118</v>
      </c>
      <c r="B854" s="237"/>
      <c r="C854" s="238"/>
      <c r="D854" s="239"/>
      <c r="E854" s="237">
        <v>16</v>
      </c>
      <c r="F854" s="242" t="s">
        <v>458</v>
      </c>
      <c r="G854" s="239" t="s">
        <v>464</v>
      </c>
      <c r="H854" s="240">
        <f t="shared" si="13"/>
        <v>62038</v>
      </c>
      <c r="I854" s="241"/>
      <c r="J854" s="221" t="b">
        <f>EXACT(E855,[1]Main!E855)</f>
        <v>1</v>
      </c>
    </row>
    <row r="855" spans="1:10" x14ac:dyDescent="0.25">
      <c r="A855" s="249">
        <v>45118</v>
      </c>
      <c r="B855" s="237"/>
      <c r="C855" s="238"/>
      <c r="D855" s="239"/>
      <c r="E855" s="237">
        <v>1205</v>
      </c>
      <c r="F855" s="242" t="s">
        <v>580</v>
      </c>
      <c r="G855" s="239" t="s">
        <v>928</v>
      </c>
      <c r="H855" s="240">
        <f t="shared" si="13"/>
        <v>60833</v>
      </c>
      <c r="I855" s="241"/>
      <c r="J855" s="221" t="b">
        <f>EXACT(E856,[1]Main!E856)</f>
        <v>1</v>
      </c>
    </row>
    <row r="856" spans="1:10" x14ac:dyDescent="0.25">
      <c r="A856" s="249">
        <v>45118</v>
      </c>
      <c r="B856" s="237"/>
      <c r="C856" s="238"/>
      <c r="D856" s="239"/>
      <c r="E856" s="237">
        <v>3520</v>
      </c>
      <c r="F856" s="242" t="s">
        <v>647</v>
      </c>
      <c r="G856" s="239" t="s">
        <v>929</v>
      </c>
      <c r="H856" s="240">
        <f t="shared" si="13"/>
        <v>57313</v>
      </c>
      <c r="I856" s="241"/>
      <c r="J856" s="221" t="b">
        <f>EXACT(E857,[1]Main!E857)</f>
        <v>1</v>
      </c>
    </row>
    <row r="857" spans="1:10" x14ac:dyDescent="0.25">
      <c r="A857" s="249">
        <v>45118</v>
      </c>
      <c r="B857" s="237"/>
      <c r="C857" s="238"/>
      <c r="D857" s="239"/>
      <c r="E857" s="237">
        <v>305</v>
      </c>
      <c r="F857" s="242" t="s">
        <v>648</v>
      </c>
      <c r="G857" s="239" t="s">
        <v>930</v>
      </c>
      <c r="H857" s="240">
        <f t="shared" si="13"/>
        <v>57008</v>
      </c>
      <c r="I857" s="241"/>
      <c r="J857" s="221" t="b">
        <f>EXACT(E858,[1]Main!E858)</f>
        <v>1</v>
      </c>
    </row>
    <row r="858" spans="1:10" x14ac:dyDescent="0.25">
      <c r="A858" s="249">
        <v>45118</v>
      </c>
      <c r="B858" s="237"/>
      <c r="C858" s="238"/>
      <c r="D858" s="239"/>
      <c r="E858" s="237">
        <v>830</v>
      </c>
      <c r="F858" s="242" t="s">
        <v>649</v>
      </c>
      <c r="G858" s="239" t="s">
        <v>928</v>
      </c>
      <c r="H858" s="240">
        <f t="shared" si="13"/>
        <v>56178</v>
      </c>
      <c r="I858" s="241"/>
      <c r="J858" s="221" t="b">
        <f>EXACT(E859,[1]Main!E859)</f>
        <v>1</v>
      </c>
    </row>
    <row r="859" spans="1:10" x14ac:dyDescent="0.25">
      <c r="A859" s="249">
        <v>45118</v>
      </c>
      <c r="B859" s="237"/>
      <c r="C859" s="238"/>
      <c r="D859" s="239"/>
      <c r="E859" s="237">
        <v>168</v>
      </c>
      <c r="F859" s="242" t="s">
        <v>86</v>
      </c>
      <c r="G859" s="239" t="s">
        <v>930</v>
      </c>
      <c r="H859" s="240">
        <f t="shared" si="13"/>
        <v>56010</v>
      </c>
      <c r="I859" s="241"/>
      <c r="J859" s="221" t="b">
        <f>EXACT(E860,[1]Main!E860)</f>
        <v>1</v>
      </c>
    </row>
    <row r="860" spans="1:10" x14ac:dyDescent="0.25">
      <c r="A860" s="249">
        <v>45118</v>
      </c>
      <c r="B860" s="237"/>
      <c r="C860" s="238"/>
      <c r="D860" s="239"/>
      <c r="E860" s="237">
        <v>160</v>
      </c>
      <c r="F860" s="242" t="s">
        <v>15</v>
      </c>
      <c r="G860" s="239" t="s">
        <v>930</v>
      </c>
      <c r="H860" s="240">
        <f t="shared" si="13"/>
        <v>55850</v>
      </c>
      <c r="I860" s="241"/>
      <c r="J860" s="221" t="b">
        <f>EXACT(E861,[1]Main!E861)</f>
        <v>1</v>
      </c>
    </row>
    <row r="861" spans="1:10" x14ac:dyDescent="0.25">
      <c r="A861" s="249">
        <v>45118</v>
      </c>
      <c r="B861" s="237"/>
      <c r="C861" s="238"/>
      <c r="D861" s="239"/>
      <c r="E861" s="237">
        <v>100</v>
      </c>
      <c r="F861" s="242" t="s">
        <v>494</v>
      </c>
      <c r="G861" s="239" t="s">
        <v>930</v>
      </c>
      <c r="H861" s="240">
        <f t="shared" si="13"/>
        <v>55750</v>
      </c>
      <c r="I861" s="241"/>
      <c r="J861" s="221" t="b">
        <f>EXACT(E862,[1]Main!E862)</f>
        <v>1</v>
      </c>
    </row>
    <row r="862" spans="1:10" x14ac:dyDescent="0.25">
      <c r="A862" s="249">
        <v>45118</v>
      </c>
      <c r="B862" s="237"/>
      <c r="C862" s="238"/>
      <c r="D862" s="239"/>
      <c r="E862" s="237">
        <v>824</v>
      </c>
      <c r="F862" s="242" t="s">
        <v>45</v>
      </c>
      <c r="G862" s="239" t="s">
        <v>928</v>
      </c>
      <c r="H862" s="240">
        <f t="shared" si="13"/>
        <v>54926</v>
      </c>
      <c r="I862" s="241"/>
      <c r="J862" s="221" t="b">
        <f>EXACT(E863,[1]Main!E863)</f>
        <v>1</v>
      </c>
    </row>
    <row r="863" spans="1:10" x14ac:dyDescent="0.25">
      <c r="A863" s="249">
        <v>45118</v>
      </c>
      <c r="B863" s="237"/>
      <c r="C863" s="238"/>
      <c r="D863" s="239"/>
      <c r="E863" s="237">
        <v>100</v>
      </c>
      <c r="F863" s="242" t="s">
        <v>552</v>
      </c>
      <c r="G863" s="239" t="s">
        <v>930</v>
      </c>
      <c r="H863" s="240">
        <f t="shared" si="13"/>
        <v>54826</v>
      </c>
      <c r="I863" s="241"/>
      <c r="J863" s="221" t="b">
        <f>EXACT(E864,[1]Main!E864)</f>
        <v>1</v>
      </c>
    </row>
    <row r="864" spans="1:10" x14ac:dyDescent="0.25">
      <c r="A864" s="249">
        <v>45118</v>
      </c>
      <c r="B864" s="237"/>
      <c r="C864" s="238"/>
      <c r="D864" s="239"/>
      <c r="E864" s="237">
        <v>4875</v>
      </c>
      <c r="F864" s="242" t="s">
        <v>520</v>
      </c>
      <c r="G864" s="239" t="s">
        <v>928</v>
      </c>
      <c r="H864" s="240">
        <f t="shared" si="13"/>
        <v>49951</v>
      </c>
      <c r="I864" s="241"/>
      <c r="J864" s="221" t="b">
        <f>EXACT(E865,[1]Main!E865)</f>
        <v>1</v>
      </c>
    </row>
    <row r="865" spans="1:10" x14ac:dyDescent="0.25">
      <c r="A865" s="249">
        <v>45118</v>
      </c>
      <c r="B865" s="237"/>
      <c r="C865" s="238"/>
      <c r="D865" s="239"/>
      <c r="E865" s="237">
        <v>130</v>
      </c>
      <c r="F865" s="242" t="s">
        <v>498</v>
      </c>
      <c r="G865" s="239" t="s">
        <v>930</v>
      </c>
      <c r="H865" s="240">
        <f t="shared" si="13"/>
        <v>49821</v>
      </c>
      <c r="I865" s="241"/>
      <c r="J865" s="221" t="b">
        <f>EXACT(E866,[1]Main!E866)</f>
        <v>1</v>
      </c>
    </row>
    <row r="866" spans="1:10" x14ac:dyDescent="0.25">
      <c r="A866" s="249">
        <v>45118</v>
      </c>
      <c r="B866" s="237"/>
      <c r="C866" s="238"/>
      <c r="D866" s="239"/>
      <c r="E866" s="237">
        <v>100</v>
      </c>
      <c r="F866" s="242" t="s">
        <v>72</v>
      </c>
      <c r="G866" s="239" t="s">
        <v>930</v>
      </c>
      <c r="H866" s="240">
        <f t="shared" si="13"/>
        <v>49721</v>
      </c>
      <c r="I866" s="241"/>
      <c r="J866" s="221" t="b">
        <f>EXACT(E867,[1]Main!E867)</f>
        <v>1</v>
      </c>
    </row>
    <row r="867" spans="1:10" x14ac:dyDescent="0.25">
      <c r="A867" s="249">
        <v>45118</v>
      </c>
      <c r="B867" s="237"/>
      <c r="C867" s="238"/>
      <c r="D867" s="239"/>
      <c r="E867" s="237">
        <v>25</v>
      </c>
      <c r="F867" s="242" t="s">
        <v>458</v>
      </c>
      <c r="G867" s="239" t="s">
        <v>464</v>
      </c>
      <c r="H867" s="240">
        <f t="shared" si="13"/>
        <v>49696</v>
      </c>
      <c r="I867" s="241"/>
      <c r="J867" s="221" t="b">
        <f>EXACT(E868,[1]Main!E868)</f>
        <v>1</v>
      </c>
    </row>
    <row r="868" spans="1:10" x14ac:dyDescent="0.25">
      <c r="A868" s="249">
        <v>45118</v>
      </c>
      <c r="B868" s="237"/>
      <c r="C868" s="238"/>
      <c r="D868" s="239"/>
      <c r="E868" s="237">
        <v>190</v>
      </c>
      <c r="F868" s="242" t="s">
        <v>643</v>
      </c>
      <c r="G868" s="239" t="s">
        <v>930</v>
      </c>
      <c r="H868" s="240">
        <f t="shared" si="13"/>
        <v>49506</v>
      </c>
      <c r="I868" s="241"/>
      <c r="J868" s="221" t="b">
        <f>EXACT(E869,[1]Main!E869)</f>
        <v>1</v>
      </c>
    </row>
    <row r="869" spans="1:10" x14ac:dyDescent="0.25">
      <c r="A869" s="249">
        <v>45118</v>
      </c>
      <c r="B869" s="237"/>
      <c r="C869" s="238"/>
      <c r="D869" s="239"/>
      <c r="E869" s="237">
        <v>150</v>
      </c>
      <c r="F869" s="242" t="s">
        <v>32</v>
      </c>
      <c r="G869" s="239" t="s">
        <v>930</v>
      </c>
      <c r="H869" s="240">
        <f t="shared" si="13"/>
        <v>49356</v>
      </c>
      <c r="I869" s="241"/>
      <c r="J869" s="221" t="b">
        <f>EXACT(E870,[1]Main!E870)</f>
        <v>1</v>
      </c>
    </row>
    <row r="870" spans="1:10" x14ac:dyDescent="0.25">
      <c r="A870" s="249">
        <v>45118</v>
      </c>
      <c r="B870" s="237"/>
      <c r="C870" s="238"/>
      <c r="D870" s="239"/>
      <c r="E870" s="237">
        <v>15</v>
      </c>
      <c r="F870" s="242" t="s">
        <v>644</v>
      </c>
      <c r="G870" s="239" t="s">
        <v>464</v>
      </c>
      <c r="H870" s="240">
        <f t="shared" si="13"/>
        <v>49341</v>
      </c>
      <c r="I870" s="241"/>
      <c r="J870" s="221" t="b">
        <f>EXACT(E871,[1]Main!E871)</f>
        <v>1</v>
      </c>
    </row>
    <row r="871" spans="1:10" x14ac:dyDescent="0.25">
      <c r="A871" s="249">
        <v>45118</v>
      </c>
      <c r="B871" s="237"/>
      <c r="C871" s="238"/>
      <c r="D871" s="239"/>
      <c r="E871" s="237">
        <v>150</v>
      </c>
      <c r="F871" s="242" t="s">
        <v>643</v>
      </c>
      <c r="G871" s="239" t="s">
        <v>930</v>
      </c>
      <c r="H871" s="240">
        <f t="shared" si="13"/>
        <v>49191</v>
      </c>
      <c r="I871" s="241"/>
      <c r="J871" s="221" t="b">
        <f>EXACT(E872,[1]Main!E872)</f>
        <v>1</v>
      </c>
    </row>
    <row r="872" spans="1:10" x14ac:dyDescent="0.25">
      <c r="A872" s="249">
        <v>45118</v>
      </c>
      <c r="B872" s="237"/>
      <c r="C872" s="238"/>
      <c r="D872" s="239"/>
      <c r="E872" s="237">
        <v>115</v>
      </c>
      <c r="F872" s="242" t="s">
        <v>39</v>
      </c>
      <c r="G872" s="239" t="s">
        <v>930</v>
      </c>
      <c r="H872" s="240">
        <f t="shared" si="13"/>
        <v>49076</v>
      </c>
      <c r="I872" s="241"/>
      <c r="J872" s="221" t="b">
        <f>EXACT(E873,[1]Main!E873)</f>
        <v>1</v>
      </c>
    </row>
    <row r="873" spans="1:10" x14ac:dyDescent="0.25">
      <c r="A873" s="249">
        <v>45118</v>
      </c>
      <c r="B873" s="237"/>
      <c r="C873" s="238"/>
      <c r="D873" s="239"/>
      <c r="E873" s="237">
        <v>4500</v>
      </c>
      <c r="F873" s="242" t="s">
        <v>74</v>
      </c>
      <c r="G873" s="239" t="s">
        <v>464</v>
      </c>
      <c r="H873" s="240">
        <f t="shared" si="13"/>
        <v>44576</v>
      </c>
      <c r="I873" s="241" t="s">
        <v>899</v>
      </c>
      <c r="J873" s="221" t="b">
        <f>EXACT(E874,[1]Main!E874)</f>
        <v>1</v>
      </c>
    </row>
    <row r="874" spans="1:10" x14ac:dyDescent="0.25">
      <c r="A874" s="249">
        <v>45118</v>
      </c>
      <c r="B874" s="237"/>
      <c r="C874" s="238"/>
      <c r="D874" s="239"/>
      <c r="E874" s="237">
        <v>5000</v>
      </c>
      <c r="F874" s="242" t="s">
        <v>637</v>
      </c>
      <c r="G874" s="239" t="s">
        <v>928</v>
      </c>
      <c r="H874" s="240">
        <f t="shared" si="13"/>
        <v>39576</v>
      </c>
      <c r="I874" s="241"/>
      <c r="J874" s="221" t="b">
        <f>EXACT(E875,[1]Main!E875)</f>
        <v>1</v>
      </c>
    </row>
    <row r="875" spans="1:10" x14ac:dyDescent="0.25">
      <c r="A875" s="249">
        <v>45118</v>
      </c>
      <c r="B875" s="237"/>
      <c r="C875" s="238"/>
      <c r="D875" s="239"/>
      <c r="E875" s="237">
        <v>53</v>
      </c>
      <c r="F875" s="242" t="s">
        <v>631</v>
      </c>
      <c r="G875" s="239" t="s">
        <v>937</v>
      </c>
      <c r="H875" s="240">
        <f t="shared" si="13"/>
        <v>39523</v>
      </c>
      <c r="I875" s="241"/>
      <c r="J875" s="221" t="b">
        <f>EXACT(E876,[1]Main!E876)</f>
        <v>1</v>
      </c>
    </row>
    <row r="876" spans="1:10" x14ac:dyDescent="0.25">
      <c r="A876" s="244">
        <v>45118</v>
      </c>
      <c r="B876" s="245"/>
      <c r="C876" s="246"/>
      <c r="D876" s="247"/>
      <c r="E876" s="245">
        <v>20</v>
      </c>
      <c r="F876" s="248" t="s">
        <v>358</v>
      </c>
      <c r="G876" s="302" t="s">
        <v>938</v>
      </c>
      <c r="H876" s="240">
        <f t="shared" si="13"/>
        <v>39503</v>
      </c>
      <c r="I876" s="241"/>
      <c r="J876" s="221" t="b">
        <f>EXACT(E877,[1]Main!E877)</f>
        <v>1</v>
      </c>
    </row>
    <row r="877" spans="1:10" x14ac:dyDescent="0.25">
      <c r="A877" s="249">
        <v>45119</v>
      </c>
      <c r="B877" s="237">
        <v>15402</v>
      </c>
      <c r="C877" s="238" t="s">
        <v>9</v>
      </c>
      <c r="D877" s="239" t="s">
        <v>763</v>
      </c>
      <c r="E877" s="237">
        <v>2725</v>
      </c>
      <c r="F877" s="242" t="s">
        <v>27</v>
      </c>
      <c r="G877" s="239" t="s">
        <v>943</v>
      </c>
      <c r="H877" s="240">
        <f t="shared" si="13"/>
        <v>52180</v>
      </c>
      <c r="I877" s="241"/>
      <c r="J877" s="221" t="b">
        <f>EXACT(E878,[1]Main!E878)</f>
        <v>1</v>
      </c>
    </row>
    <row r="878" spans="1:10" x14ac:dyDescent="0.25">
      <c r="A878" s="249">
        <v>45119</v>
      </c>
      <c r="B878" s="237">
        <v>722</v>
      </c>
      <c r="C878" s="238" t="s">
        <v>28</v>
      </c>
      <c r="D878" s="239" t="s">
        <v>765</v>
      </c>
      <c r="E878" s="237">
        <v>520</v>
      </c>
      <c r="F878" s="242" t="s">
        <v>313</v>
      </c>
      <c r="G878" s="239" t="s">
        <v>929</v>
      </c>
      <c r="H878" s="240">
        <f t="shared" si="13"/>
        <v>52382</v>
      </c>
      <c r="I878" s="241"/>
      <c r="J878" s="221" t="b">
        <f>EXACT(E879,[1]Main!E879)</f>
        <v>1</v>
      </c>
    </row>
    <row r="879" spans="1:10" x14ac:dyDescent="0.25">
      <c r="A879" s="249">
        <v>45119</v>
      </c>
      <c r="B879" s="237">
        <v>13312</v>
      </c>
      <c r="C879" s="238" t="s">
        <v>80</v>
      </c>
      <c r="D879" s="239" t="s">
        <v>763</v>
      </c>
      <c r="E879" s="237">
        <v>200</v>
      </c>
      <c r="F879" s="242" t="s">
        <v>52</v>
      </c>
      <c r="G879" s="239" t="s">
        <v>938</v>
      </c>
      <c r="H879" s="240">
        <f t="shared" si="13"/>
        <v>65494</v>
      </c>
      <c r="I879" s="241"/>
      <c r="J879" s="221" t="b">
        <f>EXACT(E880,[1]Main!E880)</f>
        <v>1</v>
      </c>
    </row>
    <row r="880" spans="1:10" x14ac:dyDescent="0.25">
      <c r="A880" s="249">
        <v>45119</v>
      </c>
      <c r="B880" s="237">
        <v>2110</v>
      </c>
      <c r="C880" s="238" t="s">
        <v>81</v>
      </c>
      <c r="D880" s="239" t="s">
        <v>765</v>
      </c>
      <c r="E880" s="237">
        <v>72</v>
      </c>
      <c r="F880" s="242" t="s">
        <v>33</v>
      </c>
      <c r="G880" s="239" t="s">
        <v>464</v>
      </c>
      <c r="H880" s="240">
        <f t="shared" si="13"/>
        <v>67532</v>
      </c>
      <c r="I880" s="241"/>
      <c r="J880" s="221" t="b">
        <f>EXACT(E881,[1]Main!E881)</f>
        <v>1</v>
      </c>
    </row>
    <row r="881" spans="1:10" x14ac:dyDescent="0.25">
      <c r="A881" s="249">
        <v>45119</v>
      </c>
      <c r="B881" s="237">
        <v>4295</v>
      </c>
      <c r="C881" s="238" t="s">
        <v>19</v>
      </c>
      <c r="D881" s="239" t="s">
        <v>763</v>
      </c>
      <c r="E881" s="237">
        <v>7240</v>
      </c>
      <c r="F881" s="242" t="s">
        <v>150</v>
      </c>
      <c r="G881" s="239" t="s">
        <v>974</v>
      </c>
      <c r="H881" s="240">
        <f t="shared" si="13"/>
        <v>64587</v>
      </c>
      <c r="I881" s="241" t="s">
        <v>778</v>
      </c>
      <c r="J881" s="221" t="b">
        <f>EXACT(E882,[1]Main!E882)</f>
        <v>1</v>
      </c>
    </row>
    <row r="882" spans="1:10" x14ac:dyDescent="0.25">
      <c r="A882" s="249">
        <v>45119</v>
      </c>
      <c r="B882" s="237">
        <v>23</v>
      </c>
      <c r="C882" s="238" t="s">
        <v>541</v>
      </c>
      <c r="D882" s="239" t="s">
        <v>937</v>
      </c>
      <c r="E882" s="237">
        <v>2430</v>
      </c>
      <c r="F882" s="242" t="s">
        <v>69</v>
      </c>
      <c r="G882" s="239" t="s">
        <v>928</v>
      </c>
      <c r="H882" s="240">
        <f t="shared" si="13"/>
        <v>62180</v>
      </c>
      <c r="I882" s="241"/>
      <c r="J882" s="221" t="b">
        <f>EXACT(E883,[1]Main!E883)</f>
        <v>1</v>
      </c>
    </row>
    <row r="883" spans="1:10" x14ac:dyDescent="0.25">
      <c r="A883" s="249">
        <v>45119</v>
      </c>
      <c r="B883" s="237">
        <v>16870</v>
      </c>
      <c r="C883" s="238" t="s">
        <v>363</v>
      </c>
      <c r="D883" s="239" t="s">
        <v>763</v>
      </c>
      <c r="E883" s="237">
        <v>9190</v>
      </c>
      <c r="F883" s="242" t="s">
        <v>1336</v>
      </c>
      <c r="G883" s="239" t="s">
        <v>928</v>
      </c>
      <c r="H883" s="240">
        <f t="shared" si="13"/>
        <v>69860</v>
      </c>
      <c r="I883" s="241" t="s">
        <v>900</v>
      </c>
      <c r="J883" s="221" t="b">
        <f>EXACT(E884,[1]Main!E884)</f>
        <v>1</v>
      </c>
    </row>
    <row r="884" spans="1:10" x14ac:dyDescent="0.25">
      <c r="A884" s="249">
        <v>45119</v>
      </c>
      <c r="B884" s="237">
        <v>2681</v>
      </c>
      <c r="C884" s="238" t="s">
        <v>465</v>
      </c>
      <c r="D884" s="239" t="s">
        <v>765</v>
      </c>
      <c r="E884" s="237">
        <v>1410</v>
      </c>
      <c r="F884" s="242" t="s">
        <v>58</v>
      </c>
      <c r="G884" s="239" t="s">
        <v>928</v>
      </c>
      <c r="H884" s="240">
        <f t="shared" si="13"/>
        <v>71131</v>
      </c>
      <c r="I884" s="241"/>
      <c r="J884" s="221" t="b">
        <f>EXACT(E885,[1]Main!E885)</f>
        <v>1</v>
      </c>
    </row>
    <row r="885" spans="1:10" x14ac:dyDescent="0.25">
      <c r="A885" s="249">
        <v>45119</v>
      </c>
      <c r="B885" s="237">
        <v>3015</v>
      </c>
      <c r="C885" s="238" t="s">
        <v>60</v>
      </c>
      <c r="D885" s="239" t="s">
        <v>763</v>
      </c>
      <c r="E885" s="237">
        <v>614</v>
      </c>
      <c r="F885" s="242" t="s">
        <v>1337</v>
      </c>
      <c r="G885" s="239" t="s">
        <v>928</v>
      </c>
      <c r="H885" s="240">
        <f t="shared" si="13"/>
        <v>73532</v>
      </c>
      <c r="I885" s="241" t="s">
        <v>787</v>
      </c>
      <c r="J885" s="221" t="b">
        <f>EXACT(E886,[1]Main!E886)</f>
        <v>1</v>
      </c>
    </row>
    <row r="886" spans="1:10" x14ac:dyDescent="0.25">
      <c r="A886" s="249">
        <v>45119</v>
      </c>
      <c r="B886" s="237">
        <v>12801</v>
      </c>
      <c r="C886" s="238" t="s">
        <v>85</v>
      </c>
      <c r="D886" s="239" t="s">
        <v>766</v>
      </c>
      <c r="E886" s="237">
        <v>5000</v>
      </c>
      <c r="F886" s="242" t="s">
        <v>655</v>
      </c>
      <c r="G886" s="239" t="s">
        <v>928</v>
      </c>
      <c r="H886" s="240">
        <f t="shared" si="13"/>
        <v>81333</v>
      </c>
      <c r="I886" s="241" t="s">
        <v>901</v>
      </c>
      <c r="J886" s="221" t="b">
        <f>EXACT(E887,[1]Main!E887)</f>
        <v>1</v>
      </c>
    </row>
    <row r="887" spans="1:10" x14ac:dyDescent="0.25">
      <c r="A887" s="249">
        <v>45119</v>
      </c>
      <c r="B887" s="237">
        <v>10585</v>
      </c>
      <c r="C887" s="238" t="s">
        <v>121</v>
      </c>
      <c r="D887" s="239" t="s">
        <v>766</v>
      </c>
      <c r="E887" s="237">
        <v>120</v>
      </c>
      <c r="F887" s="242" t="s">
        <v>393</v>
      </c>
      <c r="G887" s="239" t="s">
        <v>930</v>
      </c>
      <c r="H887" s="240">
        <f t="shared" si="13"/>
        <v>91798</v>
      </c>
      <c r="I887" s="241"/>
      <c r="J887" s="221" t="b">
        <f>EXACT(E888,[1]Main!E888)</f>
        <v>1</v>
      </c>
    </row>
    <row r="888" spans="1:10" x14ac:dyDescent="0.25">
      <c r="A888" s="249">
        <v>45119</v>
      </c>
      <c r="B888" s="237">
        <v>544</v>
      </c>
      <c r="C888" s="238" t="s">
        <v>710</v>
      </c>
      <c r="D888" s="239" t="s">
        <v>768</v>
      </c>
      <c r="E888" s="237">
        <v>180</v>
      </c>
      <c r="F888" s="242" t="s">
        <v>399</v>
      </c>
      <c r="G888" s="239" t="s">
        <v>930</v>
      </c>
      <c r="H888" s="240">
        <f t="shared" si="13"/>
        <v>92162</v>
      </c>
      <c r="I888" s="241"/>
      <c r="J888" s="221" t="b">
        <f>EXACT(E889,[1]Main!E889)</f>
        <v>1</v>
      </c>
    </row>
    <row r="889" spans="1:10" x14ac:dyDescent="0.25">
      <c r="A889" s="249">
        <v>45119</v>
      </c>
      <c r="B889" s="237">
        <v>22819</v>
      </c>
      <c r="C889" s="238" t="s">
        <v>15</v>
      </c>
      <c r="D889" s="239" t="s">
        <v>766</v>
      </c>
      <c r="E889" s="237">
        <v>270</v>
      </c>
      <c r="F889" s="242" t="s">
        <v>8</v>
      </c>
      <c r="G889" s="239" t="s">
        <v>930</v>
      </c>
      <c r="H889" s="240">
        <f t="shared" si="13"/>
        <v>114711</v>
      </c>
      <c r="I889" s="241"/>
      <c r="J889" s="221" t="b">
        <f>EXACT(E890,[1]Main!E890)</f>
        <v>1</v>
      </c>
    </row>
    <row r="890" spans="1:10" x14ac:dyDescent="0.25">
      <c r="A890" s="249">
        <v>45119</v>
      </c>
      <c r="B890" s="237">
        <v>658</v>
      </c>
      <c r="C890" s="238" t="s">
        <v>90</v>
      </c>
      <c r="D890" s="239" t="s">
        <v>768</v>
      </c>
      <c r="E890" s="237">
        <v>475</v>
      </c>
      <c r="F890" s="242" t="s">
        <v>34</v>
      </c>
      <c r="G890" s="239" t="s">
        <v>930</v>
      </c>
      <c r="H890" s="240">
        <f t="shared" si="13"/>
        <v>114894</v>
      </c>
      <c r="I890" s="241"/>
      <c r="J890" s="221" t="b">
        <f>EXACT(E891,[1]Main!E891)</f>
        <v>1</v>
      </c>
    </row>
    <row r="891" spans="1:10" x14ac:dyDescent="0.25">
      <c r="A891" s="249">
        <v>45119</v>
      </c>
      <c r="B891" s="237"/>
      <c r="C891" s="238"/>
      <c r="D891" s="239"/>
      <c r="E891" s="237">
        <v>520</v>
      </c>
      <c r="F891" s="242" t="s">
        <v>656</v>
      </c>
      <c r="G891" s="239" t="s">
        <v>929</v>
      </c>
      <c r="H891" s="240">
        <f t="shared" si="13"/>
        <v>114374</v>
      </c>
      <c r="I891" s="241"/>
      <c r="J891" s="221" t="b">
        <f>EXACT(E892,[1]Main!E892)</f>
        <v>1</v>
      </c>
    </row>
    <row r="892" spans="1:10" x14ac:dyDescent="0.25">
      <c r="A892" s="249">
        <v>45119</v>
      </c>
      <c r="B892" s="237"/>
      <c r="C892" s="238"/>
      <c r="D892" s="239"/>
      <c r="E892" s="237">
        <v>737</v>
      </c>
      <c r="F892" s="242" t="s">
        <v>314</v>
      </c>
      <c r="G892" s="239" t="s">
        <v>928</v>
      </c>
      <c r="H892" s="240">
        <f t="shared" si="13"/>
        <v>113637</v>
      </c>
      <c r="I892" s="241"/>
      <c r="J892" s="221" t="b">
        <f>EXACT(E893,[1]Main!E893)</f>
        <v>1</v>
      </c>
    </row>
    <row r="893" spans="1:10" x14ac:dyDescent="0.25">
      <c r="A893" s="249">
        <v>45119</v>
      </c>
      <c r="B893" s="237"/>
      <c r="C893" s="238"/>
      <c r="D893" s="239"/>
      <c r="E893" s="237">
        <v>545</v>
      </c>
      <c r="F893" s="242" t="s">
        <v>657</v>
      </c>
      <c r="G893" s="239" t="s">
        <v>929</v>
      </c>
      <c r="H893" s="240">
        <f t="shared" si="13"/>
        <v>113092</v>
      </c>
      <c r="I893" s="241"/>
      <c r="J893" s="221" t="b">
        <f>EXACT(E894,[1]Main!E894)</f>
        <v>1</v>
      </c>
    </row>
    <row r="894" spans="1:10" x14ac:dyDescent="0.25">
      <c r="A894" s="249">
        <v>45119</v>
      </c>
      <c r="B894" s="237"/>
      <c r="C894" s="238"/>
      <c r="D894" s="239"/>
      <c r="E894" s="237">
        <v>1180</v>
      </c>
      <c r="F894" s="242" t="s">
        <v>317</v>
      </c>
      <c r="G894" s="239" t="s">
        <v>928</v>
      </c>
      <c r="H894" s="240">
        <f t="shared" si="13"/>
        <v>111912</v>
      </c>
      <c r="I894" s="241"/>
      <c r="J894" s="221" t="b">
        <f>EXACT(E895,[1]Main!E895)</f>
        <v>1</v>
      </c>
    </row>
    <row r="895" spans="1:10" x14ac:dyDescent="0.25">
      <c r="A895" s="249">
        <v>45119</v>
      </c>
      <c r="B895" s="237"/>
      <c r="C895" s="238"/>
      <c r="D895" s="239"/>
      <c r="E895" s="237">
        <v>6604</v>
      </c>
      <c r="F895" s="242" t="s">
        <v>47</v>
      </c>
      <c r="G895" s="239" t="s">
        <v>929</v>
      </c>
      <c r="H895" s="240">
        <f t="shared" si="13"/>
        <v>105308</v>
      </c>
      <c r="I895" s="241"/>
      <c r="J895" s="221" t="b">
        <f>EXACT(E896,[1]Main!E896)</f>
        <v>1</v>
      </c>
    </row>
    <row r="896" spans="1:10" x14ac:dyDescent="0.25">
      <c r="A896" s="249">
        <v>45119</v>
      </c>
      <c r="B896" s="237"/>
      <c r="C896" s="238"/>
      <c r="D896" s="239"/>
      <c r="E896" s="237">
        <v>120</v>
      </c>
      <c r="F896" s="242" t="s">
        <v>38</v>
      </c>
      <c r="G896" s="239" t="s">
        <v>930</v>
      </c>
      <c r="H896" s="240">
        <f t="shared" si="13"/>
        <v>105188</v>
      </c>
      <c r="I896" s="241"/>
      <c r="J896" s="221" t="b">
        <f>EXACT(E897,[1]Main!E897)</f>
        <v>1</v>
      </c>
    </row>
    <row r="897" spans="1:10" x14ac:dyDescent="0.25">
      <c r="A897" s="249">
        <v>45119</v>
      </c>
      <c r="B897" s="237"/>
      <c r="C897" s="238"/>
      <c r="D897" s="239"/>
      <c r="E897" s="237">
        <v>50</v>
      </c>
      <c r="F897" s="242" t="s">
        <v>13</v>
      </c>
      <c r="G897" s="239" t="s">
        <v>930</v>
      </c>
      <c r="H897" s="240">
        <f t="shared" si="13"/>
        <v>105138</v>
      </c>
      <c r="I897" s="241"/>
      <c r="J897" s="221" t="b">
        <f>EXACT(E898,[1]Main!E898)</f>
        <v>1</v>
      </c>
    </row>
    <row r="898" spans="1:10" x14ac:dyDescent="0.25">
      <c r="A898" s="249">
        <v>45119</v>
      </c>
      <c r="B898" s="237"/>
      <c r="C898" s="238"/>
      <c r="D898" s="239"/>
      <c r="E898" s="237">
        <v>1000</v>
      </c>
      <c r="F898" s="242" t="s">
        <v>220</v>
      </c>
      <c r="G898" s="239" t="s">
        <v>928</v>
      </c>
      <c r="H898" s="240">
        <f t="shared" si="13"/>
        <v>104138</v>
      </c>
      <c r="I898" s="241" t="s">
        <v>796</v>
      </c>
      <c r="J898" s="221" t="b">
        <f>EXACT(E899,[1]Main!E899)</f>
        <v>1</v>
      </c>
    </row>
    <row r="899" spans="1:10" x14ac:dyDescent="0.25">
      <c r="A899" s="249">
        <v>45119</v>
      </c>
      <c r="B899" s="237"/>
      <c r="C899" s="238"/>
      <c r="D899" s="239"/>
      <c r="E899" s="237">
        <v>4715</v>
      </c>
      <c r="F899" s="242" t="s">
        <v>659</v>
      </c>
      <c r="G899" s="239" t="s">
        <v>928</v>
      </c>
      <c r="H899" s="240">
        <f t="shared" si="13"/>
        <v>99423</v>
      </c>
      <c r="I899" s="241"/>
      <c r="J899" s="221" t="b">
        <f>EXACT(E900,[1]Main!E900)</f>
        <v>1</v>
      </c>
    </row>
    <row r="900" spans="1:10" x14ac:dyDescent="0.25">
      <c r="A900" s="249">
        <v>45119</v>
      </c>
      <c r="B900" s="237"/>
      <c r="C900" s="238"/>
      <c r="D900" s="239"/>
      <c r="E900" s="237">
        <v>20</v>
      </c>
      <c r="F900" s="242" t="s">
        <v>660</v>
      </c>
      <c r="G900" s="239" t="s">
        <v>464</v>
      </c>
      <c r="H900" s="240">
        <f t="shared" si="13"/>
        <v>99403</v>
      </c>
      <c r="I900" s="241"/>
      <c r="J900" s="221" t="b">
        <f>EXACT(E901,[1]Main!E901)</f>
        <v>1</v>
      </c>
    </row>
    <row r="901" spans="1:10" x14ac:dyDescent="0.25">
      <c r="A901" s="249">
        <v>45119</v>
      </c>
      <c r="B901" s="237"/>
      <c r="C901" s="238"/>
      <c r="D901" s="239"/>
      <c r="E901" s="237">
        <v>105</v>
      </c>
      <c r="F901" s="242" t="s">
        <v>376</v>
      </c>
      <c r="G901" s="239" t="s">
        <v>930</v>
      </c>
      <c r="H901" s="240">
        <f t="shared" si="13"/>
        <v>99298</v>
      </c>
      <c r="I901" s="241"/>
      <c r="J901" s="221" t="b">
        <f>EXACT(E902,[1]Main!E902)</f>
        <v>1</v>
      </c>
    </row>
    <row r="902" spans="1:10" x14ac:dyDescent="0.25">
      <c r="A902" s="249">
        <v>45119</v>
      </c>
      <c r="B902" s="237"/>
      <c r="C902" s="238"/>
      <c r="D902" s="239"/>
      <c r="E902" s="237">
        <v>800</v>
      </c>
      <c r="F902" s="242" t="s">
        <v>661</v>
      </c>
      <c r="G902" s="239" t="s">
        <v>929</v>
      </c>
      <c r="H902" s="240">
        <f t="shared" si="13"/>
        <v>98498</v>
      </c>
      <c r="I902" s="241"/>
      <c r="J902" s="221" t="b">
        <f>EXACT(E903,[1]Main!E903)</f>
        <v>1</v>
      </c>
    </row>
    <row r="903" spans="1:10" x14ac:dyDescent="0.25">
      <c r="A903" s="249">
        <v>45119</v>
      </c>
      <c r="B903" s="237"/>
      <c r="C903" s="238"/>
      <c r="D903" s="239"/>
      <c r="E903" s="237">
        <v>9090</v>
      </c>
      <c r="F903" s="242" t="s">
        <v>16</v>
      </c>
      <c r="G903" s="239" t="s">
        <v>936</v>
      </c>
      <c r="H903" s="240">
        <f t="shared" ref="H903:H966" si="14">H902+B903-E903</f>
        <v>89408</v>
      </c>
      <c r="I903" s="241"/>
      <c r="J903" s="221" t="b">
        <f>EXACT(E904,[1]Main!E904)</f>
        <v>1</v>
      </c>
    </row>
    <row r="904" spans="1:10" x14ac:dyDescent="0.25">
      <c r="A904" s="249">
        <v>45119</v>
      </c>
      <c r="B904" s="237"/>
      <c r="C904" s="238"/>
      <c r="D904" s="239"/>
      <c r="E904" s="237">
        <v>3155</v>
      </c>
      <c r="F904" s="242" t="s">
        <v>20</v>
      </c>
      <c r="G904" s="239" t="s">
        <v>929</v>
      </c>
      <c r="H904" s="240">
        <f t="shared" si="14"/>
        <v>86253</v>
      </c>
      <c r="I904" s="241"/>
      <c r="J904" s="221" t="b">
        <f>EXACT(E905,[1]Main!E905)</f>
        <v>1</v>
      </c>
    </row>
    <row r="905" spans="1:10" x14ac:dyDescent="0.25">
      <c r="A905" s="249">
        <v>45119</v>
      </c>
      <c r="B905" s="237"/>
      <c r="C905" s="238"/>
      <c r="D905" s="239"/>
      <c r="E905" s="237">
        <v>1000</v>
      </c>
      <c r="F905" s="242" t="s">
        <v>737</v>
      </c>
      <c r="G905" s="239" t="s">
        <v>928</v>
      </c>
      <c r="H905" s="240">
        <f t="shared" si="14"/>
        <v>85253</v>
      </c>
      <c r="I905" s="241" t="s">
        <v>902</v>
      </c>
      <c r="J905" s="221" t="b">
        <f>EXACT(E906,[1]Main!E906)</f>
        <v>1</v>
      </c>
    </row>
    <row r="906" spans="1:10" x14ac:dyDescent="0.25">
      <c r="A906" s="249">
        <v>45119</v>
      </c>
      <c r="B906" s="237"/>
      <c r="C906" s="238"/>
      <c r="D906" s="239"/>
      <c r="E906" s="237">
        <v>5000</v>
      </c>
      <c r="F906" s="242" t="s">
        <v>1097</v>
      </c>
      <c r="G906" s="239" t="s">
        <v>928</v>
      </c>
      <c r="H906" s="240">
        <f t="shared" si="14"/>
        <v>80253</v>
      </c>
      <c r="I906" s="241" t="s">
        <v>1096</v>
      </c>
      <c r="J906" s="221" t="b">
        <f>EXACT(E907,[1]Main!E907)</f>
        <v>1</v>
      </c>
    </row>
    <row r="907" spans="1:10" x14ac:dyDescent="0.25">
      <c r="A907" s="249">
        <v>45119</v>
      </c>
      <c r="B907" s="237"/>
      <c r="C907" s="238"/>
      <c r="D907" s="239"/>
      <c r="E907" s="237">
        <v>2000</v>
      </c>
      <c r="F907" s="242" t="s">
        <v>664</v>
      </c>
      <c r="G907" s="239" t="s">
        <v>928</v>
      </c>
      <c r="H907" s="240">
        <f t="shared" si="14"/>
        <v>78253</v>
      </c>
      <c r="I907" s="241" t="s">
        <v>412</v>
      </c>
      <c r="J907" s="221" t="b">
        <f>EXACT(E908,[1]Main!E908)</f>
        <v>1</v>
      </c>
    </row>
    <row r="908" spans="1:10" x14ac:dyDescent="0.25">
      <c r="A908" s="249">
        <v>45119</v>
      </c>
      <c r="B908" s="237"/>
      <c r="C908" s="238"/>
      <c r="D908" s="239"/>
      <c r="E908" s="237">
        <v>260</v>
      </c>
      <c r="F908" s="242" t="s">
        <v>59</v>
      </c>
      <c r="G908" s="239" t="s">
        <v>930</v>
      </c>
      <c r="H908" s="240">
        <f t="shared" si="14"/>
        <v>77993</v>
      </c>
      <c r="I908" s="241"/>
      <c r="J908" s="221" t="b">
        <f>EXACT(E909,[1]Main!E909)</f>
        <v>1</v>
      </c>
    </row>
    <row r="909" spans="1:10" x14ac:dyDescent="0.25">
      <c r="A909" s="249">
        <v>45119</v>
      </c>
      <c r="B909" s="237"/>
      <c r="C909" s="238"/>
      <c r="D909" s="239"/>
      <c r="E909" s="237">
        <v>10000</v>
      </c>
      <c r="F909" s="242" t="s">
        <v>665</v>
      </c>
      <c r="G909" s="239" t="s">
        <v>928</v>
      </c>
      <c r="H909" s="240">
        <f t="shared" si="14"/>
        <v>67993</v>
      </c>
      <c r="I909" s="241"/>
      <c r="J909" s="221" t="b">
        <f>EXACT(E910,[1]Main!E910)</f>
        <v>1</v>
      </c>
    </row>
    <row r="910" spans="1:10" x14ac:dyDescent="0.25">
      <c r="A910" s="249">
        <v>45119</v>
      </c>
      <c r="B910" s="237"/>
      <c r="C910" s="238"/>
      <c r="D910" s="239"/>
      <c r="E910" s="237">
        <v>90</v>
      </c>
      <c r="F910" s="242" t="s">
        <v>486</v>
      </c>
      <c r="G910" s="239" t="s">
        <v>930</v>
      </c>
      <c r="H910" s="240">
        <f t="shared" si="14"/>
        <v>67903</v>
      </c>
      <c r="I910" s="241"/>
      <c r="J910" s="221" t="b">
        <f>EXACT(E911,[1]Main!E911)</f>
        <v>1</v>
      </c>
    </row>
    <row r="911" spans="1:10" x14ac:dyDescent="0.25">
      <c r="A911" s="249">
        <v>45119</v>
      </c>
      <c r="B911" s="237"/>
      <c r="C911" s="238"/>
      <c r="D911" s="239"/>
      <c r="E911" s="237">
        <v>500</v>
      </c>
      <c r="F911" s="242" t="s">
        <v>666</v>
      </c>
      <c r="G911" s="239" t="s">
        <v>928</v>
      </c>
      <c r="H911" s="240">
        <f t="shared" si="14"/>
        <v>67403</v>
      </c>
      <c r="I911" s="241"/>
      <c r="J911" s="221" t="b">
        <f>EXACT(E912,[1]Main!E912)</f>
        <v>1</v>
      </c>
    </row>
    <row r="912" spans="1:10" x14ac:dyDescent="0.25">
      <c r="A912" s="249">
        <v>45119</v>
      </c>
      <c r="B912" s="237"/>
      <c r="C912" s="238"/>
      <c r="D912" s="239"/>
      <c r="E912" s="237">
        <v>335</v>
      </c>
      <c r="F912" s="242" t="s">
        <v>55</v>
      </c>
      <c r="G912" s="239" t="s">
        <v>929</v>
      </c>
      <c r="H912" s="240">
        <f t="shared" si="14"/>
        <v>67068</v>
      </c>
      <c r="I912" s="241"/>
      <c r="J912" s="221" t="b">
        <f>EXACT(E913,[1]Main!E913)</f>
        <v>1</v>
      </c>
    </row>
    <row r="913" spans="1:10" x14ac:dyDescent="0.25">
      <c r="A913" s="249">
        <v>45119</v>
      </c>
      <c r="B913" s="237"/>
      <c r="C913" s="238"/>
      <c r="D913" s="239"/>
      <c r="E913" s="237">
        <v>2950</v>
      </c>
      <c r="F913" s="242" t="s">
        <v>814</v>
      </c>
      <c r="G913" s="239" t="s">
        <v>928</v>
      </c>
      <c r="H913" s="240">
        <f t="shared" si="14"/>
        <v>64118</v>
      </c>
      <c r="I913" s="241" t="s">
        <v>902</v>
      </c>
      <c r="J913" s="221" t="b">
        <f>EXACT(E914,[1]Main!E914)</f>
        <v>1</v>
      </c>
    </row>
    <row r="914" spans="1:10" x14ac:dyDescent="0.25">
      <c r="A914" s="249">
        <v>45119</v>
      </c>
      <c r="B914" s="237"/>
      <c r="C914" s="238"/>
      <c r="D914" s="239"/>
      <c r="E914" s="237">
        <v>1110</v>
      </c>
      <c r="F914" s="242" t="s">
        <v>803</v>
      </c>
      <c r="G914" s="239" t="s">
        <v>928</v>
      </c>
      <c r="H914" s="240">
        <f t="shared" si="14"/>
        <v>63008</v>
      </c>
      <c r="I914" s="241" t="s">
        <v>855</v>
      </c>
      <c r="J914" s="221" t="b">
        <f>EXACT(E915,[1]Main!E915)</f>
        <v>1</v>
      </c>
    </row>
    <row r="915" spans="1:10" x14ac:dyDescent="0.25">
      <c r="A915" s="249">
        <v>45119</v>
      </c>
      <c r="B915" s="237"/>
      <c r="C915" s="238"/>
      <c r="D915" s="239"/>
      <c r="E915" s="237">
        <v>3430</v>
      </c>
      <c r="F915" s="242" t="s">
        <v>664</v>
      </c>
      <c r="G915" s="239" t="s">
        <v>928</v>
      </c>
      <c r="H915" s="240">
        <f t="shared" si="14"/>
        <v>59578</v>
      </c>
      <c r="I915" s="241" t="s">
        <v>1341</v>
      </c>
      <c r="J915" s="221" t="b">
        <f>EXACT(E916,[1]Main!E916)</f>
        <v>1</v>
      </c>
    </row>
    <row r="916" spans="1:10" x14ac:dyDescent="0.25">
      <c r="A916" s="249">
        <v>45119</v>
      </c>
      <c r="B916" s="237"/>
      <c r="C916" s="238"/>
      <c r="D916" s="239"/>
      <c r="E916" s="237">
        <v>130</v>
      </c>
      <c r="F916" s="242" t="s">
        <v>670</v>
      </c>
      <c r="G916" s="239" t="s">
        <v>930</v>
      </c>
      <c r="H916" s="240">
        <f t="shared" si="14"/>
        <v>59448</v>
      </c>
      <c r="I916" s="241"/>
      <c r="J916" s="221" t="b">
        <f>EXACT(E917,[1]Main!E917)</f>
        <v>1</v>
      </c>
    </row>
    <row r="917" spans="1:10" x14ac:dyDescent="0.25">
      <c r="A917" s="249">
        <v>45119</v>
      </c>
      <c r="B917" s="237"/>
      <c r="C917" s="238"/>
      <c r="D917" s="239"/>
      <c r="E917" s="237">
        <v>1330</v>
      </c>
      <c r="F917" s="242" t="s">
        <v>14</v>
      </c>
      <c r="G917" s="239" t="s">
        <v>935</v>
      </c>
      <c r="H917" s="240">
        <f t="shared" si="14"/>
        <v>58118</v>
      </c>
      <c r="I917" s="241"/>
      <c r="J917" s="221" t="b">
        <f>EXACT(E918,[1]Main!E918)</f>
        <v>1</v>
      </c>
    </row>
    <row r="918" spans="1:10" x14ac:dyDescent="0.25">
      <c r="A918" s="249">
        <v>45119</v>
      </c>
      <c r="B918" s="237"/>
      <c r="C918" s="238"/>
      <c r="D918" s="239"/>
      <c r="E918" s="237">
        <v>75</v>
      </c>
      <c r="F918" s="242" t="s">
        <v>26</v>
      </c>
      <c r="G918" s="239" t="s">
        <v>930</v>
      </c>
      <c r="H918" s="240">
        <f t="shared" si="14"/>
        <v>58043</v>
      </c>
      <c r="I918" s="241"/>
      <c r="J918" s="221" t="b">
        <f>EXACT(E919,[1]Main!E919)</f>
        <v>1</v>
      </c>
    </row>
    <row r="919" spans="1:10" x14ac:dyDescent="0.25">
      <c r="A919" s="249">
        <v>45119</v>
      </c>
      <c r="B919" s="237"/>
      <c r="C919" s="238"/>
      <c r="D919" s="239"/>
      <c r="E919" s="237">
        <v>2000</v>
      </c>
      <c r="F919" s="242" t="s">
        <v>704</v>
      </c>
      <c r="G919" s="239" t="s">
        <v>464</v>
      </c>
      <c r="H919" s="240">
        <f t="shared" si="14"/>
        <v>56043</v>
      </c>
      <c r="I919" s="241"/>
      <c r="J919" s="221" t="b">
        <f>EXACT(E920,[1]Main!E920)</f>
        <v>1</v>
      </c>
    </row>
    <row r="920" spans="1:10" x14ac:dyDescent="0.25">
      <c r="A920" s="249">
        <v>45119</v>
      </c>
      <c r="B920" s="237"/>
      <c r="C920" s="238"/>
      <c r="D920" s="239"/>
      <c r="E920" s="237">
        <v>5000</v>
      </c>
      <c r="F920" s="242" t="s">
        <v>705</v>
      </c>
      <c r="G920" s="239" t="s">
        <v>938</v>
      </c>
      <c r="H920" s="240">
        <f t="shared" si="14"/>
        <v>51043</v>
      </c>
      <c r="I920" s="241"/>
      <c r="J920" s="221" t="b">
        <f>EXACT(E921,[1]Main!E921)</f>
        <v>1</v>
      </c>
    </row>
    <row r="921" spans="1:10" x14ac:dyDescent="0.25">
      <c r="A921" s="249">
        <v>45119</v>
      </c>
      <c r="B921" s="237"/>
      <c r="C921" s="238"/>
      <c r="D921" s="239"/>
      <c r="E921" s="237">
        <v>38</v>
      </c>
      <c r="F921" s="242" t="s">
        <v>458</v>
      </c>
      <c r="G921" s="239" t="s">
        <v>464</v>
      </c>
      <c r="H921" s="240">
        <f t="shared" si="14"/>
        <v>51005</v>
      </c>
      <c r="I921" s="241"/>
      <c r="J921" s="221" t="b">
        <f>EXACT(E922,[1]Main!E922)</f>
        <v>1</v>
      </c>
    </row>
    <row r="922" spans="1:10" x14ac:dyDescent="0.25">
      <c r="A922" s="249">
        <v>45119</v>
      </c>
      <c r="B922" s="237"/>
      <c r="C922" s="238"/>
      <c r="D922" s="239"/>
      <c r="E922" s="237">
        <v>325</v>
      </c>
      <c r="F922" s="242" t="s">
        <v>706</v>
      </c>
      <c r="G922" s="239" t="s">
        <v>929</v>
      </c>
      <c r="H922" s="240">
        <f t="shared" si="14"/>
        <v>50680</v>
      </c>
      <c r="I922" s="241"/>
      <c r="J922" s="221" t="b">
        <f>EXACT(E923,[1]Main!E923)</f>
        <v>1</v>
      </c>
    </row>
    <row r="923" spans="1:10" x14ac:dyDescent="0.25">
      <c r="A923" s="249">
        <v>45119</v>
      </c>
      <c r="B923" s="237"/>
      <c r="C923" s="238"/>
      <c r="D923" s="239"/>
      <c r="E923" s="237">
        <v>310</v>
      </c>
      <c r="F923" s="242" t="s">
        <v>602</v>
      </c>
      <c r="G923" s="239" t="s">
        <v>929</v>
      </c>
      <c r="H923" s="240">
        <f t="shared" si="14"/>
        <v>50370</v>
      </c>
      <c r="I923" s="241"/>
      <c r="J923" s="221" t="b">
        <f>EXACT(E924,[1]Main!E924)</f>
        <v>1</v>
      </c>
    </row>
    <row r="924" spans="1:10" x14ac:dyDescent="0.25">
      <c r="A924" s="249">
        <v>45119</v>
      </c>
      <c r="B924" s="237"/>
      <c r="C924" s="238"/>
      <c r="D924" s="239"/>
      <c r="E924" s="237">
        <v>43</v>
      </c>
      <c r="F924" s="242" t="s">
        <v>707</v>
      </c>
      <c r="G924" s="239" t="s">
        <v>935</v>
      </c>
      <c r="H924" s="240">
        <f t="shared" si="14"/>
        <v>50327</v>
      </c>
      <c r="I924" s="241"/>
      <c r="J924" s="221" t="b">
        <f>EXACT(E925,[1]Main!E925)</f>
        <v>1</v>
      </c>
    </row>
    <row r="925" spans="1:10" x14ac:dyDescent="0.25">
      <c r="A925" s="249">
        <v>45119</v>
      </c>
      <c r="B925" s="237"/>
      <c r="C925" s="238"/>
      <c r="D925" s="239"/>
      <c r="E925" s="237">
        <v>110</v>
      </c>
      <c r="F925" s="242" t="s">
        <v>381</v>
      </c>
      <c r="G925" s="239" t="s">
        <v>930</v>
      </c>
      <c r="H925" s="240">
        <f t="shared" si="14"/>
        <v>50217</v>
      </c>
      <c r="I925" s="241"/>
      <c r="J925" s="221" t="b">
        <f>EXACT(E926,[1]Main!E926)</f>
        <v>1</v>
      </c>
    </row>
    <row r="926" spans="1:10" x14ac:dyDescent="0.25">
      <c r="A926" s="249">
        <v>45119</v>
      </c>
      <c r="B926" s="237"/>
      <c r="C926" s="238"/>
      <c r="D926" s="239"/>
      <c r="E926" s="237">
        <v>100</v>
      </c>
      <c r="F926" s="242" t="s">
        <v>708</v>
      </c>
      <c r="G926" s="239" t="s">
        <v>930</v>
      </c>
      <c r="H926" s="240">
        <f t="shared" si="14"/>
        <v>50117</v>
      </c>
      <c r="I926" s="241"/>
      <c r="J926" s="221" t="b">
        <f>EXACT(E927,[1]Main!E927)</f>
        <v>1</v>
      </c>
    </row>
    <row r="927" spans="1:10" x14ac:dyDescent="0.25">
      <c r="A927" s="249">
        <v>45119</v>
      </c>
      <c r="B927" s="237"/>
      <c r="C927" s="238"/>
      <c r="D927" s="239"/>
      <c r="E927" s="237">
        <v>95</v>
      </c>
      <c r="F927" s="242" t="s">
        <v>10</v>
      </c>
      <c r="G927" s="239" t="s">
        <v>930</v>
      </c>
      <c r="H927" s="240">
        <f t="shared" si="14"/>
        <v>50022</v>
      </c>
      <c r="I927" s="241"/>
      <c r="J927" s="221" t="b">
        <f>EXACT(E928,[1]Main!E928)</f>
        <v>1</v>
      </c>
    </row>
    <row r="928" spans="1:10" x14ac:dyDescent="0.25">
      <c r="A928" s="249">
        <v>45119</v>
      </c>
      <c r="B928" s="237"/>
      <c r="C928" s="238"/>
      <c r="D928" s="239"/>
      <c r="E928" s="237">
        <v>110</v>
      </c>
      <c r="F928" s="242" t="s">
        <v>9</v>
      </c>
      <c r="G928" s="239" t="s">
        <v>930</v>
      </c>
      <c r="H928" s="240">
        <f t="shared" si="14"/>
        <v>49912</v>
      </c>
      <c r="I928" s="241"/>
      <c r="J928" s="221" t="b">
        <f>EXACT(E929,[1]Main!E929)</f>
        <v>1</v>
      </c>
    </row>
    <row r="929" spans="1:10" x14ac:dyDescent="0.25">
      <c r="A929" s="249">
        <v>45119</v>
      </c>
      <c r="B929" s="237"/>
      <c r="C929" s="238"/>
      <c r="D929" s="239"/>
      <c r="E929" s="237">
        <v>290</v>
      </c>
      <c r="F929" s="242" t="s">
        <v>709</v>
      </c>
      <c r="G929" s="239" t="s">
        <v>930</v>
      </c>
      <c r="H929" s="240">
        <f t="shared" si="14"/>
        <v>49622</v>
      </c>
      <c r="I929" s="241"/>
      <c r="J929" s="221" t="b">
        <f>EXACT(E930,[1]Main!E930)</f>
        <v>1</v>
      </c>
    </row>
    <row r="930" spans="1:10" x14ac:dyDescent="0.25">
      <c r="A930" s="249">
        <v>45119</v>
      </c>
      <c r="B930" s="237"/>
      <c r="C930" s="238"/>
      <c r="D930" s="239"/>
      <c r="E930" s="237">
        <v>10000</v>
      </c>
      <c r="F930" s="242" t="s">
        <v>711</v>
      </c>
      <c r="G930" s="239" t="s">
        <v>928</v>
      </c>
      <c r="H930" s="240">
        <f t="shared" si="14"/>
        <v>39622</v>
      </c>
      <c r="I930" s="241"/>
      <c r="J930" s="221" t="b">
        <f>EXACT(E931,[1]Main!E931)</f>
        <v>1</v>
      </c>
    </row>
    <row r="931" spans="1:10" x14ac:dyDescent="0.25">
      <c r="A931" s="249">
        <v>45119</v>
      </c>
      <c r="B931" s="237"/>
      <c r="C931" s="238"/>
      <c r="D931" s="239"/>
      <c r="E931" s="237">
        <v>355</v>
      </c>
      <c r="F931" s="242" t="s">
        <v>255</v>
      </c>
      <c r="G931" s="239" t="s">
        <v>930</v>
      </c>
      <c r="H931" s="240">
        <f t="shared" si="14"/>
        <v>39267</v>
      </c>
      <c r="I931" s="241"/>
      <c r="J931" s="221" t="b">
        <f>EXACT(E932,[1]Main!E932)</f>
        <v>1</v>
      </c>
    </row>
    <row r="932" spans="1:10" x14ac:dyDescent="0.25">
      <c r="A932" s="249">
        <v>45119</v>
      </c>
      <c r="B932" s="237"/>
      <c r="C932" s="238"/>
      <c r="D932" s="239"/>
      <c r="E932" s="237">
        <v>15</v>
      </c>
      <c r="F932" s="242" t="s">
        <v>458</v>
      </c>
      <c r="G932" s="239" t="s">
        <v>464</v>
      </c>
      <c r="H932" s="240">
        <f t="shared" si="14"/>
        <v>39252</v>
      </c>
      <c r="I932" s="241"/>
      <c r="J932" s="221" t="b">
        <f>EXACT(E933,[1]Main!E933)</f>
        <v>1</v>
      </c>
    </row>
    <row r="933" spans="1:10" x14ac:dyDescent="0.25">
      <c r="A933" s="249">
        <v>45119</v>
      </c>
      <c r="B933" s="237"/>
      <c r="C933" s="238"/>
      <c r="D933" s="239"/>
      <c r="E933" s="237">
        <v>300</v>
      </c>
      <c r="F933" s="242" t="s">
        <v>50</v>
      </c>
      <c r="G933" s="239" t="s">
        <v>931</v>
      </c>
      <c r="H933" s="240">
        <f t="shared" si="14"/>
        <v>38952</v>
      </c>
      <c r="I933" s="241"/>
      <c r="J933" s="221" t="b">
        <f>EXACT(E934,[1]Main!E934)</f>
        <v>1</v>
      </c>
    </row>
    <row r="934" spans="1:10" x14ac:dyDescent="0.25">
      <c r="A934" s="249">
        <v>45119</v>
      </c>
      <c r="B934" s="237"/>
      <c r="C934" s="238"/>
      <c r="D934" s="239"/>
      <c r="E934" s="237">
        <v>150</v>
      </c>
      <c r="F934" s="242" t="s">
        <v>712</v>
      </c>
      <c r="G934" s="239" t="s">
        <v>930</v>
      </c>
      <c r="H934" s="240">
        <f t="shared" si="14"/>
        <v>38802</v>
      </c>
      <c r="I934" s="241"/>
      <c r="J934" s="221" t="b">
        <f>EXACT(E935,[1]Main!E935)</f>
        <v>1</v>
      </c>
    </row>
    <row r="935" spans="1:10" x14ac:dyDescent="0.25">
      <c r="A935" s="249">
        <v>45119</v>
      </c>
      <c r="B935" s="237"/>
      <c r="C935" s="238"/>
      <c r="D935" s="239"/>
      <c r="E935" s="237">
        <v>170</v>
      </c>
      <c r="F935" s="242" t="s">
        <v>713</v>
      </c>
      <c r="G935" s="239" t="s">
        <v>930</v>
      </c>
      <c r="H935" s="240">
        <f t="shared" si="14"/>
        <v>38632</v>
      </c>
      <c r="I935" s="241"/>
      <c r="J935" s="221" t="b">
        <f>EXACT(E936,[1]Main!E936)</f>
        <v>1</v>
      </c>
    </row>
    <row r="936" spans="1:10" x14ac:dyDescent="0.25">
      <c r="A936" s="249">
        <v>45119</v>
      </c>
      <c r="B936" s="237"/>
      <c r="C936" s="238"/>
      <c r="D936" s="239"/>
      <c r="E936" s="237">
        <v>120</v>
      </c>
      <c r="F936" s="242" t="s">
        <v>39</v>
      </c>
      <c r="G936" s="239" t="s">
        <v>930</v>
      </c>
      <c r="H936" s="240">
        <f t="shared" si="14"/>
        <v>38512</v>
      </c>
      <c r="I936" s="241"/>
      <c r="J936" s="221" t="b">
        <f>EXACT(E937,[1]Main!E937)</f>
        <v>1</v>
      </c>
    </row>
    <row r="937" spans="1:10" x14ac:dyDescent="0.25">
      <c r="A937" s="249">
        <v>45119</v>
      </c>
      <c r="B937" s="237"/>
      <c r="C937" s="238"/>
      <c r="D937" s="239"/>
      <c r="E937" s="237">
        <v>140</v>
      </c>
      <c r="F937" s="242" t="s">
        <v>265</v>
      </c>
      <c r="G937" s="239" t="s">
        <v>935</v>
      </c>
      <c r="H937" s="240">
        <f t="shared" si="14"/>
        <v>38372</v>
      </c>
      <c r="I937" s="241"/>
      <c r="J937" s="221" t="b">
        <f>EXACT(E938,[1]Main!E938)</f>
        <v>1</v>
      </c>
    </row>
    <row r="938" spans="1:10" x14ac:dyDescent="0.25">
      <c r="A938" s="249">
        <v>45119</v>
      </c>
      <c r="B938" s="237"/>
      <c r="C938" s="238"/>
      <c r="D938" s="239"/>
      <c r="E938" s="237">
        <v>260</v>
      </c>
      <c r="F938" s="242" t="s">
        <v>714</v>
      </c>
      <c r="G938" s="239" t="s">
        <v>935</v>
      </c>
      <c r="H938" s="240">
        <f t="shared" si="14"/>
        <v>38112</v>
      </c>
      <c r="I938" s="241"/>
      <c r="J938" s="221" t="b">
        <f>EXACT(E939,[1]Main!E939)</f>
        <v>1</v>
      </c>
    </row>
    <row r="939" spans="1:10" x14ac:dyDescent="0.25">
      <c r="A939" s="249">
        <v>45119</v>
      </c>
      <c r="B939" s="237"/>
      <c r="C939" s="238"/>
      <c r="D939" s="239"/>
      <c r="E939" s="237">
        <v>900</v>
      </c>
      <c r="F939" s="242" t="s">
        <v>715</v>
      </c>
      <c r="G939" s="239" t="s">
        <v>928</v>
      </c>
      <c r="H939" s="240">
        <f t="shared" si="14"/>
        <v>37212</v>
      </c>
      <c r="I939" s="241"/>
      <c r="J939" s="221" t="b">
        <f>EXACT(E940,[1]Main!E940)</f>
        <v>1</v>
      </c>
    </row>
    <row r="940" spans="1:10" x14ac:dyDescent="0.25">
      <c r="A940" s="249">
        <v>45119</v>
      </c>
      <c r="B940" s="237"/>
      <c r="C940" s="238"/>
      <c r="D940" s="239"/>
      <c r="E940" s="237">
        <v>30</v>
      </c>
      <c r="F940" s="242" t="s">
        <v>458</v>
      </c>
      <c r="G940" s="239" t="s">
        <v>464</v>
      </c>
      <c r="H940" s="240">
        <f t="shared" si="14"/>
        <v>37182</v>
      </c>
      <c r="I940" s="241"/>
      <c r="J940" s="221" t="b">
        <f>EXACT(E941,[1]Main!E941)</f>
        <v>1</v>
      </c>
    </row>
    <row r="941" spans="1:10" x14ac:dyDescent="0.25">
      <c r="A941" s="249">
        <v>45119</v>
      </c>
      <c r="B941" s="237"/>
      <c r="C941" s="238"/>
      <c r="D941" s="239"/>
      <c r="E941" s="237">
        <v>1450</v>
      </c>
      <c r="F941" s="242" t="s">
        <v>716</v>
      </c>
      <c r="G941" s="239" t="s">
        <v>928</v>
      </c>
      <c r="H941" s="240">
        <f t="shared" si="14"/>
        <v>35732</v>
      </c>
      <c r="I941" s="241"/>
      <c r="J941" s="221" t="b">
        <f>EXACT(E942,[1]Main!E942)</f>
        <v>1</v>
      </c>
    </row>
    <row r="942" spans="1:10" x14ac:dyDescent="0.25">
      <c r="A942" s="249">
        <v>45119</v>
      </c>
      <c r="B942" s="237"/>
      <c r="C942" s="238"/>
      <c r="D942" s="239"/>
      <c r="E942" s="237">
        <v>325</v>
      </c>
      <c r="F942" s="242" t="s">
        <v>717</v>
      </c>
      <c r="G942" s="239" t="s">
        <v>935</v>
      </c>
      <c r="H942" s="240">
        <f t="shared" si="14"/>
        <v>35407</v>
      </c>
      <c r="I942" s="241"/>
      <c r="J942" s="221" t="b">
        <f>EXACT(E943,[1]Main!E943)</f>
        <v>1</v>
      </c>
    </row>
    <row r="943" spans="1:10" x14ac:dyDescent="0.25">
      <c r="A943" s="249">
        <v>45119</v>
      </c>
      <c r="B943" s="237"/>
      <c r="C943" s="238"/>
      <c r="D943" s="239"/>
      <c r="E943" s="237">
        <v>10810</v>
      </c>
      <c r="F943" s="242" t="s">
        <v>718</v>
      </c>
      <c r="G943" s="239" t="s">
        <v>928</v>
      </c>
      <c r="H943" s="240">
        <f t="shared" si="14"/>
        <v>24597</v>
      </c>
      <c r="I943" s="241"/>
      <c r="J943" s="221" t="b">
        <f>EXACT(E944,[1]Main!E944)</f>
        <v>1</v>
      </c>
    </row>
    <row r="944" spans="1:10" x14ac:dyDescent="0.25">
      <c r="A944" s="249">
        <v>45119</v>
      </c>
      <c r="B944" s="237"/>
      <c r="C944" s="238"/>
      <c r="D944" s="239"/>
      <c r="E944" s="237">
        <v>100</v>
      </c>
      <c r="F944" s="242" t="s">
        <v>494</v>
      </c>
      <c r="G944" s="239" t="s">
        <v>930</v>
      </c>
      <c r="H944" s="240">
        <f t="shared" si="14"/>
        <v>24497</v>
      </c>
      <c r="I944" s="241"/>
      <c r="J944" s="221" t="b">
        <f>EXACT(E945,[1]Main!E945)</f>
        <v>1</v>
      </c>
    </row>
    <row r="945" spans="1:10" x14ac:dyDescent="0.25">
      <c r="A945" s="249">
        <v>45119</v>
      </c>
      <c r="B945" s="237"/>
      <c r="C945" s="238"/>
      <c r="D945" s="239"/>
      <c r="E945" s="237">
        <v>85</v>
      </c>
      <c r="F945" s="242" t="s">
        <v>32</v>
      </c>
      <c r="G945" s="239" t="s">
        <v>930</v>
      </c>
      <c r="H945" s="240">
        <f t="shared" si="14"/>
        <v>24412</v>
      </c>
      <c r="I945" s="241"/>
      <c r="J945" s="221" t="b">
        <f>EXACT(E946,[1]Main!E946)</f>
        <v>1</v>
      </c>
    </row>
    <row r="946" spans="1:10" x14ac:dyDescent="0.25">
      <c r="A946" s="249">
        <v>45119</v>
      </c>
      <c r="B946" s="237"/>
      <c r="C946" s="238"/>
      <c r="D946" s="239"/>
      <c r="E946" s="237">
        <v>170</v>
      </c>
      <c r="F946" s="242" t="s">
        <v>86</v>
      </c>
      <c r="G946" s="239" t="s">
        <v>930</v>
      </c>
      <c r="H946" s="240">
        <f t="shared" si="14"/>
        <v>24242</v>
      </c>
      <c r="I946" s="241"/>
      <c r="J946" s="221" t="b">
        <f>EXACT(E947,[1]Main!E947)</f>
        <v>1</v>
      </c>
    </row>
    <row r="947" spans="1:10" x14ac:dyDescent="0.25">
      <c r="A947" s="249">
        <v>45119</v>
      </c>
      <c r="B947" s="237"/>
      <c r="C947" s="238"/>
      <c r="D947" s="239"/>
      <c r="E947" s="237">
        <v>100</v>
      </c>
      <c r="F947" s="242" t="s">
        <v>719</v>
      </c>
      <c r="G947" s="239" t="s">
        <v>930</v>
      </c>
      <c r="H947" s="240">
        <f t="shared" si="14"/>
        <v>24142</v>
      </c>
      <c r="I947" s="241"/>
      <c r="J947" s="221" t="b">
        <f>EXACT(E948,[1]Main!E948)</f>
        <v>1</v>
      </c>
    </row>
    <row r="948" spans="1:10" x14ac:dyDescent="0.25">
      <c r="A948" s="249">
        <v>45119</v>
      </c>
      <c r="B948" s="237"/>
      <c r="C948" s="238"/>
      <c r="D948" s="239"/>
      <c r="E948" s="237">
        <v>180</v>
      </c>
      <c r="F948" s="242" t="s">
        <v>58</v>
      </c>
      <c r="G948" s="239" t="s">
        <v>928</v>
      </c>
      <c r="H948" s="240">
        <f t="shared" si="14"/>
        <v>23962</v>
      </c>
      <c r="I948" s="241"/>
      <c r="J948" s="221" t="b">
        <f>EXACT(E949,[1]Main!E949)</f>
        <v>1</v>
      </c>
    </row>
    <row r="949" spans="1:10" x14ac:dyDescent="0.25">
      <c r="A949" s="249">
        <v>45119</v>
      </c>
      <c r="B949" s="237"/>
      <c r="C949" s="238"/>
      <c r="D949" s="239"/>
      <c r="E949" s="237">
        <v>54</v>
      </c>
      <c r="F949" s="242" t="s">
        <v>720</v>
      </c>
      <c r="G949" s="239" t="s">
        <v>464</v>
      </c>
      <c r="H949" s="240">
        <f t="shared" si="14"/>
        <v>23908</v>
      </c>
      <c r="I949" s="241"/>
      <c r="J949" s="221" t="b">
        <f>EXACT(E950,[1]Main!E950)</f>
        <v>1</v>
      </c>
    </row>
    <row r="950" spans="1:10" x14ac:dyDescent="0.25">
      <c r="A950" s="249">
        <v>45119</v>
      </c>
      <c r="B950" s="237"/>
      <c r="C950" s="238"/>
      <c r="D950" s="239"/>
      <c r="E950" s="237">
        <v>175</v>
      </c>
      <c r="F950" s="242" t="s">
        <v>498</v>
      </c>
      <c r="G950" s="239" t="s">
        <v>930</v>
      </c>
      <c r="H950" s="240">
        <f t="shared" si="14"/>
        <v>23733</v>
      </c>
      <c r="I950" s="241"/>
      <c r="J950" s="221" t="b">
        <f>EXACT(E951,[1]Main!E951)</f>
        <v>1</v>
      </c>
    </row>
    <row r="951" spans="1:10" x14ac:dyDescent="0.25">
      <c r="A951" s="249">
        <v>45119</v>
      </c>
      <c r="B951" s="237"/>
      <c r="C951" s="238"/>
      <c r="D951" s="239"/>
      <c r="E951" s="237">
        <v>1000</v>
      </c>
      <c r="F951" s="242" t="s">
        <v>703</v>
      </c>
      <c r="G951" s="239" t="s">
        <v>464</v>
      </c>
      <c r="H951" s="240">
        <f t="shared" si="14"/>
        <v>22733</v>
      </c>
      <c r="I951" s="241"/>
      <c r="J951" s="221" t="b">
        <f>EXACT(E952,[1]Main!E952)</f>
        <v>1</v>
      </c>
    </row>
    <row r="952" spans="1:10" x14ac:dyDescent="0.25">
      <c r="A952" s="249">
        <v>45119</v>
      </c>
      <c r="B952" s="237"/>
      <c r="C952" s="238"/>
      <c r="D952" s="239"/>
      <c r="E952" s="237">
        <v>37</v>
      </c>
      <c r="F952" s="242" t="s">
        <v>25</v>
      </c>
      <c r="G952" s="239" t="s">
        <v>464</v>
      </c>
      <c r="H952" s="240">
        <f t="shared" si="14"/>
        <v>22696</v>
      </c>
      <c r="I952" s="241"/>
      <c r="J952" s="221" t="b">
        <f>EXACT(E953,[1]Main!E953)</f>
        <v>1</v>
      </c>
    </row>
    <row r="953" spans="1:10" x14ac:dyDescent="0.25">
      <c r="A953" s="244">
        <v>45119</v>
      </c>
      <c r="B953" s="245"/>
      <c r="C953" s="246"/>
      <c r="D953" s="247"/>
      <c r="E953" s="245">
        <v>100</v>
      </c>
      <c r="F953" s="248" t="s">
        <v>450</v>
      </c>
      <c r="G953" s="247" t="s">
        <v>942</v>
      </c>
      <c r="H953" s="240">
        <f t="shared" si="14"/>
        <v>22596</v>
      </c>
      <c r="I953" s="241"/>
      <c r="J953" s="221" t="b">
        <f>EXACT(E954,[1]Main!E954)</f>
        <v>1</v>
      </c>
    </row>
    <row r="954" spans="1:10" x14ac:dyDescent="0.25">
      <c r="A954" s="249">
        <v>45120</v>
      </c>
      <c r="B954" s="237">
        <v>16150</v>
      </c>
      <c r="C954" s="238" t="s">
        <v>9</v>
      </c>
      <c r="D954" s="239" t="s">
        <v>763</v>
      </c>
      <c r="E954" s="237">
        <v>9255</v>
      </c>
      <c r="F954" s="242" t="s">
        <v>721</v>
      </c>
      <c r="G954" s="239" t="s">
        <v>929</v>
      </c>
      <c r="H954" s="240">
        <f t="shared" si="14"/>
        <v>29491</v>
      </c>
      <c r="I954" s="241"/>
      <c r="J954" s="221" t="b">
        <f>EXACT(E955,[1]Main!E955)</f>
        <v>1</v>
      </c>
    </row>
    <row r="955" spans="1:10" x14ac:dyDescent="0.25">
      <c r="A955" s="249">
        <v>45120</v>
      </c>
      <c r="B955" s="237">
        <v>738</v>
      </c>
      <c r="C955" s="238" t="s">
        <v>28</v>
      </c>
      <c r="D955" s="239" t="s">
        <v>765</v>
      </c>
      <c r="E955" s="237">
        <v>3160</v>
      </c>
      <c r="F955" s="242" t="s">
        <v>722</v>
      </c>
      <c r="G955" s="239" t="s">
        <v>929</v>
      </c>
      <c r="H955" s="240">
        <f t="shared" si="14"/>
        <v>27069</v>
      </c>
      <c r="I955" s="241"/>
      <c r="J955" s="221" t="b">
        <f>EXACT(E956,[1]Main!E956)</f>
        <v>1</v>
      </c>
    </row>
    <row r="956" spans="1:10" x14ac:dyDescent="0.25">
      <c r="A956" s="249">
        <v>45120</v>
      </c>
      <c r="B956" s="237">
        <v>1435</v>
      </c>
      <c r="C956" s="238" t="s">
        <v>27</v>
      </c>
      <c r="D956" s="239" t="s">
        <v>772</v>
      </c>
      <c r="E956" s="237">
        <v>6175</v>
      </c>
      <c r="F956" s="242" t="s">
        <v>505</v>
      </c>
      <c r="G956" s="239" t="s">
        <v>928</v>
      </c>
      <c r="H956" s="240">
        <f t="shared" si="14"/>
        <v>22329</v>
      </c>
      <c r="I956" s="241"/>
      <c r="J956" s="221" t="b">
        <f>EXACT(E957,[1]Main!E957)</f>
        <v>1</v>
      </c>
    </row>
    <row r="957" spans="1:10" x14ac:dyDescent="0.25">
      <c r="A957" s="249">
        <v>45120</v>
      </c>
      <c r="B957" s="237">
        <v>15435</v>
      </c>
      <c r="C957" s="238" t="s">
        <v>80</v>
      </c>
      <c r="D957" s="239" t="s">
        <v>763</v>
      </c>
      <c r="E957" s="237">
        <v>300</v>
      </c>
      <c r="F957" s="242" t="s">
        <v>723</v>
      </c>
      <c r="G957" s="239" t="s">
        <v>928</v>
      </c>
      <c r="H957" s="240">
        <f t="shared" si="14"/>
        <v>37464</v>
      </c>
      <c r="I957" s="241"/>
      <c r="J957" s="221" t="b">
        <f>EXACT(E958,[1]Main!E958)</f>
        <v>1</v>
      </c>
    </row>
    <row r="958" spans="1:10" x14ac:dyDescent="0.25">
      <c r="A958" s="249">
        <v>45120</v>
      </c>
      <c r="B958" s="237">
        <v>1377</v>
      </c>
      <c r="C958" s="238" t="s">
        <v>81</v>
      </c>
      <c r="D958" s="239" t="s">
        <v>765</v>
      </c>
      <c r="E958" s="237">
        <v>2000</v>
      </c>
      <c r="F958" s="242" t="s">
        <v>816</v>
      </c>
      <c r="G958" s="239" t="s">
        <v>928</v>
      </c>
      <c r="H958" s="240">
        <f t="shared" si="14"/>
        <v>36841</v>
      </c>
      <c r="I958" s="241" t="s">
        <v>1154</v>
      </c>
      <c r="J958" s="221" t="b">
        <f>EXACT(E959,[1]Main!E959)</f>
        <v>1</v>
      </c>
    </row>
    <row r="959" spans="1:10" x14ac:dyDescent="0.25">
      <c r="A959" s="249">
        <v>45120</v>
      </c>
      <c r="B959" s="237">
        <v>1685</v>
      </c>
      <c r="C959" s="238" t="s">
        <v>27</v>
      </c>
      <c r="D959" s="239" t="s">
        <v>772</v>
      </c>
      <c r="E959" s="237">
        <v>65</v>
      </c>
      <c r="F959" s="242" t="s">
        <v>724</v>
      </c>
      <c r="G959" s="239" t="s">
        <v>464</v>
      </c>
      <c r="H959" s="240">
        <f t="shared" si="14"/>
        <v>38461</v>
      </c>
      <c r="I959" s="241"/>
      <c r="J959" s="221" t="b">
        <f>EXACT(E960,[1]Main!E960)</f>
        <v>1</v>
      </c>
    </row>
    <row r="960" spans="1:10" x14ac:dyDescent="0.25">
      <c r="A960" s="249">
        <v>45120</v>
      </c>
      <c r="B960" s="237">
        <v>255</v>
      </c>
      <c r="C960" s="238" t="s">
        <v>27</v>
      </c>
      <c r="D960" s="239" t="s">
        <v>772</v>
      </c>
      <c r="E960" s="237">
        <v>530</v>
      </c>
      <c r="F960" s="242" t="s">
        <v>725</v>
      </c>
      <c r="G960" s="239" t="s">
        <v>929</v>
      </c>
      <c r="H960" s="240">
        <f t="shared" si="14"/>
        <v>38186</v>
      </c>
      <c r="I960" s="241"/>
      <c r="J960" s="221" t="b">
        <f>EXACT(E961,[1]Main!E961)</f>
        <v>1</v>
      </c>
    </row>
    <row r="961" spans="1:10" x14ac:dyDescent="0.25">
      <c r="A961" s="249">
        <v>45120</v>
      </c>
      <c r="B961" s="237">
        <v>1070</v>
      </c>
      <c r="C961" s="238" t="s">
        <v>742</v>
      </c>
      <c r="D961" s="239" t="s">
        <v>763</v>
      </c>
      <c r="E961" s="237">
        <v>28</v>
      </c>
      <c r="F961" s="242" t="s">
        <v>471</v>
      </c>
      <c r="G961" s="239" t="s">
        <v>464</v>
      </c>
      <c r="H961" s="240">
        <f t="shared" si="14"/>
        <v>39228</v>
      </c>
      <c r="I961" s="241"/>
      <c r="J961" s="221" t="b">
        <f>EXACT(E962,[1]Main!E962)</f>
        <v>1</v>
      </c>
    </row>
    <row r="962" spans="1:10" x14ac:dyDescent="0.25">
      <c r="A962" s="249">
        <v>45120</v>
      </c>
      <c r="B962" s="237">
        <v>15273</v>
      </c>
      <c r="C962" s="238" t="s">
        <v>88</v>
      </c>
      <c r="D962" s="239" t="s">
        <v>924</v>
      </c>
      <c r="E962" s="237">
        <v>100</v>
      </c>
      <c r="F962" s="242" t="s">
        <v>350</v>
      </c>
      <c r="G962" s="239" t="s">
        <v>931</v>
      </c>
      <c r="H962" s="240">
        <f t="shared" si="14"/>
        <v>54401</v>
      </c>
      <c r="I962" s="241"/>
      <c r="J962" s="221" t="b">
        <f>EXACT(E963,[1]Main!E963)</f>
        <v>1</v>
      </c>
    </row>
    <row r="963" spans="1:10" x14ac:dyDescent="0.25">
      <c r="A963" s="249">
        <v>45120</v>
      </c>
      <c r="B963" s="237">
        <v>103</v>
      </c>
      <c r="C963" s="238" t="s">
        <v>747</v>
      </c>
      <c r="D963" s="239" t="s">
        <v>768</v>
      </c>
      <c r="E963" s="237">
        <v>28</v>
      </c>
      <c r="F963" s="242" t="s">
        <v>451</v>
      </c>
      <c r="G963" s="239" t="s">
        <v>931</v>
      </c>
      <c r="H963" s="240">
        <f t="shared" si="14"/>
        <v>54476</v>
      </c>
      <c r="I963" s="241"/>
      <c r="J963" s="221" t="b">
        <f>EXACT(E964,[1]Main!E964)</f>
        <v>1</v>
      </c>
    </row>
    <row r="964" spans="1:10" x14ac:dyDescent="0.25">
      <c r="A964" s="249">
        <v>45120</v>
      </c>
      <c r="B964" s="237">
        <v>6760</v>
      </c>
      <c r="C964" s="238" t="s">
        <v>121</v>
      </c>
      <c r="D964" s="239" t="s">
        <v>766</v>
      </c>
      <c r="E964" s="237">
        <v>907</v>
      </c>
      <c r="F964" s="242" t="s">
        <v>569</v>
      </c>
      <c r="G964" s="239" t="s">
        <v>931</v>
      </c>
      <c r="H964" s="240">
        <f t="shared" si="14"/>
        <v>60329</v>
      </c>
      <c r="I964" s="241"/>
      <c r="J964" s="221" t="b">
        <f>EXACT(E965,[1]Main!E965)</f>
        <v>1</v>
      </c>
    </row>
    <row r="965" spans="1:10" x14ac:dyDescent="0.25">
      <c r="A965" s="249">
        <v>45120</v>
      </c>
      <c r="B965" s="237">
        <v>103</v>
      </c>
      <c r="C965" s="238" t="s">
        <v>911</v>
      </c>
      <c r="D965" s="239" t="s">
        <v>768</v>
      </c>
      <c r="E965" s="237">
        <v>83</v>
      </c>
      <c r="F965" s="242" t="s">
        <v>357</v>
      </c>
      <c r="G965" s="239" t="s">
        <v>931</v>
      </c>
      <c r="H965" s="240">
        <f t="shared" si="14"/>
        <v>60349</v>
      </c>
      <c r="I965" s="241"/>
      <c r="J965" s="221" t="b">
        <f>EXACT(E966,[1]Main!E966)</f>
        <v>1</v>
      </c>
    </row>
    <row r="966" spans="1:10" x14ac:dyDescent="0.25">
      <c r="A966" s="249">
        <v>45120</v>
      </c>
      <c r="B966" s="237">
        <v>210</v>
      </c>
      <c r="C966" s="238" t="s">
        <v>27</v>
      </c>
      <c r="D966" s="239" t="s">
        <v>772</v>
      </c>
      <c r="E966" s="237">
        <v>500</v>
      </c>
      <c r="F966" s="242" t="s">
        <v>50</v>
      </c>
      <c r="G966" s="239" t="s">
        <v>931</v>
      </c>
      <c r="H966" s="240">
        <f t="shared" si="14"/>
        <v>60059</v>
      </c>
      <c r="I966" s="241"/>
      <c r="J966" s="221" t="b">
        <f>EXACT(E967,[1]Main!E967)</f>
        <v>1</v>
      </c>
    </row>
    <row r="967" spans="1:10" x14ac:dyDescent="0.25">
      <c r="A967" s="249">
        <v>45120</v>
      </c>
      <c r="B967" s="237">
        <v>14740</v>
      </c>
      <c r="C967" s="238" t="s">
        <v>363</v>
      </c>
      <c r="D967" s="239" t="s">
        <v>763</v>
      </c>
      <c r="E967" s="237">
        <v>25</v>
      </c>
      <c r="F967" s="242" t="s">
        <v>33</v>
      </c>
      <c r="G967" s="239" t="s">
        <v>464</v>
      </c>
      <c r="H967" s="240">
        <f t="shared" ref="H967:H1030" si="15">H966+B967-E967</f>
        <v>74774</v>
      </c>
      <c r="I967" s="241"/>
      <c r="J967" s="221" t="b">
        <f>EXACT(E968,[1]Main!E968)</f>
        <v>1</v>
      </c>
    </row>
    <row r="968" spans="1:10" x14ac:dyDescent="0.25">
      <c r="A968" s="249">
        <v>45120</v>
      </c>
      <c r="B968" s="237">
        <v>1005</v>
      </c>
      <c r="C968" s="238" t="s">
        <v>913</v>
      </c>
      <c r="D968" s="239" t="s">
        <v>765</v>
      </c>
      <c r="E968" s="237">
        <v>80</v>
      </c>
      <c r="F968" s="242" t="s">
        <v>10</v>
      </c>
      <c r="G968" s="239" t="s">
        <v>930</v>
      </c>
      <c r="H968" s="240">
        <f t="shared" si="15"/>
        <v>75699</v>
      </c>
      <c r="I968" s="241"/>
      <c r="J968" s="221" t="b">
        <f>EXACT(E969,[1]Main!E969)</f>
        <v>1</v>
      </c>
    </row>
    <row r="969" spans="1:10" x14ac:dyDescent="0.25">
      <c r="A969" s="249">
        <v>45120</v>
      </c>
      <c r="B969" s="237">
        <v>15868</v>
      </c>
      <c r="C969" s="238" t="s">
        <v>915</v>
      </c>
      <c r="D969" s="239" t="s">
        <v>766</v>
      </c>
      <c r="E969" s="237">
        <v>13420</v>
      </c>
      <c r="F969" s="242" t="s">
        <v>266</v>
      </c>
      <c r="G969" s="239" t="s">
        <v>930</v>
      </c>
      <c r="H969" s="240">
        <f t="shared" si="15"/>
        <v>78147</v>
      </c>
      <c r="I969" s="241"/>
      <c r="J969" s="221" t="b">
        <f>EXACT(E970,[1]Main!E970)</f>
        <v>1</v>
      </c>
    </row>
    <row r="970" spans="1:10" x14ac:dyDescent="0.25">
      <c r="A970" s="249">
        <v>45120</v>
      </c>
      <c r="B970" s="237">
        <v>242</v>
      </c>
      <c r="C970" s="238" t="s">
        <v>916</v>
      </c>
      <c r="D970" s="239" t="s">
        <v>768</v>
      </c>
      <c r="E970" s="237">
        <v>120</v>
      </c>
      <c r="F970" s="242" t="s">
        <v>393</v>
      </c>
      <c r="G970" s="239" t="s">
        <v>930</v>
      </c>
      <c r="H970" s="240">
        <f t="shared" si="15"/>
        <v>78269</v>
      </c>
      <c r="I970" s="241"/>
      <c r="J970" s="221" t="b">
        <f>EXACT(E971,[1]Main!E971)</f>
        <v>1</v>
      </c>
    </row>
    <row r="971" spans="1:10" x14ac:dyDescent="0.25">
      <c r="A971" s="249">
        <v>45120</v>
      </c>
      <c r="B971" s="237">
        <v>7242</v>
      </c>
      <c r="C971" s="238" t="s">
        <v>60</v>
      </c>
      <c r="D971" s="239" t="s">
        <v>763</v>
      </c>
      <c r="E971" s="237">
        <v>20</v>
      </c>
      <c r="F971" s="242" t="s">
        <v>358</v>
      </c>
      <c r="G971" s="239" t="s">
        <v>938</v>
      </c>
      <c r="H971" s="240">
        <f t="shared" si="15"/>
        <v>85491</v>
      </c>
      <c r="I971" s="241"/>
      <c r="J971" s="221" t="b">
        <f>EXACT(E972,[1]Main!E972)</f>
        <v>1</v>
      </c>
    </row>
    <row r="972" spans="1:10" x14ac:dyDescent="0.25">
      <c r="A972" s="249">
        <v>45120</v>
      </c>
      <c r="B972" s="237">
        <v>12209</v>
      </c>
      <c r="C972" s="238" t="s">
        <v>85</v>
      </c>
      <c r="D972" s="239" t="s">
        <v>766</v>
      </c>
      <c r="E972" s="237">
        <v>60</v>
      </c>
      <c r="F972" s="242" t="s">
        <v>10</v>
      </c>
      <c r="G972" s="239" t="s">
        <v>930</v>
      </c>
      <c r="H972" s="240">
        <f t="shared" si="15"/>
        <v>97640</v>
      </c>
      <c r="I972" s="241"/>
      <c r="J972" s="221" t="b">
        <f>EXACT(E973,[1]Main!E973)</f>
        <v>1</v>
      </c>
    </row>
    <row r="973" spans="1:10" x14ac:dyDescent="0.25">
      <c r="A973" s="249">
        <v>45120</v>
      </c>
      <c r="B973" s="237"/>
      <c r="C973" s="238"/>
      <c r="D973" s="239"/>
      <c r="E973" s="237">
        <v>255</v>
      </c>
      <c r="F973" s="242" t="s">
        <v>8</v>
      </c>
      <c r="G973" s="239" t="s">
        <v>930</v>
      </c>
      <c r="H973" s="240">
        <f t="shared" si="15"/>
        <v>97385</v>
      </c>
      <c r="I973" s="241"/>
      <c r="J973" s="221" t="b">
        <f>EXACT(E974,[1]Main!E974)</f>
        <v>1</v>
      </c>
    </row>
    <row r="974" spans="1:10" x14ac:dyDescent="0.25">
      <c r="A974" s="249">
        <v>45120</v>
      </c>
      <c r="B974" s="237"/>
      <c r="C974" s="238"/>
      <c r="D974" s="239"/>
      <c r="E974" s="237">
        <v>170</v>
      </c>
      <c r="F974" s="242" t="s">
        <v>7</v>
      </c>
      <c r="G974" s="239" t="s">
        <v>930</v>
      </c>
      <c r="H974" s="240">
        <f t="shared" si="15"/>
        <v>97215</v>
      </c>
      <c r="I974" s="241"/>
      <c r="J974" s="221" t="b">
        <f>EXACT(E975,[1]Main!E975)</f>
        <v>1</v>
      </c>
    </row>
    <row r="975" spans="1:10" x14ac:dyDescent="0.25">
      <c r="A975" s="249">
        <v>45120</v>
      </c>
      <c r="B975" s="237"/>
      <c r="C975" s="238"/>
      <c r="D975" s="239"/>
      <c r="E975" s="237">
        <v>300</v>
      </c>
      <c r="F975" s="242" t="s">
        <v>727</v>
      </c>
      <c r="G975" s="239" t="s">
        <v>931</v>
      </c>
      <c r="H975" s="240">
        <f t="shared" si="15"/>
        <v>96915</v>
      </c>
      <c r="I975" s="241"/>
      <c r="J975" s="221" t="b">
        <f>EXACT(E976,[1]Main!E976)</f>
        <v>1</v>
      </c>
    </row>
    <row r="976" spans="1:10" x14ac:dyDescent="0.25">
      <c r="A976" s="249">
        <v>45120</v>
      </c>
      <c r="B976" s="237"/>
      <c r="C976" s="238"/>
      <c r="D976" s="239"/>
      <c r="E976" s="237">
        <v>300</v>
      </c>
      <c r="F976" s="242" t="s">
        <v>11</v>
      </c>
      <c r="G976" s="239" t="s">
        <v>935</v>
      </c>
      <c r="H976" s="240">
        <f t="shared" si="15"/>
        <v>96615</v>
      </c>
      <c r="I976" s="241"/>
      <c r="J976" s="221" t="b">
        <f>EXACT(E977,[1]Main!E977)</f>
        <v>1</v>
      </c>
    </row>
    <row r="977" spans="1:10" x14ac:dyDescent="0.25">
      <c r="A977" s="249">
        <v>45120</v>
      </c>
      <c r="B977" s="237"/>
      <c r="C977" s="238"/>
      <c r="D977" s="239"/>
      <c r="E977" s="237">
        <v>1610</v>
      </c>
      <c r="F977" s="242" t="s">
        <v>728</v>
      </c>
      <c r="G977" s="239" t="s">
        <v>928</v>
      </c>
      <c r="H977" s="240">
        <f t="shared" si="15"/>
        <v>95005</v>
      </c>
      <c r="I977" s="241"/>
      <c r="J977" s="221" t="b">
        <f>EXACT(E978,[1]Main!E978)</f>
        <v>1</v>
      </c>
    </row>
    <row r="978" spans="1:10" x14ac:dyDescent="0.25">
      <c r="A978" s="249">
        <v>45120</v>
      </c>
      <c r="B978" s="237"/>
      <c r="C978" s="238"/>
      <c r="D978" s="239"/>
      <c r="E978" s="237">
        <v>35</v>
      </c>
      <c r="F978" s="242" t="s">
        <v>31</v>
      </c>
      <c r="G978" s="239" t="s">
        <v>931</v>
      </c>
      <c r="H978" s="240">
        <f t="shared" si="15"/>
        <v>94970</v>
      </c>
      <c r="I978" s="241"/>
      <c r="J978" s="221" t="b">
        <f>EXACT(E979,[1]Main!E979)</f>
        <v>1</v>
      </c>
    </row>
    <row r="979" spans="1:10" x14ac:dyDescent="0.25">
      <c r="A979" s="249">
        <v>45120</v>
      </c>
      <c r="B979" s="237"/>
      <c r="C979" s="238"/>
      <c r="D979" s="239"/>
      <c r="E979" s="237">
        <v>142</v>
      </c>
      <c r="F979" s="242" t="s">
        <v>54</v>
      </c>
      <c r="G979" s="239" t="s">
        <v>938</v>
      </c>
      <c r="H979" s="240">
        <f t="shared" si="15"/>
        <v>94828</v>
      </c>
      <c r="I979" s="241"/>
      <c r="J979" s="221" t="b">
        <f>EXACT(E980,[1]Main!E980)</f>
        <v>1</v>
      </c>
    </row>
    <row r="980" spans="1:10" x14ac:dyDescent="0.25">
      <c r="A980" s="249">
        <v>45120</v>
      </c>
      <c r="B980" s="237"/>
      <c r="C980" s="238"/>
      <c r="D980" s="239"/>
      <c r="E980" s="237">
        <v>4310</v>
      </c>
      <c r="F980" s="242" t="s">
        <v>12</v>
      </c>
      <c r="G980" s="239" t="s">
        <v>974</v>
      </c>
      <c r="H980" s="240">
        <f t="shared" si="15"/>
        <v>90518</v>
      </c>
      <c r="I980" s="241"/>
      <c r="J980" s="221" t="b">
        <f>EXACT(E981,[1]Main!E981)</f>
        <v>1</v>
      </c>
    </row>
    <row r="981" spans="1:10" x14ac:dyDescent="0.25">
      <c r="A981" s="249">
        <v>45120</v>
      </c>
      <c r="B981" s="237"/>
      <c r="C981" s="238"/>
      <c r="D981" s="239"/>
      <c r="E981" s="237">
        <v>1155</v>
      </c>
      <c r="F981" s="242" t="s">
        <v>729</v>
      </c>
      <c r="G981" s="239" t="s">
        <v>928</v>
      </c>
      <c r="H981" s="240">
        <f t="shared" si="15"/>
        <v>89363</v>
      </c>
      <c r="I981" s="241"/>
      <c r="J981" s="221" t="b">
        <f>EXACT(E982,[1]Main!E982)</f>
        <v>1</v>
      </c>
    </row>
    <row r="982" spans="1:10" x14ac:dyDescent="0.25">
      <c r="A982" s="249">
        <v>45120</v>
      </c>
      <c r="B982" s="237"/>
      <c r="C982" s="238"/>
      <c r="D982" s="239"/>
      <c r="E982" s="237">
        <v>250</v>
      </c>
      <c r="F982" s="242" t="s">
        <v>35</v>
      </c>
      <c r="G982" s="239" t="s">
        <v>937</v>
      </c>
      <c r="H982" s="240">
        <f t="shared" si="15"/>
        <v>89113</v>
      </c>
      <c r="I982" s="241"/>
      <c r="J982" s="221" t="b">
        <f>EXACT(E983,[1]Main!E983)</f>
        <v>1</v>
      </c>
    </row>
    <row r="983" spans="1:10" x14ac:dyDescent="0.25">
      <c r="A983" s="249">
        <v>45120</v>
      </c>
      <c r="B983" s="237"/>
      <c r="C983" s="238"/>
      <c r="D983" s="239"/>
      <c r="E983" s="237">
        <v>115</v>
      </c>
      <c r="F983" s="242" t="s">
        <v>38</v>
      </c>
      <c r="G983" s="239" t="s">
        <v>930</v>
      </c>
      <c r="H983" s="240">
        <f t="shared" si="15"/>
        <v>88998</v>
      </c>
      <c r="I983" s="241"/>
      <c r="J983" s="221" t="b">
        <f>EXACT(E984,[1]Main!E984)</f>
        <v>1</v>
      </c>
    </row>
    <row r="984" spans="1:10" x14ac:dyDescent="0.25">
      <c r="A984" s="249">
        <v>45120</v>
      </c>
      <c r="B984" s="237"/>
      <c r="C984" s="238"/>
      <c r="D984" s="239"/>
      <c r="E984" s="237">
        <v>1000</v>
      </c>
      <c r="F984" s="242" t="s">
        <v>886</v>
      </c>
      <c r="G984" s="239" t="s">
        <v>928</v>
      </c>
      <c r="H984" s="240">
        <f t="shared" si="15"/>
        <v>87998</v>
      </c>
      <c r="I984" s="241" t="s">
        <v>829</v>
      </c>
      <c r="J984" s="221" t="b">
        <f>EXACT(E985,[1]Main!E985)</f>
        <v>1</v>
      </c>
    </row>
    <row r="985" spans="1:10" x14ac:dyDescent="0.25">
      <c r="A985" s="249">
        <v>45120</v>
      </c>
      <c r="B985" s="237"/>
      <c r="C985" s="238"/>
      <c r="D985" s="239"/>
      <c r="E985" s="237">
        <v>50</v>
      </c>
      <c r="F985" s="242" t="s">
        <v>13</v>
      </c>
      <c r="G985" s="239" t="s">
        <v>930</v>
      </c>
      <c r="H985" s="240">
        <f t="shared" si="15"/>
        <v>87948</v>
      </c>
      <c r="I985" s="241"/>
      <c r="J985" s="221" t="b">
        <f>EXACT(E986,[1]Main!E986)</f>
        <v>1</v>
      </c>
    </row>
    <row r="986" spans="1:10" x14ac:dyDescent="0.25">
      <c r="A986" s="249">
        <v>45120</v>
      </c>
      <c r="B986" s="237"/>
      <c r="C986" s="238"/>
      <c r="D986" s="239"/>
      <c r="E986" s="237">
        <v>1085</v>
      </c>
      <c r="F986" s="242" t="s">
        <v>731</v>
      </c>
      <c r="G986" s="239" t="s">
        <v>928</v>
      </c>
      <c r="H986" s="240">
        <f t="shared" si="15"/>
        <v>86863</v>
      </c>
      <c r="I986" s="241"/>
      <c r="J986" s="221" t="b">
        <f>EXACT(E987,[1]Main!E987)</f>
        <v>1</v>
      </c>
    </row>
    <row r="987" spans="1:10" x14ac:dyDescent="0.25">
      <c r="A987" s="249">
        <v>45120</v>
      </c>
      <c r="B987" s="237"/>
      <c r="C987" s="238"/>
      <c r="D987" s="239"/>
      <c r="E987" s="237">
        <v>7570</v>
      </c>
      <c r="F987" s="242" t="s">
        <v>337</v>
      </c>
      <c r="G987" s="239" t="s">
        <v>928</v>
      </c>
      <c r="H987" s="240">
        <f t="shared" si="15"/>
        <v>79293</v>
      </c>
      <c r="I987" s="241"/>
      <c r="J987" s="221" t="b">
        <f>EXACT(E988,[1]Main!E988)</f>
        <v>1</v>
      </c>
    </row>
    <row r="988" spans="1:10" x14ac:dyDescent="0.25">
      <c r="A988" s="249">
        <v>45120</v>
      </c>
      <c r="B988" s="237"/>
      <c r="C988" s="238"/>
      <c r="D988" s="239"/>
      <c r="E988" s="237">
        <v>900</v>
      </c>
      <c r="F988" s="242" t="s">
        <v>733</v>
      </c>
      <c r="G988" s="239" t="s">
        <v>960</v>
      </c>
      <c r="H988" s="240">
        <f t="shared" si="15"/>
        <v>78393</v>
      </c>
      <c r="I988" s="241"/>
      <c r="J988" s="221" t="b">
        <f>EXACT(E989,[1]Main!E989)</f>
        <v>1</v>
      </c>
    </row>
    <row r="989" spans="1:10" x14ac:dyDescent="0.25">
      <c r="A989" s="249">
        <v>45120</v>
      </c>
      <c r="B989" s="237"/>
      <c r="C989" s="238"/>
      <c r="D989" s="239"/>
      <c r="E989" s="237">
        <v>405</v>
      </c>
      <c r="F989" s="242" t="s">
        <v>734</v>
      </c>
      <c r="G989" s="239" t="s">
        <v>928</v>
      </c>
      <c r="H989" s="240">
        <f t="shared" si="15"/>
        <v>77988</v>
      </c>
      <c r="I989" s="241"/>
      <c r="J989" s="221" t="b">
        <f>EXACT(E990,[1]Main!E990)</f>
        <v>1</v>
      </c>
    </row>
    <row r="990" spans="1:10" x14ac:dyDescent="0.25">
      <c r="A990" s="249">
        <v>45120</v>
      </c>
      <c r="B990" s="237"/>
      <c r="C990" s="238"/>
      <c r="D990" s="239"/>
      <c r="E990" s="237">
        <v>4385</v>
      </c>
      <c r="F990" s="242" t="s">
        <v>16</v>
      </c>
      <c r="G990" s="239" t="s">
        <v>936</v>
      </c>
      <c r="H990" s="240">
        <f t="shared" si="15"/>
        <v>73603</v>
      </c>
      <c r="I990" s="241"/>
      <c r="J990" s="221" t="b">
        <f>EXACT(E991,[1]Main!E991)</f>
        <v>1</v>
      </c>
    </row>
    <row r="991" spans="1:10" x14ac:dyDescent="0.25">
      <c r="A991" s="249">
        <v>45120</v>
      </c>
      <c r="B991" s="237"/>
      <c r="C991" s="238"/>
      <c r="D991" s="239"/>
      <c r="E991" s="237">
        <v>1500</v>
      </c>
      <c r="F991" s="242" t="s">
        <v>785</v>
      </c>
      <c r="G991" s="239" t="s">
        <v>936</v>
      </c>
      <c r="H991" s="240">
        <f t="shared" si="15"/>
        <v>72103</v>
      </c>
      <c r="I991" s="241"/>
      <c r="J991" s="221" t="b">
        <f>EXACT(E992,[1]Main!E992)</f>
        <v>1</v>
      </c>
    </row>
    <row r="992" spans="1:10" x14ac:dyDescent="0.25">
      <c r="A992" s="249">
        <v>45120</v>
      </c>
      <c r="B992" s="237"/>
      <c r="C992" s="238"/>
      <c r="D992" s="239"/>
      <c r="E992" s="237">
        <v>1005</v>
      </c>
      <c r="F992" s="242" t="s">
        <v>230</v>
      </c>
      <c r="G992" s="239" t="s">
        <v>928</v>
      </c>
      <c r="H992" s="240">
        <f t="shared" si="15"/>
        <v>71098</v>
      </c>
      <c r="I992" s="241"/>
      <c r="J992" s="221" t="b">
        <f>EXACT(E993,[1]Main!E993)</f>
        <v>1</v>
      </c>
    </row>
    <row r="993" spans="1:10" x14ac:dyDescent="0.25">
      <c r="A993" s="249">
        <v>45120</v>
      </c>
      <c r="B993" s="237"/>
      <c r="C993" s="238"/>
      <c r="D993" s="239"/>
      <c r="E993" s="237">
        <v>1500</v>
      </c>
      <c r="F993" s="242" t="s">
        <v>737</v>
      </c>
      <c r="G993" s="239" t="s">
        <v>928</v>
      </c>
      <c r="H993" s="240">
        <f t="shared" si="15"/>
        <v>69598</v>
      </c>
      <c r="I993" s="241" t="s">
        <v>1164</v>
      </c>
      <c r="J993" s="221" t="b">
        <f>EXACT(E994,[1]Main!E994)</f>
        <v>1</v>
      </c>
    </row>
    <row r="994" spans="1:10" x14ac:dyDescent="0.25">
      <c r="A994" s="249">
        <v>45120</v>
      </c>
      <c r="B994" s="237"/>
      <c r="C994" s="238"/>
      <c r="D994" s="239"/>
      <c r="E994" s="237">
        <v>2000</v>
      </c>
      <c r="F994" s="242" t="s">
        <v>739</v>
      </c>
      <c r="G994" s="239" t="s">
        <v>930</v>
      </c>
      <c r="H994" s="240">
        <f t="shared" si="15"/>
        <v>67598</v>
      </c>
      <c r="I994" s="241"/>
      <c r="J994" s="221" t="b">
        <f>EXACT(E995,[1]Main!E995)</f>
        <v>1</v>
      </c>
    </row>
    <row r="995" spans="1:10" x14ac:dyDescent="0.25">
      <c r="A995" s="249">
        <v>45120</v>
      </c>
      <c r="B995" s="237"/>
      <c r="C995" s="238"/>
      <c r="D995" s="239"/>
      <c r="E995" s="237">
        <v>4000</v>
      </c>
      <c r="F995" s="242" t="s">
        <v>16</v>
      </c>
      <c r="G995" s="239" t="s">
        <v>936</v>
      </c>
      <c r="H995" s="240">
        <f t="shared" si="15"/>
        <v>63598</v>
      </c>
      <c r="I995" s="241"/>
      <c r="J995" s="221" t="b">
        <f>EXACT(E996,[1]Main!E996)</f>
        <v>1</v>
      </c>
    </row>
    <row r="996" spans="1:10" x14ac:dyDescent="0.25">
      <c r="A996" s="249">
        <v>45120</v>
      </c>
      <c r="B996" s="237"/>
      <c r="C996" s="238"/>
      <c r="D996" s="239"/>
      <c r="E996" s="237">
        <v>190</v>
      </c>
      <c r="F996" s="242" t="s">
        <v>741</v>
      </c>
      <c r="G996" s="239" t="s">
        <v>930</v>
      </c>
      <c r="H996" s="240">
        <f t="shared" si="15"/>
        <v>63408</v>
      </c>
      <c r="I996" s="241"/>
      <c r="J996" s="221" t="b">
        <f>EXACT(E997,[1]Main!E997)</f>
        <v>1</v>
      </c>
    </row>
    <row r="997" spans="1:10" x14ac:dyDescent="0.25">
      <c r="A997" s="249">
        <v>45120</v>
      </c>
      <c r="B997" s="237"/>
      <c r="C997" s="238"/>
      <c r="D997" s="239"/>
      <c r="E997" s="237">
        <v>90</v>
      </c>
      <c r="F997" s="242" t="s">
        <v>510</v>
      </c>
      <c r="G997" s="239" t="s">
        <v>930</v>
      </c>
      <c r="H997" s="240">
        <f t="shared" si="15"/>
        <v>63318</v>
      </c>
      <c r="I997" s="241"/>
      <c r="J997" s="221" t="b">
        <f>EXACT(E998,[1]Main!E998)</f>
        <v>1</v>
      </c>
    </row>
    <row r="998" spans="1:10" x14ac:dyDescent="0.25">
      <c r="A998" s="249">
        <v>45120</v>
      </c>
      <c r="B998" s="237"/>
      <c r="C998" s="238"/>
      <c r="D998" s="239"/>
      <c r="E998" s="237">
        <v>200</v>
      </c>
      <c r="F998" s="242" t="s">
        <v>41</v>
      </c>
      <c r="G998" s="239" t="s">
        <v>931</v>
      </c>
      <c r="H998" s="240">
        <f t="shared" si="15"/>
        <v>63118</v>
      </c>
      <c r="I998" s="241"/>
      <c r="J998" s="221" t="b">
        <f>EXACT(E999,[1]Main!E999)</f>
        <v>1</v>
      </c>
    </row>
    <row r="999" spans="1:10" x14ac:dyDescent="0.25">
      <c r="A999" s="249">
        <v>45120</v>
      </c>
      <c r="B999" s="237"/>
      <c r="C999" s="238"/>
      <c r="D999" s="239"/>
      <c r="E999" s="237">
        <v>31</v>
      </c>
      <c r="F999" s="242" t="s">
        <v>743</v>
      </c>
      <c r="G999" s="239" t="s">
        <v>943</v>
      </c>
      <c r="H999" s="240">
        <f t="shared" si="15"/>
        <v>63087</v>
      </c>
      <c r="I999" s="241"/>
      <c r="J999" s="221" t="b">
        <f>EXACT(E1000,[1]Main!E1000)</f>
        <v>1</v>
      </c>
    </row>
    <row r="1000" spans="1:10" x14ac:dyDescent="0.25">
      <c r="A1000" s="249">
        <v>45120</v>
      </c>
      <c r="B1000" s="237"/>
      <c r="C1000" s="238"/>
      <c r="D1000" s="239"/>
      <c r="E1000" s="237">
        <v>95</v>
      </c>
      <c r="F1000" s="242" t="s">
        <v>9</v>
      </c>
      <c r="G1000" s="239" t="s">
        <v>930</v>
      </c>
      <c r="H1000" s="240">
        <f t="shared" si="15"/>
        <v>62992</v>
      </c>
      <c r="I1000" s="241"/>
      <c r="J1000" s="221" t="b">
        <f>EXACT(E1001,[1]Main!E1001)</f>
        <v>1</v>
      </c>
    </row>
    <row r="1001" spans="1:10" x14ac:dyDescent="0.25">
      <c r="A1001" s="249">
        <v>45120</v>
      </c>
      <c r="B1001" s="237"/>
      <c r="C1001" s="238"/>
      <c r="D1001" s="239"/>
      <c r="E1001" s="237">
        <v>280</v>
      </c>
      <c r="F1001" s="242" t="s">
        <v>744</v>
      </c>
      <c r="G1001" s="239" t="s">
        <v>930</v>
      </c>
      <c r="H1001" s="240">
        <f t="shared" si="15"/>
        <v>62712</v>
      </c>
      <c r="I1001" s="241"/>
      <c r="J1001" s="221" t="b">
        <f>EXACT(E1002,[1]Main!E1002)</f>
        <v>1</v>
      </c>
    </row>
    <row r="1002" spans="1:10" x14ac:dyDescent="0.25">
      <c r="A1002" s="249">
        <v>45120</v>
      </c>
      <c r="B1002" s="237"/>
      <c r="C1002" s="238"/>
      <c r="D1002" s="239"/>
      <c r="E1002" s="237">
        <v>257</v>
      </c>
      <c r="F1002" s="242" t="s">
        <v>505</v>
      </c>
      <c r="G1002" s="239" t="s">
        <v>928</v>
      </c>
      <c r="H1002" s="240">
        <f t="shared" si="15"/>
        <v>62455</v>
      </c>
      <c r="I1002" s="241"/>
      <c r="J1002" s="221" t="b">
        <f>EXACT(E1003,[1]Main!E1003)</f>
        <v>1</v>
      </c>
    </row>
    <row r="1003" spans="1:10" x14ac:dyDescent="0.25">
      <c r="A1003" s="249">
        <v>45120</v>
      </c>
      <c r="B1003" s="237"/>
      <c r="C1003" s="238"/>
      <c r="D1003" s="239"/>
      <c r="E1003" s="237">
        <v>100</v>
      </c>
      <c r="F1003" s="242" t="s">
        <v>39</v>
      </c>
      <c r="G1003" s="239" t="s">
        <v>930</v>
      </c>
      <c r="H1003" s="240">
        <f t="shared" si="15"/>
        <v>62355</v>
      </c>
      <c r="I1003" s="241"/>
      <c r="J1003" s="221" t="b">
        <f>EXACT(E1004,[1]Main!E1004)</f>
        <v>1</v>
      </c>
    </row>
    <row r="1004" spans="1:10" x14ac:dyDescent="0.25">
      <c r="A1004" s="249">
        <v>45120</v>
      </c>
      <c r="B1004" s="237"/>
      <c r="C1004" s="238"/>
      <c r="D1004" s="239"/>
      <c r="E1004" s="237">
        <v>180</v>
      </c>
      <c r="F1004" s="242" t="s">
        <v>746</v>
      </c>
      <c r="G1004" s="239" t="s">
        <v>935</v>
      </c>
      <c r="H1004" s="240">
        <f t="shared" si="15"/>
        <v>62175</v>
      </c>
      <c r="I1004" s="241"/>
      <c r="J1004" s="221" t="b">
        <f>EXACT(E1005,[1]Main!E1005)</f>
        <v>1</v>
      </c>
    </row>
    <row r="1005" spans="1:10" x14ac:dyDescent="0.25">
      <c r="A1005" s="249">
        <v>45120</v>
      </c>
      <c r="B1005" s="237"/>
      <c r="C1005" s="238"/>
      <c r="D1005" s="239"/>
      <c r="E1005" s="237">
        <v>850</v>
      </c>
      <c r="F1005" s="242" t="s">
        <v>155</v>
      </c>
      <c r="G1005" s="239" t="s">
        <v>928</v>
      </c>
      <c r="H1005" s="240">
        <f t="shared" si="15"/>
        <v>61325</v>
      </c>
      <c r="I1005" s="241"/>
      <c r="J1005" s="221" t="b">
        <f>EXACT(E1006,[1]Main!E1006)</f>
        <v>1</v>
      </c>
    </row>
    <row r="1006" spans="1:10" x14ac:dyDescent="0.25">
      <c r="A1006" s="249">
        <v>45120</v>
      </c>
      <c r="B1006" s="237"/>
      <c r="C1006" s="238"/>
      <c r="D1006" s="239"/>
      <c r="E1006" s="237">
        <v>1950</v>
      </c>
      <c r="F1006" s="242" t="s">
        <v>745</v>
      </c>
      <c r="G1006" s="239" t="s">
        <v>928</v>
      </c>
      <c r="H1006" s="240">
        <f t="shared" si="15"/>
        <v>59375</v>
      </c>
      <c r="I1006" s="241"/>
      <c r="J1006" s="221" t="b">
        <f>EXACT(E1007,[1]Main!E1007)</f>
        <v>1</v>
      </c>
    </row>
    <row r="1007" spans="1:10" x14ac:dyDescent="0.25">
      <c r="A1007" s="249">
        <v>45120</v>
      </c>
      <c r="B1007" s="237"/>
      <c r="C1007" s="238"/>
      <c r="D1007" s="239"/>
      <c r="E1007" s="237">
        <v>930</v>
      </c>
      <c r="F1007" s="242" t="s">
        <v>728</v>
      </c>
      <c r="G1007" s="239" t="s">
        <v>928</v>
      </c>
      <c r="H1007" s="240">
        <f t="shared" si="15"/>
        <v>58445</v>
      </c>
      <c r="I1007" s="241"/>
      <c r="J1007" s="221" t="b">
        <f>EXACT(E1008,[1]Main!E1008)</f>
        <v>1</v>
      </c>
    </row>
    <row r="1008" spans="1:10" x14ac:dyDescent="0.25">
      <c r="A1008" s="249">
        <v>45120</v>
      </c>
      <c r="B1008" s="237"/>
      <c r="C1008" s="238"/>
      <c r="D1008" s="239"/>
      <c r="E1008" s="237">
        <v>150</v>
      </c>
      <c r="F1008" s="242" t="s">
        <v>908</v>
      </c>
      <c r="G1008" s="239" t="s">
        <v>930</v>
      </c>
      <c r="H1008" s="240">
        <f t="shared" si="15"/>
        <v>58295</v>
      </c>
      <c r="I1008" s="241"/>
      <c r="J1008" s="221" t="b">
        <f>EXACT(E1009,[1]Main!E1009)</f>
        <v>1</v>
      </c>
    </row>
    <row r="1009" spans="1:10" x14ac:dyDescent="0.25">
      <c r="A1009" s="249">
        <v>45120</v>
      </c>
      <c r="B1009" s="237"/>
      <c r="C1009" s="238"/>
      <c r="D1009" s="239"/>
      <c r="E1009" s="237">
        <v>90</v>
      </c>
      <c r="F1009" s="242" t="s">
        <v>909</v>
      </c>
      <c r="G1009" s="239" t="s">
        <v>930</v>
      </c>
      <c r="H1009" s="240">
        <f t="shared" si="15"/>
        <v>58205</v>
      </c>
      <c r="I1009" s="241"/>
      <c r="J1009" s="221" t="b">
        <f>EXACT(E1010,[1]Main!E1010)</f>
        <v>1</v>
      </c>
    </row>
    <row r="1010" spans="1:10" x14ac:dyDescent="0.25">
      <c r="A1010" s="249">
        <v>45120</v>
      </c>
      <c r="B1010" s="237"/>
      <c r="C1010" s="238"/>
      <c r="D1010" s="239"/>
      <c r="E1010" s="237">
        <v>7735</v>
      </c>
      <c r="F1010" s="242" t="s">
        <v>337</v>
      </c>
      <c r="G1010" s="239" t="s">
        <v>928</v>
      </c>
      <c r="H1010" s="240">
        <f t="shared" si="15"/>
        <v>50470</v>
      </c>
      <c r="I1010" s="241"/>
      <c r="J1010" s="221" t="b">
        <f>EXACT(E1011,[1]Main!E1011)</f>
        <v>1</v>
      </c>
    </row>
    <row r="1011" spans="1:10" x14ac:dyDescent="0.25">
      <c r="A1011" s="249">
        <v>45120</v>
      </c>
      <c r="B1011" s="237"/>
      <c r="C1011" s="238"/>
      <c r="D1011" s="239"/>
      <c r="E1011" s="237">
        <v>5000</v>
      </c>
      <c r="F1011" s="242" t="s">
        <v>888</v>
      </c>
      <c r="G1011" s="239" t="s">
        <v>928</v>
      </c>
      <c r="H1011" s="240">
        <f t="shared" si="15"/>
        <v>45470</v>
      </c>
      <c r="I1011" s="241" t="s">
        <v>1335</v>
      </c>
      <c r="J1011" s="221" t="b">
        <f>EXACT(E1012,[1]Main!E1012)</f>
        <v>1</v>
      </c>
    </row>
    <row r="1012" spans="1:10" x14ac:dyDescent="0.25">
      <c r="A1012" s="249">
        <v>45120</v>
      </c>
      <c r="B1012" s="237"/>
      <c r="C1012" s="238"/>
      <c r="D1012" s="239"/>
      <c r="E1012" s="237">
        <v>150</v>
      </c>
      <c r="F1012" s="242" t="s">
        <v>914</v>
      </c>
      <c r="G1012" s="239" t="s">
        <v>930</v>
      </c>
      <c r="H1012" s="240">
        <f t="shared" si="15"/>
        <v>45320</v>
      </c>
      <c r="I1012" s="241"/>
      <c r="J1012" s="221" t="b">
        <f>EXACT(E1013,[1]Main!E1013)</f>
        <v>1</v>
      </c>
    </row>
    <row r="1013" spans="1:10" x14ac:dyDescent="0.25">
      <c r="A1013" s="249">
        <v>45120</v>
      </c>
      <c r="B1013" s="237"/>
      <c r="C1013" s="238"/>
      <c r="D1013" s="239"/>
      <c r="E1013" s="237">
        <v>15</v>
      </c>
      <c r="F1013" s="242" t="s">
        <v>31</v>
      </c>
      <c r="G1013" s="239" t="s">
        <v>931</v>
      </c>
      <c r="H1013" s="240">
        <f t="shared" si="15"/>
        <v>45305</v>
      </c>
      <c r="I1013" s="241" t="s">
        <v>1459</v>
      </c>
      <c r="J1013" s="221" t="b">
        <f>EXACT(E1014,[1]Main!E1014)</f>
        <v>1</v>
      </c>
    </row>
    <row r="1014" spans="1:10" x14ac:dyDescent="0.25">
      <c r="A1014" s="249">
        <v>45120</v>
      </c>
      <c r="B1014" s="237"/>
      <c r="C1014" s="238"/>
      <c r="D1014" s="239"/>
      <c r="E1014" s="237">
        <v>30</v>
      </c>
      <c r="F1014" s="242" t="s">
        <v>907</v>
      </c>
      <c r="G1014" s="239" t="s">
        <v>464</v>
      </c>
      <c r="H1014" s="240">
        <f t="shared" si="15"/>
        <v>45275</v>
      </c>
      <c r="I1014" s="241"/>
      <c r="J1014" s="221" t="b">
        <f>EXACT(E1015,[1]Main!E1015)</f>
        <v>1</v>
      </c>
    </row>
    <row r="1015" spans="1:10" x14ac:dyDescent="0.25">
      <c r="A1015" s="249">
        <v>45120</v>
      </c>
      <c r="B1015" s="237"/>
      <c r="C1015" s="238"/>
      <c r="D1015" s="239"/>
      <c r="E1015" s="237">
        <v>5</v>
      </c>
      <c r="F1015" s="242" t="s">
        <v>428</v>
      </c>
      <c r="G1015" s="239" t="s">
        <v>931</v>
      </c>
      <c r="H1015" s="240">
        <f t="shared" si="15"/>
        <v>45270</v>
      </c>
      <c r="I1015" s="241"/>
      <c r="J1015" s="221" t="b">
        <f>EXACT(E1016,[1]Main!E1016)</f>
        <v>1</v>
      </c>
    </row>
    <row r="1016" spans="1:10" x14ac:dyDescent="0.25">
      <c r="A1016" s="249">
        <v>45120</v>
      </c>
      <c r="B1016" s="237"/>
      <c r="C1016" s="238"/>
      <c r="D1016" s="239"/>
      <c r="E1016" s="237">
        <v>38</v>
      </c>
      <c r="F1016" s="242" t="s">
        <v>73</v>
      </c>
      <c r="G1016" s="239" t="s">
        <v>945</v>
      </c>
      <c r="H1016" s="240">
        <f t="shared" si="15"/>
        <v>45232</v>
      </c>
      <c r="I1016" s="241"/>
      <c r="J1016" s="221" t="b">
        <f>EXACT(E1017,[1]Main!E1017)</f>
        <v>1</v>
      </c>
    </row>
    <row r="1017" spans="1:10" x14ac:dyDescent="0.25">
      <c r="A1017" s="249">
        <v>45120</v>
      </c>
      <c r="B1017" s="237"/>
      <c r="C1017" s="238"/>
      <c r="D1017" s="239"/>
      <c r="E1017" s="237">
        <v>10</v>
      </c>
      <c r="F1017" s="242" t="s">
        <v>464</v>
      </c>
      <c r="G1017" s="239" t="s">
        <v>930</v>
      </c>
      <c r="H1017" s="240">
        <f t="shared" si="15"/>
        <v>45222</v>
      </c>
      <c r="I1017" s="241"/>
      <c r="J1017" s="221" t="b">
        <f>EXACT(E1018,[1]Main!E1018)</f>
        <v>1</v>
      </c>
    </row>
    <row r="1018" spans="1:10" x14ac:dyDescent="0.25">
      <c r="A1018" s="249">
        <v>45120</v>
      </c>
      <c r="B1018" s="237"/>
      <c r="C1018" s="238"/>
      <c r="D1018" s="239"/>
      <c r="E1018" s="237">
        <v>100</v>
      </c>
      <c r="F1018" s="242" t="s">
        <v>87</v>
      </c>
      <c r="G1018" s="239" t="s">
        <v>930</v>
      </c>
      <c r="H1018" s="240">
        <f t="shared" si="15"/>
        <v>45122</v>
      </c>
      <c r="I1018" s="241"/>
      <c r="J1018" s="221" t="b">
        <f>EXACT(E1019,[1]Main!E1019)</f>
        <v>1</v>
      </c>
    </row>
    <row r="1019" spans="1:10" x14ac:dyDescent="0.25">
      <c r="A1019" s="249">
        <v>45120</v>
      </c>
      <c r="B1019" s="237"/>
      <c r="C1019" s="238"/>
      <c r="D1019" s="239"/>
      <c r="E1019" s="237">
        <v>90</v>
      </c>
      <c r="F1019" s="242" t="s">
        <v>339</v>
      </c>
      <c r="G1019" s="239" t="s">
        <v>935</v>
      </c>
      <c r="H1019" s="240">
        <f t="shared" si="15"/>
        <v>45032</v>
      </c>
      <c r="I1019" s="241"/>
      <c r="J1019" s="221" t="b">
        <f>EXACT(E1020,[1]Main!E1020)</f>
        <v>1</v>
      </c>
    </row>
    <row r="1020" spans="1:10" x14ac:dyDescent="0.25">
      <c r="A1020" s="249">
        <v>45120</v>
      </c>
      <c r="B1020" s="237"/>
      <c r="C1020" s="238"/>
      <c r="D1020" s="239"/>
      <c r="E1020" s="237">
        <v>100</v>
      </c>
      <c r="F1020" s="242" t="s">
        <v>91</v>
      </c>
      <c r="G1020" s="239" t="s">
        <v>930</v>
      </c>
      <c r="H1020" s="240">
        <f t="shared" si="15"/>
        <v>44932</v>
      </c>
      <c r="I1020" s="241"/>
      <c r="J1020" s="221" t="b">
        <f>EXACT(E1021,[1]Main!E1021)</f>
        <v>1</v>
      </c>
    </row>
    <row r="1021" spans="1:10" x14ac:dyDescent="0.25">
      <c r="A1021" s="249">
        <v>45120</v>
      </c>
      <c r="B1021" s="237"/>
      <c r="C1021" s="238"/>
      <c r="D1021" s="239"/>
      <c r="E1021" s="237">
        <v>100</v>
      </c>
      <c r="F1021" s="242" t="s">
        <v>903</v>
      </c>
      <c r="G1021" s="239" t="s">
        <v>930</v>
      </c>
      <c r="H1021" s="240">
        <f t="shared" si="15"/>
        <v>44832</v>
      </c>
      <c r="I1021" s="241"/>
      <c r="J1021" s="221" t="b">
        <f>EXACT(E1022,[1]Main!E1022)</f>
        <v>1</v>
      </c>
    </row>
    <row r="1022" spans="1:10" x14ac:dyDescent="0.25">
      <c r="A1022" s="249">
        <v>45120</v>
      </c>
      <c r="B1022" s="237"/>
      <c r="C1022" s="238"/>
      <c r="D1022" s="239"/>
      <c r="E1022" s="237">
        <v>1320</v>
      </c>
      <c r="F1022" s="242" t="s">
        <v>14</v>
      </c>
      <c r="G1022" s="239" t="s">
        <v>935</v>
      </c>
      <c r="H1022" s="240">
        <f t="shared" si="15"/>
        <v>43512</v>
      </c>
      <c r="I1022" s="241"/>
      <c r="J1022" s="221" t="b">
        <f>EXACT(E1023,[1]Main!E1023)</f>
        <v>1</v>
      </c>
    </row>
    <row r="1023" spans="1:10" x14ac:dyDescent="0.25">
      <c r="A1023" s="249">
        <v>45120</v>
      </c>
      <c r="B1023" s="237"/>
      <c r="C1023" s="238"/>
      <c r="D1023" s="239"/>
      <c r="E1023" s="237">
        <v>10000</v>
      </c>
      <c r="F1023" s="242" t="s">
        <v>918</v>
      </c>
      <c r="G1023" s="239" t="s">
        <v>928</v>
      </c>
      <c r="H1023" s="240">
        <f t="shared" si="15"/>
        <v>33512</v>
      </c>
      <c r="I1023" s="241"/>
      <c r="J1023" s="221" t="b">
        <f>EXACT(E1024,[1]Main!E1024)</f>
        <v>1</v>
      </c>
    </row>
    <row r="1024" spans="1:10" x14ac:dyDescent="0.25">
      <c r="A1024" s="249">
        <v>45120</v>
      </c>
      <c r="B1024" s="237"/>
      <c r="C1024" s="238"/>
      <c r="D1024" s="239"/>
      <c r="E1024" s="237">
        <v>2000</v>
      </c>
      <c r="F1024" s="242" t="s">
        <v>843</v>
      </c>
      <c r="G1024" s="239" t="s">
        <v>928</v>
      </c>
      <c r="H1024" s="240">
        <f t="shared" si="15"/>
        <v>31512</v>
      </c>
      <c r="I1024" s="241" t="s">
        <v>796</v>
      </c>
      <c r="J1024" s="221" t="b">
        <f>EXACT(E1025,[1]Main!E1025)</f>
        <v>1</v>
      </c>
    </row>
    <row r="1025" spans="1:10" x14ac:dyDescent="0.25">
      <c r="A1025" s="249">
        <v>45120</v>
      </c>
      <c r="B1025" s="237"/>
      <c r="C1025" s="238"/>
      <c r="D1025" s="239"/>
      <c r="E1025" s="237">
        <v>5000</v>
      </c>
      <c r="F1025" s="242" t="s">
        <v>814</v>
      </c>
      <c r="G1025" s="239" t="s">
        <v>928</v>
      </c>
      <c r="H1025" s="240">
        <f t="shared" si="15"/>
        <v>26512</v>
      </c>
      <c r="I1025" s="241" t="s">
        <v>796</v>
      </c>
      <c r="J1025" s="221" t="b">
        <f>EXACT(E1026,[1]Main!E1026)</f>
        <v>1</v>
      </c>
    </row>
    <row r="1026" spans="1:10" x14ac:dyDescent="0.25">
      <c r="A1026" s="249">
        <v>45120</v>
      </c>
      <c r="B1026" s="237"/>
      <c r="C1026" s="238"/>
      <c r="D1026" s="239"/>
      <c r="E1026" s="237">
        <v>465</v>
      </c>
      <c r="F1026" s="242" t="s">
        <v>27</v>
      </c>
      <c r="G1026" s="239" t="s">
        <v>943</v>
      </c>
      <c r="H1026" s="240">
        <f t="shared" si="15"/>
        <v>26047</v>
      </c>
      <c r="I1026" s="241"/>
      <c r="J1026" s="221" t="b">
        <f>EXACT(E1027,[1]Main!E1027)</f>
        <v>1</v>
      </c>
    </row>
    <row r="1027" spans="1:10" x14ac:dyDescent="0.25">
      <c r="A1027" s="249">
        <v>45120</v>
      </c>
      <c r="B1027" s="237"/>
      <c r="C1027" s="238"/>
      <c r="D1027" s="239"/>
      <c r="E1027" s="237">
        <v>75</v>
      </c>
      <c r="F1027" s="242" t="s">
        <v>26</v>
      </c>
      <c r="G1027" s="239" t="s">
        <v>930</v>
      </c>
      <c r="H1027" s="240">
        <f t="shared" si="15"/>
        <v>25972</v>
      </c>
      <c r="I1027" s="241"/>
      <c r="J1027" s="221" t="b">
        <f>EXACT(E1028,[1]Main!E1028)</f>
        <v>1</v>
      </c>
    </row>
    <row r="1028" spans="1:10" x14ac:dyDescent="0.25">
      <c r="A1028" s="249">
        <v>45120</v>
      </c>
      <c r="B1028" s="237"/>
      <c r="C1028" s="238"/>
      <c r="D1028" s="239"/>
      <c r="E1028" s="237">
        <v>1275</v>
      </c>
      <c r="F1028" s="242" t="s">
        <v>946</v>
      </c>
      <c r="G1028" s="239" t="s">
        <v>930</v>
      </c>
      <c r="H1028" s="240">
        <f t="shared" si="15"/>
        <v>24697</v>
      </c>
      <c r="I1028" s="241"/>
      <c r="J1028" s="221" t="b">
        <f>EXACT(E1029,[1]Main!E1029)</f>
        <v>1</v>
      </c>
    </row>
    <row r="1029" spans="1:10" x14ac:dyDescent="0.25">
      <c r="A1029" s="249">
        <v>45120</v>
      </c>
      <c r="B1029" s="237"/>
      <c r="C1029" s="238"/>
      <c r="D1029" s="239"/>
      <c r="E1029" s="237">
        <v>108</v>
      </c>
      <c r="F1029" s="242" t="s">
        <v>32</v>
      </c>
      <c r="G1029" s="239" t="s">
        <v>930</v>
      </c>
      <c r="H1029" s="240">
        <f t="shared" si="15"/>
        <v>24589</v>
      </c>
      <c r="I1029" s="241"/>
      <c r="J1029" s="221" t="b">
        <f>EXACT(E1030,[1]Main!E1030)</f>
        <v>1</v>
      </c>
    </row>
    <row r="1030" spans="1:10" x14ac:dyDescent="0.25">
      <c r="A1030" s="249">
        <v>45120</v>
      </c>
      <c r="B1030" s="237"/>
      <c r="C1030" s="238"/>
      <c r="D1030" s="239"/>
      <c r="E1030" s="237">
        <v>90</v>
      </c>
      <c r="F1030" s="242" t="s">
        <v>552</v>
      </c>
      <c r="G1030" s="239" t="s">
        <v>930</v>
      </c>
      <c r="H1030" s="240">
        <f t="shared" si="15"/>
        <v>24499</v>
      </c>
      <c r="I1030" s="241"/>
      <c r="J1030" s="221" t="b">
        <f>EXACT(E1031,[1]Main!E1031)</f>
        <v>1</v>
      </c>
    </row>
    <row r="1031" spans="1:10" x14ac:dyDescent="0.25">
      <c r="A1031" s="249">
        <v>45120</v>
      </c>
      <c r="B1031" s="237"/>
      <c r="C1031" s="238"/>
      <c r="D1031" s="239"/>
      <c r="E1031" s="237">
        <v>115</v>
      </c>
      <c r="F1031" s="242" t="s">
        <v>15</v>
      </c>
      <c r="G1031" s="239" t="s">
        <v>930</v>
      </c>
      <c r="H1031" s="240">
        <f t="shared" ref="H1031:H1094" si="16">H1030+B1031-E1031</f>
        <v>24384</v>
      </c>
      <c r="I1031" s="241"/>
      <c r="J1031" s="221" t="b">
        <f>EXACT(E1032,[1]Main!E1032)</f>
        <v>1</v>
      </c>
    </row>
    <row r="1032" spans="1:10" x14ac:dyDescent="0.25">
      <c r="A1032" s="249">
        <v>45120</v>
      </c>
      <c r="B1032" s="237"/>
      <c r="C1032" s="238"/>
      <c r="D1032" s="239"/>
      <c r="E1032" s="237">
        <v>161</v>
      </c>
      <c r="F1032" s="242" t="s">
        <v>86</v>
      </c>
      <c r="G1032" s="239" t="s">
        <v>930</v>
      </c>
      <c r="H1032" s="240">
        <f t="shared" si="16"/>
        <v>24223</v>
      </c>
      <c r="I1032" s="241"/>
      <c r="J1032" s="221" t="b">
        <f>EXACT(E1033,[1]Main!E1033)</f>
        <v>1</v>
      </c>
    </row>
    <row r="1033" spans="1:10" x14ac:dyDescent="0.25">
      <c r="A1033" s="249">
        <v>45120</v>
      </c>
      <c r="B1033" s="237"/>
      <c r="C1033" s="238"/>
      <c r="D1033" s="239"/>
      <c r="E1033" s="237">
        <v>500</v>
      </c>
      <c r="F1033" s="242" t="s">
        <v>947</v>
      </c>
      <c r="G1033" s="239" t="s">
        <v>464</v>
      </c>
      <c r="H1033" s="240">
        <f t="shared" si="16"/>
        <v>23723</v>
      </c>
      <c r="I1033" s="241"/>
      <c r="J1033" s="221" t="b">
        <f>EXACT(E1034,[1]Main!E1034)</f>
        <v>1</v>
      </c>
    </row>
    <row r="1034" spans="1:10" x14ac:dyDescent="0.25">
      <c r="A1034" s="249">
        <v>45120</v>
      </c>
      <c r="B1034" s="237"/>
      <c r="C1034" s="238"/>
      <c r="D1034" s="239"/>
      <c r="E1034" s="237">
        <v>20</v>
      </c>
      <c r="F1034" s="242" t="s">
        <v>234</v>
      </c>
      <c r="G1034" s="239" t="s">
        <v>931</v>
      </c>
      <c r="H1034" s="240">
        <f t="shared" si="16"/>
        <v>23703</v>
      </c>
      <c r="I1034" s="241"/>
      <c r="J1034" s="221" t="b">
        <f>EXACT(E1035,[1]Main!E1035)</f>
        <v>1</v>
      </c>
    </row>
    <row r="1035" spans="1:10" x14ac:dyDescent="0.25">
      <c r="A1035" s="244">
        <v>45120</v>
      </c>
      <c r="B1035" s="245"/>
      <c r="C1035" s="246"/>
      <c r="D1035" s="247"/>
      <c r="E1035" s="245">
        <v>500</v>
      </c>
      <c r="F1035" s="248" t="s">
        <v>50</v>
      </c>
      <c r="G1035" s="247" t="s">
        <v>931</v>
      </c>
      <c r="H1035" s="240">
        <f t="shared" si="16"/>
        <v>23203</v>
      </c>
      <c r="I1035" s="248"/>
      <c r="J1035" s="221" t="b">
        <f>EXACT(E1036,[1]Main!E1036)</f>
        <v>1</v>
      </c>
    </row>
    <row r="1036" spans="1:10" x14ac:dyDescent="0.25">
      <c r="A1036" s="249">
        <v>45121</v>
      </c>
      <c r="B1036" s="237">
        <v>2120</v>
      </c>
      <c r="C1036" s="238" t="s">
        <v>948</v>
      </c>
      <c r="D1036" s="239" t="s">
        <v>763</v>
      </c>
      <c r="E1036" s="237">
        <v>121</v>
      </c>
      <c r="F1036" s="242" t="s">
        <v>73</v>
      </c>
      <c r="G1036" s="239" t="s">
        <v>945</v>
      </c>
      <c r="H1036" s="240">
        <f t="shared" si="16"/>
        <v>25202</v>
      </c>
      <c r="I1036" s="241"/>
      <c r="J1036" s="221" t="b">
        <f>EXACT(E1037,[1]Main!E1037)</f>
        <v>1</v>
      </c>
    </row>
    <row r="1037" spans="1:10" x14ac:dyDescent="0.25">
      <c r="A1037" s="249">
        <v>45121</v>
      </c>
      <c r="B1037" s="237">
        <v>2020</v>
      </c>
      <c r="C1037" s="238" t="s">
        <v>27</v>
      </c>
      <c r="D1037" s="239" t="s">
        <v>772</v>
      </c>
      <c r="E1037" s="237">
        <v>400</v>
      </c>
      <c r="F1037" s="242" t="s">
        <v>553</v>
      </c>
      <c r="G1037" s="239" t="s">
        <v>464</v>
      </c>
      <c r="H1037" s="240">
        <f t="shared" si="16"/>
        <v>26822</v>
      </c>
      <c r="I1037" s="241"/>
      <c r="J1037" s="221" t="b">
        <f>EXACT(E1038,[1]Main!E1038)</f>
        <v>1</v>
      </c>
    </row>
    <row r="1038" spans="1:10" x14ac:dyDescent="0.25">
      <c r="A1038" s="249">
        <v>45121</v>
      </c>
      <c r="B1038" s="237">
        <v>21345</v>
      </c>
      <c r="C1038" s="238" t="s">
        <v>949</v>
      </c>
      <c r="D1038" s="239" t="s">
        <v>763</v>
      </c>
      <c r="E1038" s="237">
        <v>50</v>
      </c>
      <c r="F1038" s="242" t="s">
        <v>951</v>
      </c>
      <c r="G1038" s="239" t="s">
        <v>931</v>
      </c>
      <c r="H1038" s="240">
        <f t="shared" si="16"/>
        <v>48117</v>
      </c>
      <c r="I1038" s="241"/>
      <c r="J1038" s="221" t="b">
        <f>EXACT(E1039,[1]Main!E1039)</f>
        <v>1</v>
      </c>
    </row>
    <row r="1039" spans="1:10" x14ac:dyDescent="0.25">
      <c r="A1039" s="249">
        <v>45121</v>
      </c>
      <c r="B1039" s="237">
        <v>1684</v>
      </c>
      <c r="C1039" s="238" t="s">
        <v>950</v>
      </c>
      <c r="D1039" s="239" t="s">
        <v>765</v>
      </c>
      <c r="E1039" s="237">
        <v>110</v>
      </c>
      <c r="F1039" s="242" t="s">
        <v>7</v>
      </c>
      <c r="G1039" s="239" t="s">
        <v>930</v>
      </c>
      <c r="H1039" s="240">
        <f t="shared" si="16"/>
        <v>49691</v>
      </c>
      <c r="I1039" s="241"/>
      <c r="J1039" s="221" t="b">
        <f>EXACT(E1040,[1]Main!E1040)</f>
        <v>1</v>
      </c>
    </row>
    <row r="1040" spans="1:10" x14ac:dyDescent="0.25">
      <c r="A1040" s="249">
        <v>45121</v>
      </c>
      <c r="B1040" s="237">
        <v>11085</v>
      </c>
      <c r="C1040" s="238" t="s">
        <v>363</v>
      </c>
      <c r="D1040" s="239" t="s">
        <v>763</v>
      </c>
      <c r="E1040" s="237">
        <v>750</v>
      </c>
      <c r="F1040" s="242" t="s">
        <v>952</v>
      </c>
      <c r="G1040" s="239" t="s">
        <v>931</v>
      </c>
      <c r="H1040" s="240">
        <f t="shared" si="16"/>
        <v>60026</v>
      </c>
      <c r="I1040" s="241"/>
      <c r="J1040" s="221" t="b">
        <f>EXACT(E1041,[1]Main!E1041)</f>
        <v>1</v>
      </c>
    </row>
    <row r="1041" spans="1:10" x14ac:dyDescent="0.25">
      <c r="A1041" s="249">
        <v>45121</v>
      </c>
      <c r="B1041" s="237">
        <v>640</v>
      </c>
      <c r="C1041" s="238" t="s">
        <v>913</v>
      </c>
      <c r="D1041" s="239" t="s">
        <v>765</v>
      </c>
      <c r="E1041" s="237">
        <v>1500</v>
      </c>
      <c r="F1041" s="242" t="s">
        <v>953</v>
      </c>
      <c r="G1041" s="239" t="s">
        <v>938</v>
      </c>
      <c r="H1041" s="240">
        <f t="shared" si="16"/>
        <v>59166</v>
      </c>
      <c r="I1041" s="241"/>
      <c r="J1041" s="221" t="b">
        <f>EXACT(E1042,[1]Main!E1042)</f>
        <v>1</v>
      </c>
    </row>
    <row r="1042" spans="1:10" x14ac:dyDescent="0.25">
      <c r="A1042" s="249">
        <v>45121</v>
      </c>
      <c r="B1042" s="237">
        <v>105</v>
      </c>
      <c r="C1042" s="238" t="s">
        <v>937</v>
      </c>
      <c r="D1042" s="239" t="s">
        <v>937</v>
      </c>
      <c r="E1042" s="237">
        <v>50</v>
      </c>
      <c r="F1042" s="242" t="s">
        <v>33</v>
      </c>
      <c r="G1042" s="239" t="s">
        <v>464</v>
      </c>
      <c r="H1042" s="240">
        <f t="shared" si="16"/>
        <v>59221</v>
      </c>
      <c r="I1042" s="241"/>
      <c r="J1042" s="221" t="b">
        <f>EXACT(E1043,[1]Main!E1043)</f>
        <v>1</v>
      </c>
    </row>
    <row r="1043" spans="1:10" x14ac:dyDescent="0.25">
      <c r="A1043" s="249">
        <v>45121</v>
      </c>
      <c r="B1043" s="237">
        <v>8042</v>
      </c>
      <c r="C1043" s="238" t="s">
        <v>121</v>
      </c>
      <c r="D1043" s="239" t="s">
        <v>766</v>
      </c>
      <c r="E1043" s="237">
        <v>120</v>
      </c>
      <c r="F1043" s="242" t="s">
        <v>393</v>
      </c>
      <c r="G1043" s="239" t="s">
        <v>930</v>
      </c>
      <c r="H1043" s="240">
        <f t="shared" si="16"/>
        <v>67143</v>
      </c>
      <c r="I1043" s="241"/>
      <c r="J1043" s="221" t="b">
        <f>EXACT(E1044,[1]Main!E1044)</f>
        <v>1</v>
      </c>
    </row>
    <row r="1044" spans="1:10" x14ac:dyDescent="0.25">
      <c r="A1044" s="249">
        <v>45121</v>
      </c>
      <c r="B1044" s="237">
        <v>17725</v>
      </c>
      <c r="C1044" s="238" t="s">
        <v>88</v>
      </c>
      <c r="D1044" s="239" t="s">
        <v>766</v>
      </c>
      <c r="E1044" s="237">
        <v>10</v>
      </c>
      <c r="F1044" s="242" t="s">
        <v>73</v>
      </c>
      <c r="G1044" s="239" t="s">
        <v>945</v>
      </c>
      <c r="H1044" s="240">
        <f t="shared" si="16"/>
        <v>84858</v>
      </c>
      <c r="I1044" s="241"/>
      <c r="J1044" s="221" t="b">
        <f>EXACT(E1045,[1]Main!E1045)</f>
        <v>1</v>
      </c>
    </row>
    <row r="1045" spans="1:10" x14ac:dyDescent="0.25">
      <c r="A1045" s="249">
        <v>45121</v>
      </c>
      <c r="B1045" s="237">
        <v>3435</v>
      </c>
      <c r="C1045" s="238" t="s">
        <v>27</v>
      </c>
      <c r="D1045" s="239" t="s">
        <v>772</v>
      </c>
      <c r="E1045" s="237">
        <v>30</v>
      </c>
      <c r="F1045" s="242" t="s">
        <v>373</v>
      </c>
      <c r="G1045" s="239" t="s">
        <v>930</v>
      </c>
      <c r="H1045" s="240">
        <f t="shared" si="16"/>
        <v>88263</v>
      </c>
      <c r="I1045" s="241"/>
      <c r="J1045" s="221" t="b">
        <f>EXACT(E1046,[1]Main!E1046)</f>
        <v>1</v>
      </c>
    </row>
    <row r="1046" spans="1:10" x14ac:dyDescent="0.25">
      <c r="A1046" s="249">
        <v>45121</v>
      </c>
      <c r="B1046" s="237">
        <v>205</v>
      </c>
      <c r="C1046" s="238" t="s">
        <v>27</v>
      </c>
      <c r="D1046" s="239" t="s">
        <v>772</v>
      </c>
      <c r="E1046" s="237">
        <v>8</v>
      </c>
      <c r="F1046" s="242" t="s">
        <v>954</v>
      </c>
      <c r="G1046" s="239" t="s">
        <v>464</v>
      </c>
      <c r="H1046" s="240">
        <f t="shared" si="16"/>
        <v>88460</v>
      </c>
      <c r="I1046" s="241"/>
      <c r="J1046" s="221" t="b">
        <f>EXACT(E1047,[1]Main!E1047)</f>
        <v>1</v>
      </c>
    </row>
    <row r="1047" spans="1:10" x14ac:dyDescent="0.25">
      <c r="A1047" s="249">
        <v>45121</v>
      </c>
      <c r="B1047" s="237">
        <v>18795</v>
      </c>
      <c r="C1047" s="238" t="s">
        <v>80</v>
      </c>
      <c r="D1047" s="239" t="s">
        <v>763</v>
      </c>
      <c r="E1047" s="237">
        <v>340</v>
      </c>
      <c r="F1047" s="242" t="s">
        <v>11</v>
      </c>
      <c r="G1047" s="239" t="s">
        <v>935</v>
      </c>
      <c r="H1047" s="240">
        <f t="shared" si="16"/>
        <v>106915</v>
      </c>
      <c r="I1047" s="241"/>
      <c r="J1047" s="221" t="b">
        <f>EXACT(E1048,[1]Main!E1048)</f>
        <v>1</v>
      </c>
    </row>
    <row r="1048" spans="1:10" x14ac:dyDescent="0.25">
      <c r="A1048" s="249">
        <v>45121</v>
      </c>
      <c r="B1048" s="237">
        <v>1373</v>
      </c>
      <c r="C1048" s="238" t="s">
        <v>979</v>
      </c>
      <c r="D1048" s="239" t="s">
        <v>765</v>
      </c>
      <c r="E1048" s="237">
        <v>130</v>
      </c>
      <c r="F1048" s="242" t="s">
        <v>551</v>
      </c>
      <c r="G1048" s="239" t="s">
        <v>930</v>
      </c>
      <c r="H1048" s="240">
        <f t="shared" si="16"/>
        <v>108158</v>
      </c>
      <c r="I1048" s="241"/>
      <c r="J1048" s="221" t="b">
        <f>EXACT(E1049,[1]Main!E1049)</f>
        <v>1</v>
      </c>
    </row>
    <row r="1049" spans="1:10" x14ac:dyDescent="0.25">
      <c r="A1049" s="249">
        <v>45121</v>
      </c>
      <c r="B1049" s="237">
        <v>9828</v>
      </c>
      <c r="C1049" s="238" t="s">
        <v>85</v>
      </c>
      <c r="D1049" s="239" t="s">
        <v>766</v>
      </c>
      <c r="E1049" s="237">
        <v>200</v>
      </c>
      <c r="F1049" s="242" t="s">
        <v>955</v>
      </c>
      <c r="G1049" s="239" t="s">
        <v>930</v>
      </c>
      <c r="H1049" s="240">
        <f t="shared" si="16"/>
        <v>117786</v>
      </c>
      <c r="I1049" s="241"/>
      <c r="J1049" s="221" t="b">
        <f>EXACT(E1050,[1]Main!E1050)</f>
        <v>1</v>
      </c>
    </row>
    <row r="1050" spans="1:10" x14ac:dyDescent="0.25">
      <c r="A1050" s="249">
        <v>45121</v>
      </c>
      <c r="B1050" s="237">
        <v>105</v>
      </c>
      <c r="C1050" s="238" t="s">
        <v>556</v>
      </c>
      <c r="D1050" s="239" t="s">
        <v>772</v>
      </c>
      <c r="E1050" s="237">
        <v>315</v>
      </c>
      <c r="F1050" s="242" t="s">
        <v>956</v>
      </c>
      <c r="G1050" s="239" t="s">
        <v>930</v>
      </c>
      <c r="H1050" s="240">
        <f t="shared" si="16"/>
        <v>117576</v>
      </c>
      <c r="I1050" s="241"/>
      <c r="J1050" s="221" t="b">
        <f>EXACT(E1051,[1]Main!E1051)</f>
        <v>1</v>
      </c>
    </row>
    <row r="1051" spans="1:10" x14ac:dyDescent="0.25">
      <c r="A1051" s="249">
        <v>45121</v>
      </c>
      <c r="B1051" s="237">
        <v>7906</v>
      </c>
      <c r="C1051" s="238" t="s">
        <v>60</v>
      </c>
      <c r="D1051" s="239" t="s">
        <v>763</v>
      </c>
      <c r="E1051" s="237">
        <v>990</v>
      </c>
      <c r="F1051" s="242" t="s">
        <v>27</v>
      </c>
      <c r="G1051" s="239" t="s">
        <v>943</v>
      </c>
      <c r="H1051" s="240">
        <f t="shared" si="16"/>
        <v>124492</v>
      </c>
      <c r="I1051" s="241"/>
      <c r="J1051" s="221" t="b">
        <f>EXACT(E1052,[1]Main!E1052)</f>
        <v>1</v>
      </c>
    </row>
    <row r="1052" spans="1:10" x14ac:dyDescent="0.25">
      <c r="A1052" s="249">
        <v>45121</v>
      </c>
      <c r="B1052" s="237">
        <v>16749</v>
      </c>
      <c r="C1052" s="238" t="s">
        <v>15</v>
      </c>
      <c r="D1052" s="239" t="s">
        <v>763</v>
      </c>
      <c r="E1052" s="237">
        <v>10</v>
      </c>
      <c r="F1052" s="242" t="s">
        <v>957</v>
      </c>
      <c r="G1052" s="239" t="s">
        <v>943</v>
      </c>
      <c r="H1052" s="240">
        <f t="shared" si="16"/>
        <v>141231</v>
      </c>
      <c r="I1052" s="241"/>
      <c r="J1052" s="221" t="b">
        <f>EXACT(E1053,[1]Main!E1053)</f>
        <v>1</v>
      </c>
    </row>
    <row r="1053" spans="1:10" x14ac:dyDescent="0.25">
      <c r="A1053" s="249">
        <v>45121</v>
      </c>
      <c r="B1053" s="237">
        <f>400+400</f>
        <v>800</v>
      </c>
      <c r="C1053" s="238" t="s">
        <v>60</v>
      </c>
      <c r="D1053" s="239" t="s">
        <v>763</v>
      </c>
      <c r="E1053" s="237">
        <v>1520</v>
      </c>
      <c r="F1053" s="242" t="s">
        <v>12</v>
      </c>
      <c r="G1053" s="239" t="s">
        <v>974</v>
      </c>
      <c r="H1053" s="240">
        <f t="shared" si="16"/>
        <v>140511</v>
      </c>
      <c r="I1053" s="241"/>
      <c r="J1053" s="221" t="b">
        <f>EXACT(E1054,[1]Main!E1054)</f>
        <v>1</v>
      </c>
    </row>
    <row r="1054" spans="1:10" x14ac:dyDescent="0.25">
      <c r="A1054" s="249">
        <v>45121</v>
      </c>
      <c r="B1054" s="237"/>
      <c r="C1054" s="238"/>
      <c r="D1054" s="239"/>
      <c r="E1054" s="237">
        <v>200</v>
      </c>
      <c r="F1054" s="242" t="s">
        <v>27</v>
      </c>
      <c r="G1054" s="239" t="s">
        <v>943</v>
      </c>
      <c r="H1054" s="240">
        <f t="shared" si="16"/>
        <v>140311</v>
      </c>
      <c r="I1054" s="241"/>
      <c r="J1054" s="221" t="b">
        <f>EXACT(E1055,[1]Main!E1055)</f>
        <v>1</v>
      </c>
    </row>
    <row r="1055" spans="1:10" x14ac:dyDescent="0.25">
      <c r="A1055" s="249">
        <v>45121</v>
      </c>
      <c r="B1055" s="237"/>
      <c r="C1055" s="238"/>
      <c r="D1055" s="239"/>
      <c r="E1055" s="237">
        <v>25</v>
      </c>
      <c r="F1055" s="242" t="s">
        <v>964</v>
      </c>
      <c r="G1055" s="239" t="s">
        <v>930</v>
      </c>
      <c r="H1055" s="240">
        <f t="shared" si="16"/>
        <v>140286</v>
      </c>
      <c r="I1055" s="269" t="s">
        <v>965</v>
      </c>
      <c r="J1055" s="221" t="b">
        <f>EXACT(E1056,[1]Main!E1056)</f>
        <v>1</v>
      </c>
    </row>
    <row r="1056" spans="1:10" x14ac:dyDescent="0.25">
      <c r="A1056" s="249">
        <v>45121</v>
      </c>
      <c r="B1056" s="237"/>
      <c r="C1056" s="238"/>
      <c r="D1056" s="239"/>
      <c r="E1056" s="237">
        <v>50</v>
      </c>
      <c r="F1056" s="242" t="s">
        <v>966</v>
      </c>
      <c r="G1056" s="239" t="s">
        <v>930</v>
      </c>
      <c r="H1056" s="240">
        <f t="shared" si="16"/>
        <v>140236</v>
      </c>
      <c r="I1056" s="241"/>
      <c r="J1056" s="221" t="b">
        <f>EXACT(E1057,[1]Main!E1057)</f>
        <v>1</v>
      </c>
    </row>
    <row r="1057" spans="1:10" x14ac:dyDescent="0.25">
      <c r="A1057" s="249">
        <v>45121</v>
      </c>
      <c r="B1057" s="237"/>
      <c r="C1057" s="238"/>
      <c r="D1057" s="239"/>
      <c r="E1057" s="237">
        <v>9500</v>
      </c>
      <c r="F1057" s="242" t="s">
        <v>665</v>
      </c>
      <c r="G1057" s="239" t="s">
        <v>928</v>
      </c>
      <c r="H1057" s="240">
        <f t="shared" si="16"/>
        <v>130736</v>
      </c>
      <c r="I1057" s="241" t="s">
        <v>968</v>
      </c>
      <c r="J1057" s="221" t="b">
        <f>EXACT(E1058,[1]Main!E1058)</f>
        <v>1</v>
      </c>
    </row>
    <row r="1058" spans="1:10" x14ac:dyDescent="0.25">
      <c r="A1058" s="249">
        <v>45121</v>
      </c>
      <c r="B1058" s="237"/>
      <c r="C1058" s="238"/>
      <c r="D1058" s="239"/>
      <c r="E1058" s="237">
        <v>12</v>
      </c>
      <c r="F1058" s="242" t="s">
        <v>969</v>
      </c>
      <c r="G1058" s="239" t="s">
        <v>945</v>
      </c>
      <c r="H1058" s="240">
        <f t="shared" si="16"/>
        <v>130724</v>
      </c>
      <c r="I1058" s="241"/>
      <c r="J1058" s="221" t="b">
        <f>EXACT(E1059,[1]Main!E1059)</f>
        <v>1</v>
      </c>
    </row>
    <row r="1059" spans="1:10" x14ac:dyDescent="0.25">
      <c r="A1059" s="249">
        <v>45121</v>
      </c>
      <c r="B1059" s="237"/>
      <c r="C1059" s="238"/>
      <c r="D1059" s="239"/>
      <c r="E1059" s="237">
        <v>85</v>
      </c>
      <c r="F1059" s="242" t="s">
        <v>970</v>
      </c>
      <c r="G1059" s="239" t="s">
        <v>930</v>
      </c>
      <c r="H1059" s="240">
        <f t="shared" si="16"/>
        <v>130639</v>
      </c>
      <c r="I1059" s="241"/>
      <c r="J1059" s="221" t="b">
        <f>EXACT(E1060,[1]Main!E1060)</f>
        <v>1</v>
      </c>
    </row>
    <row r="1060" spans="1:10" x14ac:dyDescent="0.25">
      <c r="A1060" s="249">
        <v>45121</v>
      </c>
      <c r="B1060" s="237"/>
      <c r="C1060" s="238"/>
      <c r="D1060" s="239"/>
      <c r="E1060" s="237">
        <v>262</v>
      </c>
      <c r="F1060" s="242" t="s">
        <v>255</v>
      </c>
      <c r="G1060" s="239" t="s">
        <v>930</v>
      </c>
      <c r="H1060" s="240">
        <f t="shared" si="16"/>
        <v>130377</v>
      </c>
      <c r="I1060" s="241"/>
      <c r="J1060" s="221" t="b">
        <f>EXACT(E1061,[1]Main!E1061)</f>
        <v>1</v>
      </c>
    </row>
    <row r="1061" spans="1:10" x14ac:dyDescent="0.25">
      <c r="A1061" s="249">
        <v>45121</v>
      </c>
      <c r="B1061" s="237"/>
      <c r="C1061" s="238"/>
      <c r="D1061" s="239"/>
      <c r="E1061" s="237">
        <v>1500</v>
      </c>
      <c r="F1061" s="242" t="s">
        <v>255</v>
      </c>
      <c r="G1061" s="239" t="s">
        <v>931</v>
      </c>
      <c r="H1061" s="240">
        <f t="shared" si="16"/>
        <v>128877</v>
      </c>
      <c r="I1061" s="241"/>
      <c r="J1061" s="221" t="b">
        <f>EXACT(E1062,[1]Main!E1062)</f>
        <v>1</v>
      </c>
    </row>
    <row r="1062" spans="1:10" x14ac:dyDescent="0.25">
      <c r="A1062" s="249">
        <v>45121</v>
      </c>
      <c r="B1062" s="237"/>
      <c r="C1062" s="238"/>
      <c r="D1062" s="239"/>
      <c r="E1062" s="237">
        <v>95</v>
      </c>
      <c r="F1062" s="242" t="s">
        <v>9</v>
      </c>
      <c r="G1062" s="239" t="s">
        <v>930</v>
      </c>
      <c r="H1062" s="240">
        <f t="shared" si="16"/>
        <v>128782</v>
      </c>
      <c r="I1062" s="241"/>
      <c r="J1062" s="221" t="b">
        <f>EXACT(E1063,[1]Main!E1063)</f>
        <v>1</v>
      </c>
    </row>
    <row r="1063" spans="1:10" x14ac:dyDescent="0.25">
      <c r="A1063" s="249">
        <v>45121</v>
      </c>
      <c r="B1063" s="237"/>
      <c r="C1063" s="238"/>
      <c r="D1063" s="239"/>
      <c r="E1063" s="237">
        <v>120</v>
      </c>
      <c r="F1063" s="242" t="s">
        <v>341</v>
      </c>
      <c r="G1063" s="239" t="s">
        <v>930</v>
      </c>
      <c r="H1063" s="240">
        <f t="shared" si="16"/>
        <v>128662</v>
      </c>
      <c r="I1063" s="241"/>
      <c r="J1063" s="221" t="b">
        <f>EXACT(E1064,[1]Main!E1064)</f>
        <v>1</v>
      </c>
    </row>
    <row r="1064" spans="1:10" x14ac:dyDescent="0.25">
      <c r="A1064" s="249">
        <v>45121</v>
      </c>
      <c r="B1064" s="237"/>
      <c r="C1064" s="238"/>
      <c r="D1064" s="239"/>
      <c r="E1064" s="237">
        <v>290</v>
      </c>
      <c r="F1064" s="242" t="s">
        <v>744</v>
      </c>
      <c r="G1064" s="239" t="s">
        <v>930</v>
      </c>
      <c r="H1064" s="240">
        <f t="shared" si="16"/>
        <v>128372</v>
      </c>
      <c r="I1064" s="241"/>
      <c r="J1064" s="221" t="b">
        <f>EXACT(E1065,[1]Main!E1065)</f>
        <v>1</v>
      </c>
    </row>
    <row r="1065" spans="1:10" x14ac:dyDescent="0.25">
      <c r="A1065" s="249">
        <v>45121</v>
      </c>
      <c r="B1065" s="237"/>
      <c r="C1065" s="238"/>
      <c r="D1065" s="239"/>
      <c r="E1065" s="237">
        <v>2600</v>
      </c>
      <c r="F1065" s="242" t="s">
        <v>971</v>
      </c>
      <c r="G1065" s="239" t="s">
        <v>928</v>
      </c>
      <c r="H1065" s="240">
        <f t="shared" si="16"/>
        <v>125772</v>
      </c>
      <c r="I1065" s="241"/>
      <c r="J1065" s="221" t="b">
        <f>EXACT(E1066,[1]Main!E1066)</f>
        <v>1</v>
      </c>
    </row>
    <row r="1066" spans="1:10" x14ac:dyDescent="0.25">
      <c r="A1066" s="249">
        <v>45121</v>
      </c>
      <c r="B1066" s="237"/>
      <c r="C1066" s="238"/>
      <c r="D1066" s="239"/>
      <c r="E1066" s="237">
        <v>140</v>
      </c>
      <c r="F1066" s="242" t="s">
        <v>39</v>
      </c>
      <c r="G1066" s="239" t="s">
        <v>930</v>
      </c>
      <c r="H1066" s="240">
        <f t="shared" si="16"/>
        <v>125632</v>
      </c>
      <c r="I1066" s="241"/>
      <c r="J1066" s="221" t="b">
        <f>EXACT(E1067,[1]Main!E1067)</f>
        <v>1</v>
      </c>
    </row>
    <row r="1067" spans="1:10" x14ac:dyDescent="0.25">
      <c r="A1067" s="249">
        <v>45121</v>
      </c>
      <c r="B1067" s="237"/>
      <c r="C1067" s="238"/>
      <c r="D1067" s="239"/>
      <c r="E1067" s="237">
        <v>120</v>
      </c>
      <c r="F1067" s="242" t="s">
        <v>34</v>
      </c>
      <c r="G1067" s="239" t="s">
        <v>930</v>
      </c>
      <c r="H1067" s="240">
        <f t="shared" si="16"/>
        <v>125512</v>
      </c>
      <c r="I1067" s="241"/>
      <c r="J1067" s="221" t="b">
        <f>EXACT(E1068,[1]Main!E1068)</f>
        <v>1</v>
      </c>
    </row>
    <row r="1068" spans="1:10" x14ac:dyDescent="0.25">
      <c r="A1068" s="249">
        <v>45121</v>
      </c>
      <c r="B1068" s="237"/>
      <c r="C1068" s="238"/>
      <c r="D1068" s="239"/>
      <c r="E1068" s="237">
        <v>2345</v>
      </c>
      <c r="F1068" s="242" t="s">
        <v>972</v>
      </c>
      <c r="G1068" s="239" t="s">
        <v>929</v>
      </c>
      <c r="H1068" s="240">
        <f t="shared" si="16"/>
        <v>123167</v>
      </c>
      <c r="I1068" s="241"/>
      <c r="J1068" s="221" t="b">
        <f>EXACT(E1069,[1]Main!E1069)</f>
        <v>1</v>
      </c>
    </row>
    <row r="1069" spans="1:10" x14ac:dyDescent="0.25">
      <c r="A1069" s="249">
        <v>45121</v>
      </c>
      <c r="B1069" s="237"/>
      <c r="C1069" s="238"/>
      <c r="D1069" s="239"/>
      <c r="E1069" s="237">
        <v>2180</v>
      </c>
      <c r="F1069" s="242" t="s">
        <v>12</v>
      </c>
      <c r="G1069" s="239" t="s">
        <v>974</v>
      </c>
      <c r="H1069" s="240">
        <f t="shared" si="16"/>
        <v>120987</v>
      </c>
      <c r="I1069" s="241"/>
      <c r="J1069" s="221" t="b">
        <f>EXACT(E1070,[1]Main!E1070)</f>
        <v>1</v>
      </c>
    </row>
    <row r="1070" spans="1:10" x14ac:dyDescent="0.25">
      <c r="A1070" s="249">
        <v>45121</v>
      </c>
      <c r="B1070" s="237"/>
      <c r="C1070" s="238"/>
      <c r="D1070" s="239"/>
      <c r="E1070" s="237">
        <v>90</v>
      </c>
      <c r="F1070" s="242" t="s">
        <v>973</v>
      </c>
      <c r="G1070" s="239" t="s">
        <v>938</v>
      </c>
      <c r="H1070" s="240">
        <f t="shared" si="16"/>
        <v>120897</v>
      </c>
      <c r="I1070" s="241"/>
      <c r="J1070" s="221" t="b">
        <f>EXACT(E1071,[1]Main!E1071)</f>
        <v>1</v>
      </c>
    </row>
    <row r="1071" spans="1:10" x14ac:dyDescent="0.25">
      <c r="A1071" s="249">
        <v>45121</v>
      </c>
      <c r="B1071" s="237"/>
      <c r="C1071" s="238"/>
      <c r="D1071" s="239"/>
      <c r="E1071" s="237">
        <v>305</v>
      </c>
      <c r="F1071" s="242" t="s">
        <v>27</v>
      </c>
      <c r="G1071" s="239" t="s">
        <v>943</v>
      </c>
      <c r="H1071" s="240">
        <f t="shared" si="16"/>
        <v>120592</v>
      </c>
      <c r="I1071" s="241"/>
      <c r="J1071" s="221" t="b">
        <f>EXACT(E1072,[1]Main!E1072)</f>
        <v>1</v>
      </c>
    </row>
    <row r="1072" spans="1:10" x14ac:dyDescent="0.25">
      <c r="A1072" s="249">
        <v>45121</v>
      </c>
      <c r="B1072" s="237"/>
      <c r="C1072" s="238"/>
      <c r="D1072" s="239"/>
      <c r="E1072" s="237">
        <v>3000</v>
      </c>
      <c r="F1072" s="242" t="s">
        <v>1050</v>
      </c>
      <c r="G1072" s="239" t="s">
        <v>930</v>
      </c>
      <c r="H1072" s="240">
        <f t="shared" si="16"/>
        <v>117592</v>
      </c>
      <c r="I1072" s="241"/>
      <c r="J1072" s="221" t="b">
        <f>EXACT(E1073,[1]Main!E1073)</f>
        <v>1</v>
      </c>
    </row>
    <row r="1073" spans="1:10" x14ac:dyDescent="0.25">
      <c r="A1073" s="249">
        <v>45121</v>
      </c>
      <c r="B1073" s="237"/>
      <c r="C1073" s="238"/>
      <c r="D1073" s="239"/>
      <c r="E1073" s="237">
        <v>5800</v>
      </c>
      <c r="F1073" s="242" t="s">
        <v>975</v>
      </c>
      <c r="G1073" s="239" t="s">
        <v>928</v>
      </c>
      <c r="H1073" s="240">
        <f t="shared" si="16"/>
        <v>111792</v>
      </c>
      <c r="I1073" s="241" t="s">
        <v>796</v>
      </c>
      <c r="J1073" s="221" t="b">
        <f>EXACT(E1074,[1]Main!E1074)</f>
        <v>1</v>
      </c>
    </row>
    <row r="1074" spans="1:10" x14ac:dyDescent="0.25">
      <c r="A1074" s="249">
        <v>45121</v>
      </c>
      <c r="B1074" s="237"/>
      <c r="C1074" s="238"/>
      <c r="D1074" s="239"/>
      <c r="E1074" s="237">
        <v>10000</v>
      </c>
      <c r="F1074" s="242" t="s">
        <v>543</v>
      </c>
      <c r="G1074" s="239" t="s">
        <v>928</v>
      </c>
      <c r="H1074" s="240">
        <f t="shared" si="16"/>
        <v>101792</v>
      </c>
      <c r="I1074" s="241" t="s">
        <v>796</v>
      </c>
      <c r="J1074" s="221" t="b">
        <f>EXACT(E1075,[1]Main!E1075)</f>
        <v>1</v>
      </c>
    </row>
    <row r="1075" spans="1:10" x14ac:dyDescent="0.25">
      <c r="A1075" s="249">
        <v>45121</v>
      </c>
      <c r="B1075" s="237"/>
      <c r="C1075" s="238"/>
      <c r="D1075" s="239"/>
      <c r="E1075" s="237">
        <f>10*115+140+165-20</f>
        <v>1435</v>
      </c>
      <c r="F1075" s="242" t="s">
        <v>14</v>
      </c>
      <c r="G1075" s="239" t="s">
        <v>935</v>
      </c>
      <c r="H1075" s="240">
        <f t="shared" si="16"/>
        <v>100357</v>
      </c>
      <c r="I1075" s="241"/>
      <c r="J1075" s="221" t="b">
        <f>EXACT(E1076,[1]Main!E1076)</f>
        <v>1</v>
      </c>
    </row>
    <row r="1076" spans="1:10" x14ac:dyDescent="0.25">
      <c r="A1076" s="249">
        <v>45121</v>
      </c>
      <c r="B1076" s="237"/>
      <c r="C1076" s="238"/>
      <c r="D1076" s="239"/>
      <c r="E1076" s="237">
        <v>550</v>
      </c>
      <c r="F1076" s="242" t="s">
        <v>41</v>
      </c>
      <c r="G1076" s="239" t="s">
        <v>931</v>
      </c>
      <c r="H1076" s="240">
        <f t="shared" si="16"/>
        <v>99807</v>
      </c>
      <c r="I1076" s="241"/>
      <c r="J1076" s="221" t="b">
        <f>EXACT(E1077,[1]Main!E1077)</f>
        <v>1</v>
      </c>
    </row>
    <row r="1077" spans="1:10" x14ac:dyDescent="0.25">
      <c r="A1077" s="249">
        <v>45121</v>
      </c>
      <c r="B1077" s="237"/>
      <c r="C1077" s="238"/>
      <c r="D1077" s="239"/>
      <c r="E1077" s="237">
        <v>235</v>
      </c>
      <c r="F1077" s="242" t="s">
        <v>978</v>
      </c>
      <c r="G1077" s="239" t="s">
        <v>930</v>
      </c>
      <c r="H1077" s="240">
        <f t="shared" si="16"/>
        <v>99572</v>
      </c>
      <c r="I1077" s="241"/>
      <c r="J1077" s="221" t="b">
        <f>EXACT(E1078,[1]Main!E1078)</f>
        <v>1</v>
      </c>
    </row>
    <row r="1078" spans="1:10" x14ac:dyDescent="0.25">
      <c r="A1078" s="249">
        <v>45121</v>
      </c>
      <c r="B1078" s="237"/>
      <c r="C1078" s="238"/>
      <c r="D1078" s="239"/>
      <c r="E1078" s="237">
        <v>28</v>
      </c>
      <c r="F1078" s="242" t="s">
        <v>451</v>
      </c>
      <c r="G1078" s="239" t="s">
        <v>931</v>
      </c>
      <c r="H1078" s="240">
        <f t="shared" si="16"/>
        <v>99544</v>
      </c>
      <c r="I1078" s="241"/>
      <c r="J1078" s="221" t="b">
        <f>EXACT(E1079,[1]Main!E1079)</f>
        <v>1</v>
      </c>
    </row>
    <row r="1079" spans="1:10" x14ac:dyDescent="0.25">
      <c r="A1079" s="249">
        <v>45121</v>
      </c>
      <c r="B1079" s="237"/>
      <c r="C1079" s="238"/>
      <c r="D1079" s="239"/>
      <c r="E1079" s="237">
        <v>5000</v>
      </c>
      <c r="F1079" s="242" t="s">
        <v>980</v>
      </c>
      <c r="G1079" s="239" t="s">
        <v>464</v>
      </c>
      <c r="H1079" s="240">
        <f t="shared" si="16"/>
        <v>94544</v>
      </c>
      <c r="I1079" s="241"/>
      <c r="J1079" s="221" t="b">
        <f>EXACT(E1080,[1]Main!E1080)</f>
        <v>1</v>
      </c>
    </row>
    <row r="1080" spans="1:10" x14ac:dyDescent="0.25">
      <c r="A1080" s="249">
        <v>45121</v>
      </c>
      <c r="B1080" s="237"/>
      <c r="C1080" s="238"/>
      <c r="D1080" s="239"/>
      <c r="E1080" s="237">
        <v>300</v>
      </c>
      <c r="F1080" s="242" t="s">
        <v>50</v>
      </c>
      <c r="G1080" s="239" t="s">
        <v>931</v>
      </c>
      <c r="H1080" s="240">
        <f t="shared" si="16"/>
        <v>94244</v>
      </c>
      <c r="I1080" s="241"/>
      <c r="J1080" s="221" t="b">
        <f>EXACT(E1081,[1]Main!E1081)</f>
        <v>1</v>
      </c>
    </row>
    <row r="1081" spans="1:10" x14ac:dyDescent="0.25">
      <c r="A1081" s="249">
        <v>45121</v>
      </c>
      <c r="B1081" s="237"/>
      <c r="C1081" s="238"/>
      <c r="D1081" s="239"/>
      <c r="E1081" s="237">
        <v>170</v>
      </c>
      <c r="F1081" s="242" t="s">
        <v>86</v>
      </c>
      <c r="G1081" s="239" t="s">
        <v>930</v>
      </c>
      <c r="H1081" s="240">
        <f t="shared" si="16"/>
        <v>94074</v>
      </c>
      <c r="I1081" s="241"/>
      <c r="J1081" s="221" t="b">
        <f>EXACT(E1082,[1]Main!E1082)</f>
        <v>1</v>
      </c>
    </row>
    <row r="1082" spans="1:10" x14ac:dyDescent="0.25">
      <c r="A1082" s="249">
        <v>45121</v>
      </c>
      <c r="B1082" s="237"/>
      <c r="C1082" s="238" t="s">
        <v>591</v>
      </c>
      <c r="D1082" s="239"/>
      <c r="E1082" s="237">
        <v>145</v>
      </c>
      <c r="F1082" s="242" t="s">
        <v>498</v>
      </c>
      <c r="G1082" s="239" t="s">
        <v>930</v>
      </c>
      <c r="H1082" s="240">
        <f t="shared" si="16"/>
        <v>93929</v>
      </c>
      <c r="I1082" s="241"/>
      <c r="J1082" s="221" t="b">
        <f>EXACT(E1083,[1]Main!E1083)</f>
        <v>1</v>
      </c>
    </row>
    <row r="1083" spans="1:10" x14ac:dyDescent="0.25">
      <c r="A1083" s="249">
        <v>45121</v>
      </c>
      <c r="B1083" s="237"/>
      <c r="C1083" s="238"/>
      <c r="D1083" s="239"/>
      <c r="E1083" s="237">
        <v>165</v>
      </c>
      <c r="F1083" s="242" t="s">
        <v>15</v>
      </c>
      <c r="G1083" s="239" t="s">
        <v>930</v>
      </c>
      <c r="H1083" s="240">
        <f t="shared" si="16"/>
        <v>93764</v>
      </c>
      <c r="I1083" s="241"/>
      <c r="J1083" s="221" t="b">
        <f>EXACT(E1084,[1]Main!E1084)</f>
        <v>1</v>
      </c>
    </row>
    <row r="1084" spans="1:10" x14ac:dyDescent="0.25">
      <c r="A1084" s="249">
        <v>45121</v>
      </c>
      <c r="B1084" s="237"/>
      <c r="C1084" s="238"/>
      <c r="D1084" s="239"/>
      <c r="E1084" s="237">
        <v>80</v>
      </c>
      <c r="F1084" s="242" t="s">
        <v>552</v>
      </c>
      <c r="G1084" s="239" t="s">
        <v>930</v>
      </c>
      <c r="H1084" s="240">
        <f t="shared" si="16"/>
        <v>93684</v>
      </c>
      <c r="I1084" s="241"/>
      <c r="J1084" s="221" t="b">
        <f>EXACT(E1085,[1]Main!E1085)</f>
        <v>1</v>
      </c>
    </row>
    <row r="1085" spans="1:10" x14ac:dyDescent="0.25">
      <c r="A1085" s="249">
        <v>45121</v>
      </c>
      <c r="B1085" s="237"/>
      <c r="C1085" s="238"/>
      <c r="D1085" s="239"/>
      <c r="E1085" s="237">
        <v>90</v>
      </c>
      <c r="F1085" s="242" t="s">
        <v>32</v>
      </c>
      <c r="G1085" s="239" t="s">
        <v>930</v>
      </c>
      <c r="H1085" s="240">
        <f t="shared" si="16"/>
        <v>93594</v>
      </c>
      <c r="I1085" s="241"/>
      <c r="J1085" s="221" t="b">
        <f>EXACT(E1086,[1]Main!E1086)</f>
        <v>1</v>
      </c>
    </row>
    <row r="1086" spans="1:10" x14ac:dyDescent="0.25">
      <c r="A1086" s="249">
        <v>45121</v>
      </c>
      <c r="B1086" s="237"/>
      <c r="C1086" s="238"/>
      <c r="D1086" s="239"/>
      <c r="E1086" s="237">
        <v>100</v>
      </c>
      <c r="F1086" s="242" t="s">
        <v>510</v>
      </c>
      <c r="G1086" s="239" t="s">
        <v>930</v>
      </c>
      <c r="H1086" s="240">
        <f t="shared" si="16"/>
        <v>93494</v>
      </c>
      <c r="I1086" s="241"/>
      <c r="J1086" s="221" t="b">
        <f>EXACT(E1087,[1]Main!E1087)</f>
        <v>1</v>
      </c>
    </row>
    <row r="1087" spans="1:10" x14ac:dyDescent="0.25">
      <c r="A1087" s="249">
        <v>45121</v>
      </c>
      <c r="B1087" s="237"/>
      <c r="C1087" s="238"/>
      <c r="D1087" s="239"/>
      <c r="E1087" s="237">
        <v>125</v>
      </c>
      <c r="F1087" s="242" t="s">
        <v>31</v>
      </c>
      <c r="G1087" s="239" t="s">
        <v>931</v>
      </c>
      <c r="H1087" s="240">
        <f t="shared" si="16"/>
        <v>93369</v>
      </c>
      <c r="I1087" s="241"/>
      <c r="J1087" s="221" t="b">
        <f>EXACT(E1088,[1]Main!E1088)</f>
        <v>1</v>
      </c>
    </row>
    <row r="1088" spans="1:10" x14ac:dyDescent="0.25">
      <c r="A1088" s="249">
        <v>45121</v>
      </c>
      <c r="B1088" s="237"/>
      <c r="C1088" s="238"/>
      <c r="D1088" s="239"/>
      <c r="E1088" s="237">
        <v>43</v>
      </c>
      <c r="F1088" s="242" t="s">
        <v>954</v>
      </c>
      <c r="G1088" s="239" t="s">
        <v>464</v>
      </c>
      <c r="H1088" s="240">
        <f t="shared" si="16"/>
        <v>93326</v>
      </c>
      <c r="I1088" s="241"/>
      <c r="J1088" s="221" t="b">
        <f>EXACT(E1089,[1]Main!E1089)</f>
        <v>1</v>
      </c>
    </row>
    <row r="1089" spans="1:11" x14ac:dyDescent="0.25">
      <c r="A1089" s="249">
        <v>45121</v>
      </c>
      <c r="B1089" s="237"/>
      <c r="C1089" s="238"/>
      <c r="D1089" s="239"/>
      <c r="E1089" s="237">
        <v>114</v>
      </c>
      <c r="F1089" s="242" t="s">
        <v>458</v>
      </c>
      <c r="G1089" s="239" t="s">
        <v>464</v>
      </c>
      <c r="H1089" s="240">
        <f t="shared" si="16"/>
        <v>93212</v>
      </c>
      <c r="I1089" s="241"/>
      <c r="J1089" s="221" t="b">
        <f>EXACT(E1090,[1]Main!E1090)</f>
        <v>1</v>
      </c>
    </row>
    <row r="1090" spans="1:11" x14ac:dyDescent="0.25">
      <c r="A1090" s="249">
        <v>45121</v>
      </c>
      <c r="B1090" s="237"/>
      <c r="C1090" s="238"/>
      <c r="D1090" s="239"/>
      <c r="E1090" s="237">
        <v>150</v>
      </c>
      <c r="F1090" s="242" t="s">
        <v>708</v>
      </c>
      <c r="G1090" s="239" t="s">
        <v>930</v>
      </c>
      <c r="H1090" s="240">
        <f t="shared" si="16"/>
        <v>93062</v>
      </c>
      <c r="I1090" s="241"/>
      <c r="J1090" s="221" t="b">
        <f>EXACT(E1091,[1]Main!E1091)</f>
        <v>1</v>
      </c>
    </row>
    <row r="1091" spans="1:11" x14ac:dyDescent="0.25">
      <c r="A1091" s="249">
        <v>45121</v>
      </c>
      <c r="B1091" s="237"/>
      <c r="C1091" s="238"/>
      <c r="D1091" s="239"/>
      <c r="E1091" s="237">
        <v>90</v>
      </c>
      <c r="F1091" s="242" t="s">
        <v>339</v>
      </c>
      <c r="G1091" s="239" t="s">
        <v>928</v>
      </c>
      <c r="H1091" s="240">
        <f t="shared" si="16"/>
        <v>92972</v>
      </c>
      <c r="I1091" s="241"/>
      <c r="J1091" s="221" t="b">
        <f>EXACT(E1092,[1]Main!E1092)</f>
        <v>1</v>
      </c>
    </row>
    <row r="1092" spans="1:11" x14ac:dyDescent="0.25">
      <c r="A1092" s="249">
        <v>45121</v>
      </c>
      <c r="B1092" s="237"/>
      <c r="C1092" s="238"/>
      <c r="D1092" s="239"/>
      <c r="E1092" s="237">
        <v>45</v>
      </c>
      <c r="F1092" s="242" t="s">
        <v>494</v>
      </c>
      <c r="G1092" s="239" t="s">
        <v>930</v>
      </c>
      <c r="H1092" s="240">
        <f t="shared" si="16"/>
        <v>92927</v>
      </c>
      <c r="I1092" s="241"/>
      <c r="J1092" s="221" t="b">
        <f>EXACT(E1093,[1]Main!E1093)</f>
        <v>1</v>
      </c>
    </row>
    <row r="1093" spans="1:11" x14ac:dyDescent="0.25">
      <c r="A1093" s="249">
        <v>45121</v>
      </c>
      <c r="B1093" s="237"/>
      <c r="C1093" s="238"/>
      <c r="D1093" s="239"/>
      <c r="E1093" s="237">
        <v>195</v>
      </c>
      <c r="F1093" s="242" t="s">
        <v>27</v>
      </c>
      <c r="G1093" s="239" t="s">
        <v>943</v>
      </c>
      <c r="H1093" s="240">
        <f t="shared" si="16"/>
        <v>92732</v>
      </c>
      <c r="I1093" s="241"/>
      <c r="J1093" s="221" t="b">
        <f>EXACT(E1094,[1]Main!E1094)</f>
        <v>1</v>
      </c>
    </row>
    <row r="1094" spans="1:11" x14ac:dyDescent="0.25">
      <c r="A1094" s="249">
        <v>45121</v>
      </c>
      <c r="B1094" s="237"/>
      <c r="C1094" s="238"/>
      <c r="D1094" s="239"/>
      <c r="E1094" s="309">
        <v>28</v>
      </c>
      <c r="F1094" s="243" t="s">
        <v>981</v>
      </c>
      <c r="G1094" s="316" t="s">
        <v>464</v>
      </c>
      <c r="H1094" s="240">
        <f t="shared" si="16"/>
        <v>92704</v>
      </c>
      <c r="I1094" s="241"/>
      <c r="J1094" s="221" t="b">
        <f>EXACT(E1095,[1]Main!E1095)</f>
        <v>1</v>
      </c>
    </row>
    <row r="1095" spans="1:11" x14ac:dyDescent="0.25">
      <c r="A1095" s="249">
        <v>45121</v>
      </c>
      <c r="B1095" s="237"/>
      <c r="C1095" s="238"/>
      <c r="D1095" s="239"/>
      <c r="E1095" s="237">
        <v>15</v>
      </c>
      <c r="F1095" s="242" t="s">
        <v>982</v>
      </c>
      <c r="G1095" s="239" t="s">
        <v>464</v>
      </c>
      <c r="H1095" s="240">
        <f t="shared" ref="H1095:H1158" si="17">H1094+B1095-E1095</f>
        <v>92689</v>
      </c>
      <c r="I1095" s="241"/>
      <c r="J1095" s="221" t="b">
        <f>EXACT(E1096,[1]Main!E1096)</f>
        <v>1</v>
      </c>
    </row>
    <row r="1096" spans="1:11" s="306" customFormat="1" x14ac:dyDescent="0.25">
      <c r="A1096" s="299">
        <v>45121</v>
      </c>
      <c r="B1096" s="300"/>
      <c r="C1096" s="301"/>
      <c r="D1096" s="302"/>
      <c r="E1096" s="300">
        <v>250</v>
      </c>
      <c r="F1096" s="303" t="s">
        <v>983</v>
      </c>
      <c r="G1096" s="302" t="s">
        <v>938</v>
      </c>
      <c r="H1096" s="240">
        <f t="shared" si="17"/>
        <v>92439</v>
      </c>
      <c r="I1096" s="304"/>
      <c r="J1096" s="221" t="b">
        <f>EXACT(E1097,[1]Main!E1097)</f>
        <v>1</v>
      </c>
      <c r="K1096" s="305"/>
    </row>
    <row r="1097" spans="1:11" x14ac:dyDescent="0.25">
      <c r="A1097" s="249">
        <v>45122</v>
      </c>
      <c r="B1097" s="310">
        <v>400</v>
      </c>
      <c r="C1097" s="312" t="s">
        <v>27</v>
      </c>
      <c r="D1097" s="239" t="s">
        <v>772</v>
      </c>
      <c r="E1097" s="237">
        <v>5540</v>
      </c>
      <c r="F1097" s="242" t="s">
        <v>68</v>
      </c>
      <c r="G1097" s="239" t="s">
        <v>928</v>
      </c>
      <c r="H1097" s="240">
        <f t="shared" si="17"/>
        <v>87299</v>
      </c>
      <c r="I1097" s="241" t="s">
        <v>796</v>
      </c>
      <c r="J1097" s="221" t="b">
        <f>EXACT(E1098,[1]Main!E1098)</f>
        <v>1</v>
      </c>
    </row>
    <row r="1098" spans="1:11" x14ac:dyDescent="0.25">
      <c r="A1098" s="249">
        <v>45122</v>
      </c>
      <c r="B1098" s="310">
        <v>1010</v>
      </c>
      <c r="C1098" s="312" t="s">
        <v>27</v>
      </c>
      <c r="D1098" s="239" t="s">
        <v>772</v>
      </c>
      <c r="E1098" s="310">
        <v>90</v>
      </c>
      <c r="F1098" s="311" t="s">
        <v>27</v>
      </c>
      <c r="G1098" s="239" t="s">
        <v>943</v>
      </c>
      <c r="H1098" s="240">
        <f t="shared" si="17"/>
        <v>88219</v>
      </c>
      <c r="I1098" s="241"/>
      <c r="J1098" s="221" t="b">
        <f>EXACT(E1099,[1]Main!E1099)</f>
        <v>1</v>
      </c>
    </row>
    <row r="1099" spans="1:11" x14ac:dyDescent="0.25">
      <c r="A1099" s="249">
        <v>45122</v>
      </c>
      <c r="B1099" s="237">
        <v>1030</v>
      </c>
      <c r="C1099" s="238" t="s">
        <v>989</v>
      </c>
      <c r="D1099" s="239" t="s">
        <v>765</v>
      </c>
      <c r="E1099" s="237">
        <v>500</v>
      </c>
      <c r="F1099" s="242" t="s">
        <v>984</v>
      </c>
      <c r="G1099" s="239" t="s">
        <v>464</v>
      </c>
      <c r="H1099" s="240">
        <f t="shared" si="17"/>
        <v>88749</v>
      </c>
      <c r="I1099" s="241"/>
      <c r="J1099" s="221" t="b">
        <f>EXACT(E1100,[1]Main!E1100)</f>
        <v>1</v>
      </c>
    </row>
    <row r="1100" spans="1:11" x14ac:dyDescent="0.25">
      <c r="A1100" s="249">
        <v>45122</v>
      </c>
      <c r="B1100" s="237">
        <v>15089</v>
      </c>
      <c r="C1100" s="238" t="s">
        <v>300</v>
      </c>
      <c r="D1100" s="239" t="s">
        <v>763</v>
      </c>
      <c r="E1100" s="237">
        <v>20</v>
      </c>
      <c r="F1100" s="242" t="s">
        <v>471</v>
      </c>
      <c r="G1100" s="239" t="s">
        <v>464</v>
      </c>
      <c r="H1100" s="240">
        <f t="shared" si="17"/>
        <v>103818</v>
      </c>
      <c r="I1100" s="241"/>
      <c r="J1100" s="221" t="b">
        <f>EXACT(E1101,[1]Main!E1101)</f>
        <v>1</v>
      </c>
    </row>
    <row r="1101" spans="1:11" x14ac:dyDescent="0.25">
      <c r="A1101" s="249">
        <v>45122</v>
      </c>
      <c r="B1101" s="237">
        <v>12320</v>
      </c>
      <c r="C1101" s="238" t="s">
        <v>80</v>
      </c>
      <c r="D1101" s="239" t="s">
        <v>763</v>
      </c>
      <c r="E1101" s="237">
        <v>400</v>
      </c>
      <c r="F1101" s="242" t="s">
        <v>985</v>
      </c>
      <c r="G1101" s="239" t="s">
        <v>464</v>
      </c>
      <c r="H1101" s="240">
        <f t="shared" si="17"/>
        <v>115738</v>
      </c>
      <c r="I1101" s="241"/>
      <c r="J1101" s="221" t="b">
        <f>EXACT(E1102,[1]Main!E1102)</f>
        <v>1</v>
      </c>
    </row>
    <row r="1102" spans="1:11" x14ac:dyDescent="0.25">
      <c r="A1102" s="249">
        <v>45122</v>
      </c>
      <c r="B1102" s="237">
        <v>2027</v>
      </c>
      <c r="C1102" s="238" t="s">
        <v>988</v>
      </c>
      <c r="D1102" s="239" t="s">
        <v>765</v>
      </c>
      <c r="E1102" s="237">
        <v>215</v>
      </c>
      <c r="F1102" s="242" t="s">
        <v>7</v>
      </c>
      <c r="G1102" s="239" t="s">
        <v>930</v>
      </c>
      <c r="H1102" s="240">
        <f t="shared" si="17"/>
        <v>117550</v>
      </c>
      <c r="I1102" s="241"/>
      <c r="J1102" s="221" t="b">
        <f>EXACT(E1103,[1]Main!E1103)</f>
        <v>1</v>
      </c>
    </row>
    <row r="1103" spans="1:11" x14ac:dyDescent="0.25">
      <c r="A1103" s="249">
        <v>45122</v>
      </c>
      <c r="B1103" s="310">
        <v>755</v>
      </c>
      <c r="C1103" s="312" t="s">
        <v>27</v>
      </c>
      <c r="D1103" s="239" t="s">
        <v>772</v>
      </c>
      <c r="E1103" s="237">
        <v>150</v>
      </c>
      <c r="F1103" s="242" t="s">
        <v>373</v>
      </c>
      <c r="G1103" s="239" t="s">
        <v>930</v>
      </c>
      <c r="H1103" s="240">
        <f t="shared" si="17"/>
        <v>118155</v>
      </c>
      <c r="I1103" s="241"/>
      <c r="J1103" s="221" t="b">
        <f>EXACT(E1104,[1]Main!E1104)</f>
        <v>1</v>
      </c>
    </row>
    <row r="1104" spans="1:11" x14ac:dyDescent="0.25">
      <c r="A1104" s="249">
        <v>45122</v>
      </c>
      <c r="B1104" s="237">
        <v>18942</v>
      </c>
      <c r="C1104" s="238" t="s">
        <v>363</v>
      </c>
      <c r="D1104" s="239" t="s">
        <v>763</v>
      </c>
      <c r="E1104" s="237">
        <v>15</v>
      </c>
      <c r="F1104" s="242" t="s">
        <v>33</v>
      </c>
      <c r="G1104" s="239" t="s">
        <v>464</v>
      </c>
      <c r="H1104" s="240">
        <f t="shared" si="17"/>
        <v>137082</v>
      </c>
      <c r="I1104" s="241"/>
      <c r="J1104" s="221" t="b">
        <f>EXACT(E1105,[1]Main!E1105)</f>
        <v>1</v>
      </c>
    </row>
    <row r="1105" spans="1:10" x14ac:dyDescent="0.25">
      <c r="A1105" s="249">
        <v>45122</v>
      </c>
      <c r="B1105" s="237">
        <v>915</v>
      </c>
      <c r="C1105" s="238" t="s">
        <v>1012</v>
      </c>
      <c r="D1105" s="239" t="s">
        <v>765</v>
      </c>
      <c r="E1105" s="237">
        <v>177</v>
      </c>
      <c r="F1105" s="242" t="s">
        <v>357</v>
      </c>
      <c r="G1105" s="239" t="s">
        <v>931</v>
      </c>
      <c r="H1105" s="240">
        <f t="shared" si="17"/>
        <v>137820</v>
      </c>
      <c r="I1105" s="241"/>
      <c r="J1105" s="221" t="b">
        <f>EXACT(E1106,[1]Main!E1106)</f>
        <v>1</v>
      </c>
    </row>
    <row r="1106" spans="1:10" x14ac:dyDescent="0.25">
      <c r="A1106" s="249">
        <v>45122</v>
      </c>
      <c r="B1106" s="237">
        <v>8066</v>
      </c>
      <c r="C1106" s="238" t="s">
        <v>121</v>
      </c>
      <c r="D1106" s="239" t="s">
        <v>766</v>
      </c>
      <c r="E1106" s="237">
        <v>1285</v>
      </c>
      <c r="F1106" s="242" t="s">
        <v>470</v>
      </c>
      <c r="G1106" s="239" t="s">
        <v>928</v>
      </c>
      <c r="H1106" s="240">
        <f t="shared" si="17"/>
        <v>144601</v>
      </c>
      <c r="I1106" s="241"/>
      <c r="J1106" s="221" t="b">
        <f>EXACT(E1107,[1]Main!E1107)</f>
        <v>1</v>
      </c>
    </row>
    <row r="1107" spans="1:10" x14ac:dyDescent="0.25">
      <c r="A1107" s="249">
        <v>45122</v>
      </c>
      <c r="B1107" s="237">
        <v>384</v>
      </c>
      <c r="C1107" s="238" t="s">
        <v>1013</v>
      </c>
      <c r="D1107" s="239" t="s">
        <v>768</v>
      </c>
      <c r="E1107" s="237">
        <v>1555</v>
      </c>
      <c r="F1107" s="242" t="s">
        <v>1337</v>
      </c>
      <c r="G1107" s="239" t="s">
        <v>928</v>
      </c>
      <c r="H1107" s="240">
        <f t="shared" si="17"/>
        <v>143430</v>
      </c>
      <c r="I1107" s="241"/>
      <c r="J1107" s="221" t="b">
        <f>EXACT(E1108,[1]Main!E1108)</f>
        <v>1</v>
      </c>
    </row>
    <row r="1108" spans="1:10" x14ac:dyDescent="0.25">
      <c r="A1108" s="249">
        <v>45122</v>
      </c>
      <c r="B1108" s="237">
        <v>18077</v>
      </c>
      <c r="C1108" s="238" t="s">
        <v>15</v>
      </c>
      <c r="D1108" s="239" t="s">
        <v>766</v>
      </c>
      <c r="E1108" s="237">
        <v>200</v>
      </c>
      <c r="F1108" s="242" t="s">
        <v>27</v>
      </c>
      <c r="G1108" s="239" t="s">
        <v>943</v>
      </c>
      <c r="H1108" s="240">
        <f t="shared" si="17"/>
        <v>161307</v>
      </c>
      <c r="I1108" s="241" t="s">
        <v>987</v>
      </c>
      <c r="J1108" s="221" t="b">
        <f>EXACT(E1109,[1]Main!E1109)</f>
        <v>1</v>
      </c>
    </row>
    <row r="1109" spans="1:10" x14ac:dyDescent="0.25">
      <c r="A1109" s="249">
        <v>45122</v>
      </c>
      <c r="B1109" s="237">
        <v>462</v>
      </c>
      <c r="C1109" s="238" t="s">
        <v>916</v>
      </c>
      <c r="D1109" s="239" t="s">
        <v>768</v>
      </c>
      <c r="E1109" s="237">
        <v>1000</v>
      </c>
      <c r="F1109" s="242" t="s">
        <v>886</v>
      </c>
      <c r="G1109" s="239" t="s">
        <v>928</v>
      </c>
      <c r="H1109" s="240">
        <f t="shared" si="17"/>
        <v>160769</v>
      </c>
      <c r="I1109" s="241" t="s">
        <v>855</v>
      </c>
      <c r="J1109" s="221" t="b">
        <f>EXACT(E1110,[1]Main!E1110)</f>
        <v>1</v>
      </c>
    </row>
    <row r="1110" spans="1:10" x14ac:dyDescent="0.25">
      <c r="A1110" s="249">
        <v>45122</v>
      </c>
      <c r="B1110" s="237">
        <v>16705</v>
      </c>
      <c r="C1110" s="238" t="s">
        <v>756</v>
      </c>
      <c r="D1110" s="239" t="s">
        <v>766</v>
      </c>
      <c r="E1110" s="237">
        <v>200</v>
      </c>
      <c r="F1110" s="242" t="s">
        <v>955</v>
      </c>
      <c r="G1110" s="239" t="s">
        <v>930</v>
      </c>
      <c r="H1110" s="240">
        <f t="shared" si="17"/>
        <v>177274</v>
      </c>
      <c r="I1110" s="241"/>
      <c r="J1110" s="221" t="b">
        <f>EXACT(E1111,[1]Main!E1111)</f>
        <v>1</v>
      </c>
    </row>
    <row r="1111" spans="1:10" x14ac:dyDescent="0.25">
      <c r="A1111" s="249">
        <v>45122</v>
      </c>
      <c r="B1111" s="237">
        <v>325</v>
      </c>
      <c r="C1111" s="238" t="s">
        <v>216</v>
      </c>
      <c r="D1111" s="239" t="s">
        <v>768</v>
      </c>
      <c r="E1111" s="237">
        <v>140</v>
      </c>
      <c r="F1111" s="242" t="s">
        <v>265</v>
      </c>
      <c r="G1111" s="239" t="s">
        <v>935</v>
      </c>
      <c r="H1111" s="240">
        <f t="shared" si="17"/>
        <v>177459</v>
      </c>
      <c r="I1111" s="241"/>
      <c r="J1111" s="221" t="b">
        <f>EXACT(E1112,[1]Main!E1112)</f>
        <v>1</v>
      </c>
    </row>
    <row r="1112" spans="1:10" x14ac:dyDescent="0.25">
      <c r="A1112" s="249">
        <v>45122</v>
      </c>
      <c r="B1112" s="237">
        <v>100</v>
      </c>
      <c r="C1112" s="238" t="s">
        <v>1061</v>
      </c>
      <c r="D1112" s="239" t="s">
        <v>931</v>
      </c>
      <c r="E1112" s="237">
        <v>875</v>
      </c>
      <c r="F1112" s="242" t="s">
        <v>17</v>
      </c>
      <c r="G1112" s="239" t="s">
        <v>928</v>
      </c>
      <c r="H1112" s="240">
        <f t="shared" si="17"/>
        <v>176684</v>
      </c>
      <c r="I1112" s="241"/>
      <c r="J1112" s="221" t="b">
        <f>EXACT(E1113,[1]Main!E1113)</f>
        <v>1</v>
      </c>
    </row>
    <row r="1113" spans="1:10" x14ac:dyDescent="0.25">
      <c r="A1113" s="249">
        <v>45122</v>
      </c>
      <c r="B1113" s="237">
        <v>105</v>
      </c>
      <c r="C1113" s="238" t="s">
        <v>1020</v>
      </c>
      <c r="D1113" s="239" t="s">
        <v>937</v>
      </c>
      <c r="E1113" s="237">
        <v>315</v>
      </c>
      <c r="F1113" s="242" t="s">
        <v>209</v>
      </c>
      <c r="G1113" s="239" t="s">
        <v>928</v>
      </c>
      <c r="H1113" s="240">
        <f t="shared" si="17"/>
        <v>176474</v>
      </c>
      <c r="I1113" s="241"/>
      <c r="J1113" s="221" t="b">
        <f>EXACT(E1114,[1]Main!E1114)</f>
        <v>1</v>
      </c>
    </row>
    <row r="1114" spans="1:10" x14ac:dyDescent="0.25">
      <c r="A1114" s="249">
        <v>45122</v>
      </c>
      <c r="B1114" s="237">
        <v>11832</v>
      </c>
      <c r="C1114" s="238" t="s">
        <v>85</v>
      </c>
      <c r="D1114" s="239" t="s">
        <v>766</v>
      </c>
      <c r="E1114" s="237">
        <v>295</v>
      </c>
      <c r="F1114" s="242" t="s">
        <v>8</v>
      </c>
      <c r="G1114" s="239" t="s">
        <v>930</v>
      </c>
      <c r="H1114" s="240">
        <f t="shared" si="17"/>
        <v>188011</v>
      </c>
      <c r="I1114" s="241"/>
      <c r="J1114" s="221" t="b">
        <f>EXACT(E1115,[1]Main!E1115)</f>
        <v>1</v>
      </c>
    </row>
    <row r="1115" spans="1:10" x14ac:dyDescent="0.25">
      <c r="A1115" s="249">
        <v>45122</v>
      </c>
      <c r="B1115" s="237">
        <v>4340</v>
      </c>
      <c r="C1115" s="238" t="s">
        <v>60</v>
      </c>
      <c r="D1115" s="239" t="s">
        <v>763</v>
      </c>
      <c r="E1115" s="237">
        <v>1770</v>
      </c>
      <c r="F1115" s="242" t="s">
        <v>12</v>
      </c>
      <c r="G1115" s="239" t="s">
        <v>974</v>
      </c>
      <c r="H1115" s="240">
        <f t="shared" si="17"/>
        <v>190581</v>
      </c>
      <c r="I1115" s="241"/>
      <c r="J1115" s="221" t="b">
        <f>EXACT(E1116,[1]Main!E1116)</f>
        <v>1</v>
      </c>
    </row>
    <row r="1116" spans="1:10" x14ac:dyDescent="0.25">
      <c r="A1116" s="249">
        <v>45122</v>
      </c>
      <c r="B1116" s="237"/>
      <c r="C1116" s="238"/>
      <c r="D1116" s="239"/>
      <c r="E1116" s="237">
        <v>93</v>
      </c>
      <c r="F1116" s="242" t="s">
        <v>572</v>
      </c>
      <c r="G1116" s="239" t="s">
        <v>928</v>
      </c>
      <c r="H1116" s="240">
        <f t="shared" si="17"/>
        <v>190488</v>
      </c>
      <c r="I1116" s="241"/>
      <c r="J1116" s="221" t="b">
        <f>EXACT(E1117,[1]Main!E1117)</f>
        <v>1</v>
      </c>
    </row>
    <row r="1117" spans="1:10" x14ac:dyDescent="0.25">
      <c r="A1117" s="249">
        <v>45122</v>
      </c>
      <c r="B1117" s="237"/>
      <c r="C1117" s="238"/>
      <c r="D1117" s="239"/>
      <c r="E1117" s="237">
        <f>750-110</f>
        <v>640</v>
      </c>
      <c r="F1117" s="242" t="s">
        <v>990</v>
      </c>
      <c r="G1117" s="239" t="s">
        <v>464</v>
      </c>
      <c r="H1117" s="240">
        <f t="shared" si="17"/>
        <v>189848</v>
      </c>
      <c r="I1117" s="241" t="s">
        <v>991</v>
      </c>
      <c r="J1117" s="221" t="b">
        <f>EXACT(E1118,[1]Main!E1118)</f>
        <v>1</v>
      </c>
    </row>
    <row r="1118" spans="1:10" x14ac:dyDescent="0.25">
      <c r="A1118" s="249">
        <v>45122</v>
      </c>
      <c r="B1118" s="237"/>
      <c r="C1118" s="238"/>
      <c r="D1118" s="239"/>
      <c r="E1118" s="237">
        <v>200</v>
      </c>
      <c r="F1118" s="242" t="s">
        <v>511</v>
      </c>
      <c r="G1118" s="239" t="s">
        <v>931</v>
      </c>
      <c r="H1118" s="240">
        <f t="shared" si="17"/>
        <v>189648</v>
      </c>
      <c r="I1118" s="241"/>
      <c r="J1118" s="221" t="b">
        <f>EXACT(E1119,[1]Main!E1119)</f>
        <v>1</v>
      </c>
    </row>
    <row r="1119" spans="1:10" x14ac:dyDescent="0.25">
      <c r="A1119" s="249">
        <v>45122</v>
      </c>
      <c r="B1119" s="237"/>
      <c r="C1119" s="238"/>
      <c r="D1119" s="239"/>
      <c r="E1119" s="237">
        <v>6860</v>
      </c>
      <c r="F1119" s="242" t="s">
        <v>46</v>
      </c>
      <c r="G1119" s="239" t="s">
        <v>928</v>
      </c>
      <c r="H1119" s="240">
        <f t="shared" si="17"/>
        <v>182788</v>
      </c>
      <c r="I1119" s="241" t="s">
        <v>796</v>
      </c>
      <c r="J1119" s="221" t="b">
        <f>EXACT(E1120,[1]Main!E1120)</f>
        <v>1</v>
      </c>
    </row>
    <row r="1120" spans="1:10" x14ac:dyDescent="0.25">
      <c r="A1120" s="249">
        <v>45122</v>
      </c>
      <c r="B1120" s="237"/>
      <c r="C1120" s="238"/>
      <c r="D1120" s="239"/>
      <c r="E1120" s="237">
        <f>615+62</f>
        <v>677</v>
      </c>
      <c r="F1120" s="242" t="s">
        <v>37</v>
      </c>
      <c r="G1120" s="239" t="s">
        <v>928</v>
      </c>
      <c r="H1120" s="240">
        <f t="shared" si="17"/>
        <v>182111</v>
      </c>
      <c r="I1120" s="241"/>
      <c r="J1120" s="221" t="b">
        <f>EXACT(E1121,[1]Main!E1121)</f>
        <v>1</v>
      </c>
    </row>
    <row r="1121" spans="1:10" x14ac:dyDescent="0.25">
      <c r="A1121" s="249">
        <v>45122</v>
      </c>
      <c r="B1121" s="237"/>
      <c r="C1121" s="238"/>
      <c r="D1121" s="239"/>
      <c r="E1121" s="237">
        <v>275</v>
      </c>
      <c r="F1121" s="242" t="s">
        <v>992</v>
      </c>
      <c r="G1121" s="239" t="s">
        <v>928</v>
      </c>
      <c r="H1121" s="240">
        <f t="shared" si="17"/>
        <v>181836</v>
      </c>
      <c r="I1121" s="241"/>
      <c r="J1121" s="221" t="b">
        <f>EXACT(E1122,[1]Main!E1122)</f>
        <v>1</v>
      </c>
    </row>
    <row r="1122" spans="1:10" x14ac:dyDescent="0.25">
      <c r="A1122" s="249">
        <v>45122</v>
      </c>
      <c r="B1122" s="237"/>
      <c r="C1122" s="238"/>
      <c r="D1122" s="239"/>
      <c r="E1122" s="237">
        <v>75</v>
      </c>
      <c r="F1122" s="242" t="s">
        <v>13</v>
      </c>
      <c r="G1122" s="239" t="s">
        <v>930</v>
      </c>
      <c r="H1122" s="240">
        <f t="shared" si="17"/>
        <v>181761</v>
      </c>
      <c r="I1122" s="241"/>
      <c r="J1122" s="221" t="b">
        <f>EXACT(E1123,[1]Main!E1123)</f>
        <v>1</v>
      </c>
    </row>
    <row r="1123" spans="1:10" x14ac:dyDescent="0.25">
      <c r="A1123" s="249">
        <v>45122</v>
      </c>
      <c r="B1123" s="237"/>
      <c r="C1123" s="238"/>
      <c r="D1123" s="239"/>
      <c r="E1123" s="237">
        <v>1210</v>
      </c>
      <c r="F1123" s="242" t="s">
        <v>793</v>
      </c>
      <c r="G1123" s="239" t="s">
        <v>928</v>
      </c>
      <c r="H1123" s="240">
        <f t="shared" si="17"/>
        <v>180551</v>
      </c>
      <c r="I1123" s="241" t="s">
        <v>51</v>
      </c>
      <c r="J1123" s="221" t="b">
        <f>EXACT(E1124,[1]Main!E1124)</f>
        <v>1</v>
      </c>
    </row>
    <row r="1124" spans="1:10" x14ac:dyDescent="0.25">
      <c r="A1124" s="249">
        <v>45122</v>
      </c>
      <c r="B1124" s="237"/>
      <c r="C1124" s="238"/>
      <c r="D1124" s="239"/>
      <c r="E1124" s="237">
        <v>2100</v>
      </c>
      <c r="F1124" s="242" t="s">
        <v>200</v>
      </c>
      <c r="G1124" s="239" t="s">
        <v>928</v>
      </c>
      <c r="H1124" s="240">
        <f t="shared" si="17"/>
        <v>178451</v>
      </c>
      <c r="I1124" s="241"/>
      <c r="J1124" s="221" t="b">
        <f>EXACT(E1125,[1]Main!E1125)</f>
        <v>1</v>
      </c>
    </row>
    <row r="1125" spans="1:10" x14ac:dyDescent="0.25">
      <c r="A1125" s="249">
        <v>45122</v>
      </c>
      <c r="B1125" s="237"/>
      <c r="C1125" s="238"/>
      <c r="D1125" s="239"/>
      <c r="E1125" s="237">
        <v>630</v>
      </c>
      <c r="F1125" s="242" t="s">
        <v>1340</v>
      </c>
      <c r="G1125" s="239" t="s">
        <v>928</v>
      </c>
      <c r="H1125" s="240">
        <f t="shared" si="17"/>
        <v>177821</v>
      </c>
      <c r="I1125" s="241" t="s">
        <v>796</v>
      </c>
      <c r="J1125" s="221" t="b">
        <f>EXACT(E1126,[1]Main!E1126)</f>
        <v>1</v>
      </c>
    </row>
    <row r="1126" spans="1:10" x14ac:dyDescent="0.25">
      <c r="A1126" s="249">
        <v>45122</v>
      </c>
      <c r="B1126" s="237"/>
      <c r="C1126" s="238"/>
      <c r="D1126" s="239"/>
      <c r="E1126" s="237">
        <v>295</v>
      </c>
      <c r="F1126" s="242" t="s">
        <v>27</v>
      </c>
      <c r="G1126" s="239" t="s">
        <v>943</v>
      </c>
      <c r="H1126" s="240">
        <f t="shared" si="17"/>
        <v>177526</v>
      </c>
      <c r="I1126" s="241"/>
      <c r="J1126" s="221" t="b">
        <f>EXACT(E1127,[1]Main!E1127)</f>
        <v>1</v>
      </c>
    </row>
    <row r="1127" spans="1:10" x14ac:dyDescent="0.25">
      <c r="A1127" s="249">
        <v>45122</v>
      </c>
      <c r="B1127" s="237"/>
      <c r="C1127" s="238"/>
      <c r="D1127" s="239"/>
      <c r="E1127" s="237">
        <v>30</v>
      </c>
      <c r="F1127" s="242" t="s">
        <v>996</v>
      </c>
      <c r="G1127" s="239" t="s">
        <v>930</v>
      </c>
      <c r="H1127" s="240">
        <f t="shared" si="17"/>
        <v>177496</v>
      </c>
      <c r="I1127" s="241"/>
      <c r="J1127" s="221" t="b">
        <f>EXACT(E1128,[1]Main!E1128)</f>
        <v>1</v>
      </c>
    </row>
    <row r="1128" spans="1:10" x14ac:dyDescent="0.25">
      <c r="A1128" s="249">
        <v>45122</v>
      </c>
      <c r="B1128" s="237"/>
      <c r="C1128" s="238"/>
      <c r="D1128" s="239"/>
      <c r="E1128" s="237">
        <v>7825</v>
      </c>
      <c r="F1128" s="242" t="s">
        <v>16</v>
      </c>
      <c r="G1128" s="239" t="s">
        <v>936</v>
      </c>
      <c r="H1128" s="240">
        <f t="shared" si="17"/>
        <v>169671</v>
      </c>
      <c r="I1128" s="241"/>
      <c r="J1128" s="221" t="b">
        <f>EXACT(E1129,[1]Main!E1129)</f>
        <v>1</v>
      </c>
    </row>
    <row r="1129" spans="1:10" x14ac:dyDescent="0.25">
      <c r="A1129" s="249">
        <v>45122</v>
      </c>
      <c r="B1129" s="237"/>
      <c r="C1129" s="238"/>
      <c r="D1129" s="239"/>
      <c r="E1129" s="237">
        <v>330</v>
      </c>
      <c r="F1129" s="242" t="s">
        <v>278</v>
      </c>
      <c r="G1129" s="239" t="s">
        <v>935</v>
      </c>
      <c r="H1129" s="240">
        <f t="shared" si="17"/>
        <v>169341</v>
      </c>
      <c r="I1129" s="241"/>
      <c r="J1129" s="221" t="b">
        <f>EXACT(E1130,[1]Main!E1130)</f>
        <v>1</v>
      </c>
    </row>
    <row r="1130" spans="1:10" x14ac:dyDescent="0.25">
      <c r="A1130" s="249">
        <v>45122</v>
      </c>
      <c r="B1130" s="237"/>
      <c r="C1130" s="238"/>
      <c r="D1130" s="239"/>
      <c r="E1130" s="237">
        <v>8645</v>
      </c>
      <c r="F1130" s="242" t="s">
        <v>997</v>
      </c>
      <c r="G1130" s="239" t="s">
        <v>928</v>
      </c>
      <c r="H1130" s="240">
        <f t="shared" si="17"/>
        <v>160696</v>
      </c>
      <c r="I1130" s="241"/>
      <c r="J1130" s="221" t="b">
        <f>EXACT(E1131,[1]Main!E1131)</f>
        <v>1</v>
      </c>
    </row>
    <row r="1131" spans="1:10" x14ac:dyDescent="0.25">
      <c r="A1131" s="249">
        <v>45122</v>
      </c>
      <c r="B1131" s="237"/>
      <c r="C1131" s="238"/>
      <c r="D1131" s="239"/>
      <c r="E1131" s="237">
        <v>700</v>
      </c>
      <c r="F1131" s="242" t="s">
        <v>27</v>
      </c>
      <c r="G1131" s="239" t="s">
        <v>943</v>
      </c>
      <c r="H1131" s="240">
        <f t="shared" si="17"/>
        <v>159996</v>
      </c>
      <c r="I1131" s="241"/>
      <c r="J1131" s="221" t="b">
        <f>EXACT(E1132,[1]Main!E1132)</f>
        <v>1</v>
      </c>
    </row>
    <row r="1132" spans="1:10" x14ac:dyDescent="0.25">
      <c r="A1132" s="249">
        <v>45122</v>
      </c>
      <c r="B1132" s="237"/>
      <c r="C1132" s="238"/>
      <c r="D1132" s="239"/>
      <c r="E1132" s="237">
        <v>14000</v>
      </c>
      <c r="F1132" s="242" t="s">
        <v>182</v>
      </c>
      <c r="G1132" s="239" t="s">
        <v>941</v>
      </c>
      <c r="H1132" s="240">
        <f t="shared" si="17"/>
        <v>145996</v>
      </c>
      <c r="I1132" s="241"/>
      <c r="J1132" s="221" t="b">
        <f>EXACT(E1133,[1]Main!E1133)</f>
        <v>1</v>
      </c>
    </row>
    <row r="1133" spans="1:10" x14ac:dyDescent="0.25">
      <c r="A1133" s="249">
        <v>45122</v>
      </c>
      <c r="B1133" s="237"/>
      <c r="C1133" s="238"/>
      <c r="D1133" s="239"/>
      <c r="E1133" s="237">
        <v>11761</v>
      </c>
      <c r="F1133" s="242" t="s">
        <v>998</v>
      </c>
      <c r="G1133" s="239" t="s">
        <v>928</v>
      </c>
      <c r="H1133" s="240">
        <f t="shared" si="17"/>
        <v>134235</v>
      </c>
      <c r="I1133" s="241" t="s">
        <v>796</v>
      </c>
      <c r="J1133" s="221" t="b">
        <f>EXACT(E1134,[1]Main!E1134)</f>
        <v>1</v>
      </c>
    </row>
    <row r="1134" spans="1:10" x14ac:dyDescent="0.25">
      <c r="A1134" s="249">
        <v>45122</v>
      </c>
      <c r="B1134" s="237"/>
      <c r="C1134" s="238"/>
      <c r="D1134" s="239"/>
      <c r="E1134" s="237">
        <v>1770</v>
      </c>
      <c r="F1134" s="242" t="s">
        <v>999</v>
      </c>
      <c r="G1134" s="239" t="s">
        <v>928</v>
      </c>
      <c r="H1134" s="240">
        <f t="shared" si="17"/>
        <v>132465</v>
      </c>
      <c r="I1134" s="241"/>
      <c r="J1134" s="221" t="b">
        <f>EXACT(E1135,[1]Main!E1135)</f>
        <v>1</v>
      </c>
    </row>
    <row r="1135" spans="1:10" x14ac:dyDescent="0.25">
      <c r="A1135" s="249">
        <v>45122</v>
      </c>
      <c r="B1135" s="237"/>
      <c r="C1135" s="238"/>
      <c r="D1135" s="239"/>
      <c r="E1135" s="237">
        <v>195</v>
      </c>
      <c r="F1135" s="242" t="s">
        <v>27</v>
      </c>
      <c r="G1135" s="239" t="s">
        <v>943</v>
      </c>
      <c r="H1135" s="240">
        <f t="shared" si="17"/>
        <v>132270</v>
      </c>
      <c r="I1135" s="241"/>
      <c r="J1135" s="221" t="b">
        <f>EXACT(E1136,[1]Main!E1136)</f>
        <v>1</v>
      </c>
    </row>
    <row r="1136" spans="1:10" x14ac:dyDescent="0.25">
      <c r="A1136" s="249">
        <v>45122</v>
      </c>
      <c r="B1136" s="237"/>
      <c r="C1136" s="238"/>
      <c r="D1136" s="239"/>
      <c r="E1136" s="237">
        <v>15100</v>
      </c>
      <c r="F1136" s="242" t="s">
        <v>665</v>
      </c>
      <c r="G1136" s="239" t="s">
        <v>928</v>
      </c>
      <c r="H1136" s="240">
        <f t="shared" si="17"/>
        <v>117170</v>
      </c>
      <c r="I1136" s="241"/>
      <c r="J1136" s="221" t="b">
        <f>EXACT(E1137,[1]Main!E1137)</f>
        <v>1</v>
      </c>
    </row>
    <row r="1137" spans="1:10" x14ac:dyDescent="0.25">
      <c r="A1137" s="249">
        <v>45122</v>
      </c>
      <c r="B1137" s="237"/>
      <c r="C1137" s="238"/>
      <c r="D1137" s="239"/>
      <c r="E1137" s="237">
        <v>350</v>
      </c>
      <c r="F1137" s="242" t="s">
        <v>1010</v>
      </c>
      <c r="G1137" s="239" t="s">
        <v>929</v>
      </c>
      <c r="H1137" s="240">
        <f t="shared" si="17"/>
        <v>116820</v>
      </c>
      <c r="I1137" s="241"/>
      <c r="J1137" s="221" t="b">
        <f>EXACT(E1138,[1]Main!E1138)</f>
        <v>1</v>
      </c>
    </row>
    <row r="1138" spans="1:10" x14ac:dyDescent="0.25">
      <c r="A1138" s="249">
        <v>45122</v>
      </c>
      <c r="B1138" s="237"/>
      <c r="C1138" s="238"/>
      <c r="D1138" s="239"/>
      <c r="E1138" s="237">
        <v>2000</v>
      </c>
      <c r="F1138" s="242" t="s">
        <v>1011</v>
      </c>
      <c r="G1138" s="239" t="s">
        <v>938</v>
      </c>
      <c r="H1138" s="240">
        <f t="shared" si="17"/>
        <v>114820</v>
      </c>
      <c r="I1138" s="241"/>
      <c r="J1138" s="221" t="b">
        <f>EXACT(E1139,[1]Main!E1139)</f>
        <v>1</v>
      </c>
    </row>
    <row r="1139" spans="1:10" x14ac:dyDescent="0.25">
      <c r="A1139" s="249">
        <v>45122</v>
      </c>
      <c r="B1139" s="237"/>
      <c r="C1139" s="238"/>
      <c r="D1139" s="239"/>
      <c r="E1139" s="237">
        <v>17</v>
      </c>
      <c r="F1139" s="242" t="s">
        <v>357</v>
      </c>
      <c r="G1139" s="239" t="s">
        <v>931</v>
      </c>
      <c r="H1139" s="240">
        <f t="shared" si="17"/>
        <v>114803</v>
      </c>
      <c r="I1139" s="241"/>
      <c r="J1139" s="221" t="b">
        <f>EXACT(E1140,[1]Main!E1140)</f>
        <v>1</v>
      </c>
    </row>
    <row r="1140" spans="1:10" x14ac:dyDescent="0.25">
      <c r="A1140" s="249">
        <v>45122</v>
      </c>
      <c r="B1140" s="237"/>
      <c r="C1140" s="238"/>
      <c r="D1140" s="239"/>
      <c r="E1140" s="237">
        <v>26</v>
      </c>
      <c r="F1140" s="242" t="s">
        <v>954</v>
      </c>
      <c r="G1140" s="239" t="s">
        <v>464</v>
      </c>
      <c r="H1140" s="240">
        <f t="shared" si="17"/>
        <v>114777</v>
      </c>
      <c r="I1140" s="241"/>
      <c r="J1140" s="221" t="b">
        <f>EXACT(E1141,[1]Main!E1141)</f>
        <v>1</v>
      </c>
    </row>
    <row r="1141" spans="1:10" x14ac:dyDescent="0.25">
      <c r="A1141" s="249">
        <v>45122</v>
      </c>
      <c r="B1141" s="237"/>
      <c r="C1141" s="238"/>
      <c r="D1141" s="239"/>
      <c r="E1141" s="237">
        <v>10</v>
      </c>
      <c r="F1141" s="242" t="s">
        <v>350</v>
      </c>
      <c r="G1141" s="239" t="s">
        <v>931</v>
      </c>
      <c r="H1141" s="240">
        <f t="shared" si="17"/>
        <v>114767</v>
      </c>
      <c r="I1141" s="241"/>
      <c r="J1141" s="221" t="b">
        <f>EXACT(E1142,[1]Main!E1142)</f>
        <v>1</v>
      </c>
    </row>
    <row r="1142" spans="1:10" x14ac:dyDescent="0.25">
      <c r="A1142" s="249">
        <v>45122</v>
      </c>
      <c r="B1142" s="237"/>
      <c r="C1142" s="238"/>
      <c r="D1142" s="239"/>
      <c r="E1142" s="237">
        <v>2500</v>
      </c>
      <c r="F1142" s="242" t="s">
        <v>785</v>
      </c>
      <c r="G1142" s="239" t="s">
        <v>928</v>
      </c>
      <c r="H1142" s="240">
        <f t="shared" si="17"/>
        <v>112267</v>
      </c>
      <c r="I1142" s="241"/>
      <c r="J1142" s="221" t="b">
        <f>EXACT(E1143,[1]Main!E1143)</f>
        <v>1</v>
      </c>
    </row>
    <row r="1143" spans="1:10" x14ac:dyDescent="0.25">
      <c r="A1143" s="249">
        <v>45122</v>
      </c>
      <c r="B1143" s="237"/>
      <c r="C1143" s="238"/>
      <c r="D1143" s="239"/>
      <c r="E1143" s="237">
        <v>100</v>
      </c>
      <c r="F1143" s="242" t="s">
        <v>29</v>
      </c>
      <c r="G1143" s="239" t="s">
        <v>930</v>
      </c>
      <c r="H1143" s="240">
        <f t="shared" si="17"/>
        <v>112167</v>
      </c>
      <c r="I1143" s="241"/>
      <c r="J1143" s="221" t="b">
        <f>EXACT(E1144,[1]Main!E1144)</f>
        <v>1</v>
      </c>
    </row>
    <row r="1144" spans="1:10" x14ac:dyDescent="0.25">
      <c r="A1144" s="249">
        <v>45122</v>
      </c>
      <c r="B1144" s="237"/>
      <c r="C1144" s="238"/>
      <c r="D1144" s="239"/>
      <c r="E1144" s="237">
        <v>95</v>
      </c>
      <c r="F1144" s="242" t="s">
        <v>494</v>
      </c>
      <c r="G1144" s="239" t="s">
        <v>930</v>
      </c>
      <c r="H1144" s="240">
        <f t="shared" si="17"/>
        <v>112072</v>
      </c>
      <c r="I1144" s="241"/>
      <c r="J1144" s="221" t="b">
        <f>EXACT(E1145,[1]Main!E1145)</f>
        <v>1</v>
      </c>
    </row>
    <row r="1145" spans="1:10" x14ac:dyDescent="0.25">
      <c r="A1145" s="249">
        <v>45122</v>
      </c>
      <c r="B1145" s="237"/>
      <c r="C1145" s="238"/>
      <c r="D1145" s="239"/>
      <c r="E1145" s="237">
        <v>150</v>
      </c>
      <c r="F1145" s="242" t="s">
        <v>708</v>
      </c>
      <c r="G1145" s="239" t="s">
        <v>930</v>
      </c>
      <c r="H1145" s="240">
        <f t="shared" si="17"/>
        <v>111922</v>
      </c>
      <c r="I1145" s="241"/>
      <c r="J1145" s="221" t="b">
        <f>EXACT(E1146,[1]Main!E1146)</f>
        <v>1</v>
      </c>
    </row>
    <row r="1146" spans="1:10" x14ac:dyDescent="0.25">
      <c r="A1146" s="249">
        <v>45122</v>
      </c>
      <c r="B1146" s="237"/>
      <c r="C1146" s="238"/>
      <c r="D1146" s="239"/>
      <c r="E1146" s="237">
        <v>27</v>
      </c>
      <c r="F1146" s="242" t="s">
        <v>458</v>
      </c>
      <c r="G1146" s="239" t="s">
        <v>464</v>
      </c>
      <c r="H1146" s="240">
        <f t="shared" si="17"/>
        <v>111895</v>
      </c>
      <c r="I1146" s="241"/>
      <c r="J1146" s="221" t="b">
        <f>EXACT(E1147,[1]Main!E1147)</f>
        <v>1</v>
      </c>
    </row>
    <row r="1147" spans="1:10" x14ac:dyDescent="0.25">
      <c r="A1147" s="249">
        <v>45122</v>
      </c>
      <c r="B1147" s="237"/>
      <c r="C1147" s="238"/>
      <c r="D1147" s="239"/>
      <c r="E1147" s="237">
        <v>800</v>
      </c>
      <c r="F1147" s="242" t="s">
        <v>1016</v>
      </c>
      <c r="G1147" s="239" t="s">
        <v>928</v>
      </c>
      <c r="H1147" s="240">
        <f t="shared" si="17"/>
        <v>111095</v>
      </c>
      <c r="I1147" s="241" t="s">
        <v>869</v>
      </c>
      <c r="J1147" s="221" t="b">
        <f>EXACT(E1148,[1]Main!E1148)</f>
        <v>1</v>
      </c>
    </row>
    <row r="1148" spans="1:10" x14ac:dyDescent="0.25">
      <c r="A1148" s="249">
        <v>45122</v>
      </c>
      <c r="B1148" s="237"/>
      <c r="C1148" s="238"/>
      <c r="D1148" s="239"/>
      <c r="E1148" s="237">
        <v>80</v>
      </c>
      <c r="F1148" s="242" t="s">
        <v>1004</v>
      </c>
      <c r="G1148" s="239" t="s">
        <v>928</v>
      </c>
      <c r="H1148" s="240">
        <f t="shared" si="17"/>
        <v>111015</v>
      </c>
      <c r="I1148" s="241"/>
      <c r="J1148" s="221" t="b">
        <f>EXACT(E1149,[1]Main!E1149)</f>
        <v>1</v>
      </c>
    </row>
    <row r="1149" spans="1:10" x14ac:dyDescent="0.25">
      <c r="A1149" s="249">
        <v>45122</v>
      </c>
      <c r="B1149" s="237"/>
      <c r="C1149" s="238"/>
      <c r="D1149" s="239"/>
      <c r="E1149" s="237">
        <v>210</v>
      </c>
      <c r="F1149" s="242" t="s">
        <v>799</v>
      </c>
      <c r="G1149" s="239" t="s">
        <v>930</v>
      </c>
      <c r="H1149" s="240">
        <f t="shared" si="17"/>
        <v>110805</v>
      </c>
      <c r="I1149" s="241"/>
      <c r="J1149" s="221" t="b">
        <f>EXACT(E1150,[1]Main!E1150)</f>
        <v>1</v>
      </c>
    </row>
    <row r="1150" spans="1:10" x14ac:dyDescent="0.25">
      <c r="A1150" s="249">
        <v>45122</v>
      </c>
      <c r="B1150" s="237"/>
      <c r="C1150" s="238"/>
      <c r="D1150" s="239"/>
      <c r="E1150" s="237">
        <v>280</v>
      </c>
      <c r="F1150" s="242" t="s">
        <v>1005</v>
      </c>
      <c r="G1150" s="239" t="s">
        <v>930</v>
      </c>
      <c r="H1150" s="240">
        <f t="shared" si="17"/>
        <v>110525</v>
      </c>
      <c r="I1150" s="241"/>
      <c r="J1150" s="221" t="b">
        <f>EXACT(E1151,[1]Main!E1151)</f>
        <v>1</v>
      </c>
    </row>
    <row r="1151" spans="1:10" x14ac:dyDescent="0.25">
      <c r="A1151" s="249">
        <v>45122</v>
      </c>
      <c r="B1151" s="237"/>
      <c r="C1151" s="238"/>
      <c r="D1151" s="239"/>
      <c r="E1151" s="237">
        <v>60</v>
      </c>
      <c r="F1151" s="242" t="s">
        <v>1006</v>
      </c>
      <c r="G1151" s="239" t="s">
        <v>930</v>
      </c>
      <c r="H1151" s="240">
        <f t="shared" si="17"/>
        <v>110465</v>
      </c>
      <c r="I1151" s="241"/>
      <c r="J1151" s="221" t="b">
        <f>EXACT(E1152,[1]Main!E1152)</f>
        <v>1</v>
      </c>
    </row>
    <row r="1152" spans="1:10" x14ac:dyDescent="0.25">
      <c r="A1152" s="249">
        <v>45122</v>
      </c>
      <c r="B1152" s="237"/>
      <c r="C1152" s="238"/>
      <c r="D1152" s="239"/>
      <c r="E1152" s="237">
        <v>60</v>
      </c>
      <c r="F1152" s="242" t="s">
        <v>797</v>
      </c>
      <c r="G1152" s="239" t="s">
        <v>930</v>
      </c>
      <c r="H1152" s="240">
        <f t="shared" si="17"/>
        <v>110405</v>
      </c>
      <c r="I1152" s="241"/>
      <c r="J1152" s="221" t="b">
        <f>EXACT(E1153,[1]Main!E1153)</f>
        <v>1</v>
      </c>
    </row>
    <row r="1153" spans="1:10" x14ac:dyDescent="0.25">
      <c r="A1153" s="249">
        <v>45122</v>
      </c>
      <c r="B1153" s="237"/>
      <c r="C1153" s="238"/>
      <c r="D1153" s="239"/>
      <c r="E1153" s="237">
        <v>210</v>
      </c>
      <c r="F1153" s="242" t="s">
        <v>1007</v>
      </c>
      <c r="G1153" s="239" t="s">
        <v>930</v>
      </c>
      <c r="H1153" s="240">
        <f t="shared" si="17"/>
        <v>110195</v>
      </c>
      <c r="I1153" s="241"/>
      <c r="J1153" s="221" t="b">
        <f>EXACT(E1154,[1]Main!E1154)</f>
        <v>1</v>
      </c>
    </row>
    <row r="1154" spans="1:10" x14ac:dyDescent="0.25">
      <c r="A1154" s="249">
        <v>45122</v>
      </c>
      <c r="B1154" s="237"/>
      <c r="C1154" s="238"/>
      <c r="D1154" s="239"/>
      <c r="E1154" s="237">
        <v>365</v>
      </c>
      <c r="F1154" s="242" t="s">
        <v>1008</v>
      </c>
      <c r="G1154" s="239" t="s">
        <v>935</v>
      </c>
      <c r="H1154" s="240">
        <f t="shared" si="17"/>
        <v>109830</v>
      </c>
      <c r="I1154" s="241"/>
      <c r="J1154" s="221" t="b">
        <f>EXACT(E1155,[1]Main!E1155)</f>
        <v>1</v>
      </c>
    </row>
    <row r="1155" spans="1:10" x14ac:dyDescent="0.25">
      <c r="A1155" s="249">
        <v>45122</v>
      </c>
      <c r="B1155" s="237"/>
      <c r="C1155" s="238"/>
      <c r="D1155" s="239"/>
      <c r="E1155" s="237">
        <v>2105</v>
      </c>
      <c r="F1155" s="242" t="s">
        <v>1003</v>
      </c>
      <c r="G1155" s="239" t="s">
        <v>928</v>
      </c>
      <c r="H1155" s="240">
        <f t="shared" si="17"/>
        <v>107725</v>
      </c>
      <c r="I1155" s="241"/>
      <c r="J1155" s="221" t="b">
        <f>EXACT(E1156,[1]Main!E1156)</f>
        <v>1</v>
      </c>
    </row>
    <row r="1156" spans="1:10" x14ac:dyDescent="0.25">
      <c r="A1156" s="249">
        <v>45122</v>
      </c>
      <c r="B1156" s="237"/>
      <c r="C1156" s="238"/>
      <c r="D1156" s="239"/>
      <c r="E1156" s="237">
        <v>860</v>
      </c>
      <c r="F1156" s="242" t="s">
        <v>37</v>
      </c>
      <c r="G1156" s="239" t="s">
        <v>928</v>
      </c>
      <c r="H1156" s="240">
        <f t="shared" si="17"/>
        <v>106865</v>
      </c>
      <c r="I1156" s="241"/>
      <c r="J1156" s="221" t="b">
        <f>EXACT(E1157,[1]Main!E1157)</f>
        <v>1</v>
      </c>
    </row>
    <row r="1157" spans="1:10" x14ac:dyDescent="0.25">
      <c r="A1157" s="249">
        <v>45122</v>
      </c>
      <c r="B1157" s="237"/>
      <c r="C1157" s="238"/>
      <c r="D1157" s="239"/>
      <c r="E1157" s="237">
        <v>90</v>
      </c>
      <c r="F1157" s="242" t="s">
        <v>1009</v>
      </c>
      <c r="G1157" s="239" t="s">
        <v>935</v>
      </c>
      <c r="H1157" s="240">
        <f t="shared" si="17"/>
        <v>106775</v>
      </c>
      <c r="I1157" s="241"/>
      <c r="J1157" s="221" t="b">
        <f>EXACT(E1158,[1]Main!E1158)</f>
        <v>1</v>
      </c>
    </row>
    <row r="1158" spans="1:10" x14ac:dyDescent="0.25">
      <c r="A1158" s="249">
        <v>45122</v>
      </c>
      <c r="B1158" s="237"/>
      <c r="C1158" s="238"/>
      <c r="D1158" s="239"/>
      <c r="E1158" s="237">
        <v>2064</v>
      </c>
      <c r="F1158" s="242" t="s">
        <v>45</v>
      </c>
      <c r="G1158" s="239" t="s">
        <v>928</v>
      </c>
      <c r="H1158" s="240">
        <f t="shared" si="17"/>
        <v>104711</v>
      </c>
      <c r="I1158" s="241"/>
      <c r="J1158" s="221" t="b">
        <f>EXACT(E1159,[1]Main!E1159)</f>
        <v>1</v>
      </c>
    </row>
    <row r="1159" spans="1:10" x14ac:dyDescent="0.25">
      <c r="A1159" s="249">
        <v>45122</v>
      </c>
      <c r="B1159" s="237"/>
      <c r="C1159" s="238"/>
      <c r="D1159" s="239"/>
      <c r="E1159" s="237">
        <v>80</v>
      </c>
      <c r="F1159" s="242" t="s">
        <v>302</v>
      </c>
      <c r="G1159" s="239" t="s">
        <v>928</v>
      </c>
      <c r="H1159" s="240">
        <f t="shared" ref="H1159:H1222" si="18">H1158+B1159-E1159</f>
        <v>104631</v>
      </c>
      <c r="I1159" s="241"/>
      <c r="J1159" s="221" t="b">
        <f>EXACT(E1160,[1]Main!E1160)</f>
        <v>1</v>
      </c>
    </row>
    <row r="1160" spans="1:10" x14ac:dyDescent="0.25">
      <c r="A1160" s="249">
        <v>45122</v>
      </c>
      <c r="B1160" s="237"/>
      <c r="C1160" s="238"/>
      <c r="D1160" s="239"/>
      <c r="E1160" s="237">
        <v>6705</v>
      </c>
      <c r="F1160" s="242" t="s">
        <v>53</v>
      </c>
      <c r="G1160" s="239" t="s">
        <v>928</v>
      </c>
      <c r="H1160" s="240">
        <f t="shared" si="18"/>
        <v>97926</v>
      </c>
      <c r="I1160" s="241"/>
      <c r="J1160" s="221" t="b">
        <f>EXACT(E1161,[1]Main!E1161)</f>
        <v>1</v>
      </c>
    </row>
    <row r="1161" spans="1:10" x14ac:dyDescent="0.25">
      <c r="A1161" s="249">
        <v>45122</v>
      </c>
      <c r="B1161" s="237"/>
      <c r="C1161" s="238"/>
      <c r="D1161" s="239"/>
      <c r="E1161" s="237">
        <v>1610</v>
      </c>
      <c r="F1161" s="242" t="s">
        <v>1000</v>
      </c>
      <c r="G1161" s="239" t="s">
        <v>928</v>
      </c>
      <c r="H1161" s="240">
        <f t="shared" si="18"/>
        <v>96316</v>
      </c>
      <c r="I1161" s="241"/>
      <c r="J1161" s="221" t="b">
        <f>EXACT(E1162,[1]Main!E1162)</f>
        <v>1</v>
      </c>
    </row>
    <row r="1162" spans="1:10" x14ac:dyDescent="0.25">
      <c r="A1162" s="249">
        <v>45122</v>
      </c>
      <c r="B1162" s="237"/>
      <c r="C1162" s="238"/>
      <c r="D1162" s="239"/>
      <c r="E1162" s="237">
        <v>725</v>
      </c>
      <c r="F1162" s="242" t="s">
        <v>1002</v>
      </c>
      <c r="G1162" s="239" t="s">
        <v>928</v>
      </c>
      <c r="H1162" s="240">
        <f t="shared" si="18"/>
        <v>95591</v>
      </c>
      <c r="I1162" s="241"/>
      <c r="J1162" s="221" t="b">
        <f>EXACT(E1163,[1]Main!E1163)</f>
        <v>1</v>
      </c>
    </row>
    <row r="1163" spans="1:10" x14ac:dyDescent="0.25">
      <c r="A1163" s="249">
        <v>45122</v>
      </c>
      <c r="B1163" s="237"/>
      <c r="C1163" s="238"/>
      <c r="D1163" s="239"/>
      <c r="E1163" s="237">
        <v>835</v>
      </c>
      <c r="F1163" s="242" t="s">
        <v>1001</v>
      </c>
      <c r="G1163" s="239" t="s">
        <v>928</v>
      </c>
      <c r="H1163" s="240">
        <f t="shared" si="18"/>
        <v>94756</v>
      </c>
      <c r="I1163" s="241"/>
      <c r="J1163" s="221" t="b">
        <f>EXACT(E1164,[1]Main!E1164)</f>
        <v>1</v>
      </c>
    </row>
    <row r="1164" spans="1:10" x14ac:dyDescent="0.25">
      <c r="A1164" s="249">
        <v>45122</v>
      </c>
      <c r="B1164" s="237"/>
      <c r="C1164" s="238"/>
      <c r="D1164" s="239"/>
      <c r="E1164" s="237">
        <v>220</v>
      </c>
      <c r="F1164" s="242" t="s">
        <v>7</v>
      </c>
      <c r="G1164" s="239" t="s">
        <v>930</v>
      </c>
      <c r="H1164" s="240">
        <f t="shared" si="18"/>
        <v>94536</v>
      </c>
      <c r="I1164" s="241"/>
      <c r="J1164" s="221" t="b">
        <f>EXACT(E1165,[1]Main!E1165)</f>
        <v>1</v>
      </c>
    </row>
    <row r="1165" spans="1:10" x14ac:dyDescent="0.25">
      <c r="A1165" s="249">
        <v>45122</v>
      </c>
      <c r="B1165" s="237"/>
      <c r="C1165" s="238"/>
      <c r="D1165" s="239"/>
      <c r="E1165" s="237">
        <v>1565</v>
      </c>
      <c r="F1165" s="242" t="s">
        <v>14</v>
      </c>
      <c r="G1165" s="239" t="s">
        <v>935</v>
      </c>
      <c r="H1165" s="240">
        <f t="shared" si="18"/>
        <v>92971</v>
      </c>
      <c r="I1165" s="241"/>
      <c r="J1165" s="221" t="b">
        <f>EXACT(E1166,[1]Main!E1166)</f>
        <v>1</v>
      </c>
    </row>
    <row r="1166" spans="1:10" x14ac:dyDescent="0.25">
      <c r="A1166" s="249">
        <v>45122</v>
      </c>
      <c r="B1166" s="237"/>
      <c r="C1166" s="238"/>
      <c r="D1166" s="239"/>
      <c r="E1166" s="237">
        <v>11525</v>
      </c>
      <c r="F1166" s="242" t="s">
        <v>1015</v>
      </c>
      <c r="G1166" s="239" t="s">
        <v>928</v>
      </c>
      <c r="H1166" s="240">
        <f t="shared" si="18"/>
        <v>81446</v>
      </c>
      <c r="I1166" s="241"/>
      <c r="J1166" s="221" t="b">
        <f>EXACT(E1167,[1]Main!E1167)</f>
        <v>1</v>
      </c>
    </row>
    <row r="1167" spans="1:10" x14ac:dyDescent="0.25">
      <c r="A1167" s="249">
        <v>45122</v>
      </c>
      <c r="B1167" s="237"/>
      <c r="C1167" s="238"/>
      <c r="D1167" s="239"/>
      <c r="E1167" s="237">
        <v>210</v>
      </c>
      <c r="F1167" s="242" t="s">
        <v>7</v>
      </c>
      <c r="G1167" s="239" t="s">
        <v>930</v>
      </c>
      <c r="H1167" s="240">
        <f t="shared" si="18"/>
        <v>81236</v>
      </c>
      <c r="I1167" s="241"/>
      <c r="J1167" s="221" t="b">
        <f>EXACT(E1168,[1]Main!E1168)</f>
        <v>1</v>
      </c>
    </row>
    <row r="1168" spans="1:10" x14ac:dyDescent="0.25">
      <c r="A1168" s="249">
        <v>45122</v>
      </c>
      <c r="B1168" s="237"/>
      <c r="C1168" s="238"/>
      <c r="D1168" s="239"/>
      <c r="E1168" s="237">
        <v>1007</v>
      </c>
      <c r="F1168" s="242" t="s">
        <v>1017</v>
      </c>
      <c r="G1168" s="239" t="s">
        <v>928</v>
      </c>
      <c r="H1168" s="240">
        <f t="shared" si="18"/>
        <v>80229</v>
      </c>
      <c r="I1168" s="241"/>
      <c r="J1168" s="221" t="b">
        <f>EXACT(E1169,[1]Main!E1169)</f>
        <v>1</v>
      </c>
    </row>
    <row r="1169" spans="1:11" x14ac:dyDescent="0.25">
      <c r="A1169" s="249">
        <v>45122</v>
      </c>
      <c r="B1169" s="237"/>
      <c r="C1169" s="238"/>
      <c r="D1169" s="239"/>
      <c r="E1169" s="237">
        <v>4095</v>
      </c>
      <c r="F1169" s="242" t="s">
        <v>881</v>
      </c>
      <c r="G1169" s="239" t="s">
        <v>928</v>
      </c>
      <c r="H1169" s="240">
        <f t="shared" si="18"/>
        <v>76134</v>
      </c>
      <c r="I1169" s="241" t="s">
        <v>1019</v>
      </c>
      <c r="J1169" s="221" t="b">
        <f>EXACT(E1170,[1]Main!E1170)</f>
        <v>1</v>
      </c>
    </row>
    <row r="1170" spans="1:11" x14ac:dyDescent="0.25">
      <c r="A1170" s="249">
        <v>45122</v>
      </c>
      <c r="B1170" s="237"/>
      <c r="C1170" s="238"/>
      <c r="D1170" s="239"/>
      <c r="E1170" s="237">
        <v>75</v>
      </c>
      <c r="F1170" s="242" t="s">
        <v>26</v>
      </c>
      <c r="G1170" s="239" t="s">
        <v>930</v>
      </c>
      <c r="H1170" s="240">
        <f t="shared" si="18"/>
        <v>76059</v>
      </c>
      <c r="I1170" s="241"/>
      <c r="J1170" s="221" t="b">
        <f>EXACT(E1171,[1]Main!E1171)</f>
        <v>1</v>
      </c>
    </row>
    <row r="1171" spans="1:11" x14ac:dyDescent="0.25">
      <c r="A1171" s="249">
        <v>45122</v>
      </c>
      <c r="B1171" s="237"/>
      <c r="C1171" s="238"/>
      <c r="D1171" s="239"/>
      <c r="E1171" s="237">
        <v>210</v>
      </c>
      <c r="F1171" s="242" t="s">
        <v>1021</v>
      </c>
      <c r="G1171" s="239" t="s">
        <v>930</v>
      </c>
      <c r="H1171" s="240">
        <f t="shared" si="18"/>
        <v>75849</v>
      </c>
      <c r="I1171" s="241"/>
      <c r="J1171" s="221" t="b">
        <f>EXACT(E1172,[1]Main!E1172)</f>
        <v>1</v>
      </c>
    </row>
    <row r="1172" spans="1:11" x14ac:dyDescent="0.25">
      <c r="A1172" s="249">
        <v>45122</v>
      </c>
      <c r="B1172" s="237"/>
      <c r="C1172" s="238"/>
      <c r="D1172" s="239"/>
      <c r="E1172" s="237">
        <v>145</v>
      </c>
      <c r="F1172" s="242" t="s">
        <v>552</v>
      </c>
      <c r="G1172" s="239" t="s">
        <v>930</v>
      </c>
      <c r="H1172" s="240">
        <f t="shared" si="18"/>
        <v>75704</v>
      </c>
      <c r="I1172" s="241"/>
      <c r="J1172" s="221" t="b">
        <f>EXACT(E1173,[1]Main!E1173)</f>
        <v>1</v>
      </c>
    </row>
    <row r="1173" spans="1:11" x14ac:dyDescent="0.25">
      <c r="A1173" s="249">
        <v>45122</v>
      </c>
      <c r="B1173" s="237"/>
      <c r="C1173" s="238"/>
      <c r="D1173" s="239"/>
      <c r="E1173" s="237">
        <v>170</v>
      </c>
      <c r="F1173" s="242" t="s">
        <v>498</v>
      </c>
      <c r="G1173" s="239" t="s">
        <v>930</v>
      </c>
      <c r="H1173" s="240">
        <f t="shared" si="18"/>
        <v>75534</v>
      </c>
      <c r="I1173" s="241"/>
      <c r="J1173" s="221" t="b">
        <f>EXACT(E1174,[1]Main!E1174)</f>
        <v>1</v>
      </c>
    </row>
    <row r="1174" spans="1:11" x14ac:dyDescent="0.25">
      <c r="A1174" s="249">
        <v>45122</v>
      </c>
      <c r="B1174" s="237"/>
      <c r="C1174" s="238"/>
      <c r="D1174" s="239"/>
      <c r="E1174" s="237">
        <v>171</v>
      </c>
      <c r="F1174" s="242" t="s">
        <v>86</v>
      </c>
      <c r="G1174" s="239" t="s">
        <v>930</v>
      </c>
      <c r="H1174" s="240">
        <f t="shared" si="18"/>
        <v>75363</v>
      </c>
      <c r="I1174" s="241"/>
      <c r="J1174" s="221" t="b">
        <f>EXACT(E1175,[1]Main!E1175)</f>
        <v>1</v>
      </c>
    </row>
    <row r="1175" spans="1:11" x14ac:dyDescent="0.25">
      <c r="A1175" s="249">
        <v>45122</v>
      </c>
      <c r="B1175" s="237"/>
      <c r="C1175" s="238"/>
      <c r="D1175" s="239"/>
      <c r="E1175" s="237">
        <v>90</v>
      </c>
      <c r="F1175" s="242" t="s">
        <v>510</v>
      </c>
      <c r="G1175" s="239" t="s">
        <v>930</v>
      </c>
      <c r="H1175" s="240">
        <f t="shared" si="18"/>
        <v>75273</v>
      </c>
      <c r="I1175" s="241"/>
      <c r="J1175" s="221" t="b">
        <f>EXACT(E1176,[1]Main!E1176)</f>
        <v>1</v>
      </c>
    </row>
    <row r="1176" spans="1:11" x14ac:dyDescent="0.25">
      <c r="A1176" s="249">
        <v>45122</v>
      </c>
      <c r="B1176" s="237"/>
      <c r="C1176" s="238"/>
      <c r="D1176" s="239"/>
      <c r="E1176" s="237">
        <v>3546</v>
      </c>
      <c r="F1176" s="242" t="s">
        <v>1022</v>
      </c>
      <c r="G1176" s="239" t="s">
        <v>928</v>
      </c>
      <c r="H1176" s="240">
        <f t="shared" si="18"/>
        <v>71727</v>
      </c>
      <c r="I1176" s="241"/>
      <c r="J1176" s="221" t="b">
        <f>EXACT(E1177,[1]Main!E1177)</f>
        <v>1</v>
      </c>
    </row>
    <row r="1177" spans="1:11" x14ac:dyDescent="0.25">
      <c r="A1177" s="249">
        <v>45122</v>
      </c>
      <c r="B1177" s="237"/>
      <c r="C1177" s="238"/>
      <c r="D1177" s="239"/>
      <c r="E1177" s="237">
        <v>30</v>
      </c>
      <c r="F1177" s="242" t="s">
        <v>954</v>
      </c>
      <c r="G1177" s="239" t="s">
        <v>464</v>
      </c>
      <c r="H1177" s="240">
        <f t="shared" si="18"/>
        <v>71697</v>
      </c>
      <c r="I1177" s="241"/>
      <c r="J1177" s="221" t="b">
        <f>EXACT(E1178,[1]Main!E1178)</f>
        <v>1</v>
      </c>
    </row>
    <row r="1178" spans="1:11" s="306" customFormat="1" x14ac:dyDescent="0.25">
      <c r="A1178" s="299">
        <v>45122</v>
      </c>
      <c r="B1178" s="300"/>
      <c r="C1178" s="301"/>
      <c r="D1178" s="302"/>
      <c r="E1178" s="300">
        <v>140</v>
      </c>
      <c r="F1178" s="303" t="s">
        <v>376</v>
      </c>
      <c r="G1178" s="239" t="s">
        <v>930</v>
      </c>
      <c r="H1178" s="240">
        <f t="shared" si="18"/>
        <v>71557</v>
      </c>
      <c r="I1178" s="304"/>
      <c r="J1178" s="221" t="b">
        <f>EXACT(E1179,[1]Main!E1179)</f>
        <v>1</v>
      </c>
      <c r="K1178" s="305"/>
    </row>
    <row r="1179" spans="1:11" x14ac:dyDescent="0.25">
      <c r="A1179" s="249">
        <v>45123</v>
      </c>
      <c r="B1179" s="237">
        <v>15323</v>
      </c>
      <c r="C1179" s="238" t="s">
        <v>300</v>
      </c>
      <c r="D1179" s="239" t="s">
        <v>763</v>
      </c>
      <c r="E1179" s="237">
        <v>4745</v>
      </c>
      <c r="F1179" s="242" t="s">
        <v>1023</v>
      </c>
      <c r="G1179" s="239" t="s">
        <v>928</v>
      </c>
      <c r="H1179" s="240">
        <f t="shared" si="18"/>
        <v>82135</v>
      </c>
      <c r="I1179" s="241"/>
      <c r="J1179" s="221" t="b">
        <f>EXACT(E1180,[1]Main!E1180)</f>
        <v>1</v>
      </c>
    </row>
    <row r="1180" spans="1:11" x14ac:dyDescent="0.25">
      <c r="A1180" s="249">
        <v>45123</v>
      </c>
      <c r="B1180" s="237">
        <v>1534</v>
      </c>
      <c r="C1180" s="238" t="s">
        <v>989</v>
      </c>
      <c r="D1180" s="239" t="s">
        <v>765</v>
      </c>
      <c r="E1180" s="237">
        <v>3015</v>
      </c>
      <c r="F1180" s="242" t="s">
        <v>61</v>
      </c>
      <c r="G1180" s="239" t="s">
        <v>928</v>
      </c>
      <c r="H1180" s="240">
        <f t="shared" si="18"/>
        <v>80654</v>
      </c>
      <c r="I1180" s="241" t="s">
        <v>796</v>
      </c>
      <c r="J1180" s="221" t="b">
        <f>EXACT(E1181,[1]Main!E1181)</f>
        <v>1</v>
      </c>
    </row>
    <row r="1181" spans="1:11" x14ac:dyDescent="0.25">
      <c r="A1181" s="249">
        <v>45123</v>
      </c>
      <c r="B1181" s="237">
        <v>3325</v>
      </c>
      <c r="C1181" s="238" t="s">
        <v>1031</v>
      </c>
      <c r="D1181" s="239" t="s">
        <v>763</v>
      </c>
      <c r="E1181" s="237">
        <v>950</v>
      </c>
      <c r="F1181" s="242" t="s">
        <v>1026</v>
      </c>
      <c r="G1181" s="239" t="s">
        <v>928</v>
      </c>
      <c r="H1181" s="240">
        <f t="shared" si="18"/>
        <v>83029</v>
      </c>
      <c r="I1181" s="241" t="s">
        <v>869</v>
      </c>
      <c r="J1181" s="221" t="b">
        <f>EXACT(E1182,[1]Main!E1182)</f>
        <v>1</v>
      </c>
    </row>
    <row r="1182" spans="1:11" x14ac:dyDescent="0.25">
      <c r="A1182" s="249">
        <v>45123</v>
      </c>
      <c r="B1182" s="237">
        <v>13095</v>
      </c>
      <c r="C1182" s="238" t="s">
        <v>80</v>
      </c>
      <c r="D1182" s="239" t="s">
        <v>763</v>
      </c>
      <c r="E1182" s="237">
        <v>200</v>
      </c>
      <c r="F1182" s="242" t="s">
        <v>27</v>
      </c>
      <c r="G1182" s="239" t="s">
        <v>943</v>
      </c>
      <c r="H1182" s="240">
        <f t="shared" si="18"/>
        <v>95924</v>
      </c>
      <c r="I1182" s="241"/>
      <c r="J1182" s="221" t="b">
        <f>EXACT(E1183,[1]Main!E1183)</f>
        <v>1</v>
      </c>
    </row>
    <row r="1183" spans="1:11" x14ac:dyDescent="0.25">
      <c r="A1183" s="249">
        <v>45123</v>
      </c>
      <c r="B1183" s="237">
        <v>320</v>
      </c>
      <c r="C1183" s="238" t="s">
        <v>979</v>
      </c>
      <c r="D1183" s="239" t="s">
        <v>765</v>
      </c>
      <c r="E1183" s="237">
        <v>20</v>
      </c>
      <c r="F1183" s="242" t="s">
        <v>471</v>
      </c>
      <c r="G1183" s="239" t="s">
        <v>464</v>
      </c>
      <c r="H1183" s="240">
        <f t="shared" si="18"/>
        <v>96224</v>
      </c>
      <c r="I1183" s="241"/>
      <c r="J1183" s="221" t="b">
        <f>EXACT(E1184,[1]Main!E1184)</f>
        <v>1</v>
      </c>
    </row>
    <row r="1184" spans="1:11" x14ac:dyDescent="0.25">
      <c r="A1184" s="249">
        <v>45123</v>
      </c>
      <c r="B1184" s="237">
        <v>200</v>
      </c>
      <c r="C1184" s="238" t="s">
        <v>1037</v>
      </c>
      <c r="D1184" s="239" t="s">
        <v>931</v>
      </c>
      <c r="E1184" s="237">
        <v>870</v>
      </c>
      <c r="F1184" s="242" t="s">
        <v>331</v>
      </c>
      <c r="G1184" s="239" t="s">
        <v>929</v>
      </c>
      <c r="H1184" s="240">
        <f t="shared" si="18"/>
        <v>95554</v>
      </c>
      <c r="I1184" s="241"/>
      <c r="J1184" s="221" t="b">
        <f>EXACT(E1185,[1]Main!E1185)</f>
        <v>1</v>
      </c>
    </row>
    <row r="1185" spans="1:10" x14ac:dyDescent="0.25">
      <c r="A1185" s="249">
        <v>45123</v>
      </c>
      <c r="B1185" s="237">
        <v>775</v>
      </c>
      <c r="C1185" s="238" t="s">
        <v>27</v>
      </c>
      <c r="D1185" s="239" t="s">
        <v>772</v>
      </c>
      <c r="E1185" s="237">
        <v>1690</v>
      </c>
      <c r="F1185" s="242" t="s">
        <v>793</v>
      </c>
      <c r="G1185" s="239" t="s">
        <v>928</v>
      </c>
      <c r="H1185" s="240">
        <f t="shared" si="18"/>
        <v>94639</v>
      </c>
      <c r="I1185" s="241" t="s">
        <v>51</v>
      </c>
      <c r="J1185" s="221" t="b">
        <f>EXACT(E1186,[1]Main!E1186)</f>
        <v>1</v>
      </c>
    </row>
    <row r="1186" spans="1:10" x14ac:dyDescent="0.25">
      <c r="A1186" s="249">
        <v>45123</v>
      </c>
      <c r="B1186" s="237">
        <v>1030</v>
      </c>
      <c r="C1186" s="238" t="s">
        <v>27</v>
      </c>
      <c r="D1186" s="239" t="s">
        <v>772</v>
      </c>
      <c r="E1186" s="237">
        <v>1200</v>
      </c>
      <c r="F1186" s="242" t="s">
        <v>1030</v>
      </c>
      <c r="G1186" s="239" t="s">
        <v>928</v>
      </c>
      <c r="H1186" s="240">
        <f t="shared" si="18"/>
        <v>94469</v>
      </c>
      <c r="I1186" s="241"/>
      <c r="J1186" s="221" t="b">
        <f>EXACT(E1187,[1]Main!E1187)</f>
        <v>1</v>
      </c>
    </row>
    <row r="1187" spans="1:10" x14ac:dyDescent="0.25">
      <c r="A1187" s="249">
        <v>45123</v>
      </c>
      <c r="B1187" s="237">
        <v>2020</v>
      </c>
      <c r="C1187" s="238" t="s">
        <v>27</v>
      </c>
      <c r="D1187" s="239" t="s">
        <v>772</v>
      </c>
      <c r="E1187" s="237">
        <v>5315</v>
      </c>
      <c r="F1187" s="242" t="s">
        <v>47</v>
      </c>
      <c r="G1187" s="239" t="s">
        <v>928</v>
      </c>
      <c r="H1187" s="240">
        <f t="shared" si="18"/>
        <v>91174</v>
      </c>
      <c r="I1187" s="241"/>
      <c r="J1187" s="221" t="b">
        <f>EXACT(E1188,[1]Main!E1188)</f>
        <v>1</v>
      </c>
    </row>
    <row r="1188" spans="1:10" x14ac:dyDescent="0.25">
      <c r="A1188" s="249">
        <v>45123</v>
      </c>
      <c r="B1188" s="237">
        <v>23340</v>
      </c>
      <c r="C1188" s="238" t="s">
        <v>363</v>
      </c>
      <c r="D1188" s="239" t="s">
        <v>763</v>
      </c>
      <c r="E1188" s="237">
        <v>180</v>
      </c>
      <c r="F1188" s="242" t="s">
        <v>399</v>
      </c>
      <c r="G1188" s="239" t="s">
        <v>930</v>
      </c>
      <c r="H1188" s="240">
        <f t="shared" si="18"/>
        <v>114334</v>
      </c>
      <c r="I1188" s="241"/>
      <c r="J1188" s="221" t="b">
        <f>EXACT(E1189,[1]Main!E1189)</f>
        <v>1</v>
      </c>
    </row>
    <row r="1189" spans="1:10" x14ac:dyDescent="0.25">
      <c r="A1189" s="249">
        <v>45123</v>
      </c>
      <c r="B1189" s="237">
        <v>1560</v>
      </c>
      <c r="C1189" s="238" t="s">
        <v>913</v>
      </c>
      <c r="D1189" s="239" t="s">
        <v>765</v>
      </c>
      <c r="E1189" s="237">
        <v>115</v>
      </c>
      <c r="F1189" s="242" t="s">
        <v>393</v>
      </c>
      <c r="G1189" s="239" t="s">
        <v>930</v>
      </c>
      <c r="H1189" s="240">
        <f t="shared" si="18"/>
        <v>115779</v>
      </c>
      <c r="I1189" s="241"/>
      <c r="J1189" s="221" t="b">
        <f>EXACT(E1190,[1]Main!E1190)</f>
        <v>1</v>
      </c>
    </row>
    <row r="1190" spans="1:10" x14ac:dyDescent="0.25">
      <c r="A1190" s="249">
        <v>45123</v>
      </c>
      <c r="B1190" s="237">
        <v>4513</v>
      </c>
      <c r="C1190" s="238" t="s">
        <v>60</v>
      </c>
      <c r="D1190" s="239" t="s">
        <v>763</v>
      </c>
      <c r="E1190" s="237">
        <v>105</v>
      </c>
      <c r="F1190" s="242" t="s">
        <v>19</v>
      </c>
      <c r="G1190" s="239" t="s">
        <v>930</v>
      </c>
      <c r="H1190" s="240">
        <f t="shared" si="18"/>
        <v>120187</v>
      </c>
      <c r="I1190" s="241"/>
      <c r="J1190" s="221" t="b">
        <f>EXACT(E1191,[1]Main!E1191)</f>
        <v>1</v>
      </c>
    </row>
    <row r="1191" spans="1:10" x14ac:dyDescent="0.25">
      <c r="A1191" s="249">
        <v>45123</v>
      </c>
      <c r="B1191" s="237">
        <v>355</v>
      </c>
      <c r="C1191" s="238" t="s">
        <v>27</v>
      </c>
      <c r="D1191" s="239" t="s">
        <v>772</v>
      </c>
      <c r="E1191" s="237">
        <v>250</v>
      </c>
      <c r="F1191" s="242" t="s">
        <v>8</v>
      </c>
      <c r="G1191" s="239" t="s">
        <v>930</v>
      </c>
      <c r="H1191" s="240">
        <f t="shared" si="18"/>
        <v>120292</v>
      </c>
      <c r="I1191" s="241"/>
      <c r="J1191" s="221" t="b">
        <f>EXACT(E1192,[1]Main!E1192)</f>
        <v>1</v>
      </c>
    </row>
    <row r="1192" spans="1:10" x14ac:dyDescent="0.25">
      <c r="A1192" s="249">
        <v>45123</v>
      </c>
      <c r="B1192" s="237">
        <v>100</v>
      </c>
      <c r="C1192" s="238" t="s">
        <v>1061</v>
      </c>
      <c r="D1192" s="239" t="s">
        <v>931</v>
      </c>
      <c r="E1192" s="237">
        <v>575</v>
      </c>
      <c r="F1192" s="242" t="s">
        <v>11</v>
      </c>
      <c r="G1192" s="239" t="s">
        <v>935</v>
      </c>
      <c r="H1192" s="240">
        <f t="shared" si="18"/>
        <v>119817</v>
      </c>
      <c r="I1192" s="241"/>
      <c r="J1192" s="221" t="b">
        <f>EXACT(E1193,[1]Main!E1193)</f>
        <v>1</v>
      </c>
    </row>
    <row r="1193" spans="1:10" x14ac:dyDescent="0.25">
      <c r="A1193" s="249">
        <v>45123</v>
      </c>
      <c r="B1193" s="237">
        <v>16507</v>
      </c>
      <c r="C1193" s="238" t="s">
        <v>88</v>
      </c>
      <c r="D1193" s="239" t="s">
        <v>766</v>
      </c>
      <c r="E1193" s="237">
        <v>605</v>
      </c>
      <c r="F1193" s="242" t="s">
        <v>656</v>
      </c>
      <c r="G1193" s="239" t="s">
        <v>928</v>
      </c>
      <c r="H1193" s="240">
        <f t="shared" si="18"/>
        <v>135719</v>
      </c>
      <c r="I1193" s="241"/>
      <c r="J1193" s="221" t="b">
        <f>EXACT(E1194,[1]Main!E1194)</f>
        <v>1</v>
      </c>
    </row>
    <row r="1194" spans="1:10" x14ac:dyDescent="0.25">
      <c r="A1194" s="249">
        <v>45123</v>
      </c>
      <c r="B1194" s="237">
        <v>260</v>
      </c>
      <c r="C1194" s="238" t="s">
        <v>1062</v>
      </c>
      <c r="D1194" s="239" t="s">
        <v>768</v>
      </c>
      <c r="E1194" s="237">
        <v>270</v>
      </c>
      <c r="F1194" s="242" t="s">
        <v>1032</v>
      </c>
      <c r="G1194" s="239" t="s">
        <v>928</v>
      </c>
      <c r="H1194" s="240">
        <f t="shared" si="18"/>
        <v>135709</v>
      </c>
      <c r="I1194" s="241"/>
      <c r="J1194" s="221" t="b">
        <f>EXACT(E1195,[1]Main!E1195)</f>
        <v>1</v>
      </c>
    </row>
    <row r="1195" spans="1:10" x14ac:dyDescent="0.25">
      <c r="A1195" s="249">
        <v>45123</v>
      </c>
      <c r="B1195" s="237">
        <v>7910</v>
      </c>
      <c r="C1195" s="238" t="s">
        <v>121</v>
      </c>
      <c r="D1195" s="239" t="s">
        <v>766</v>
      </c>
      <c r="E1195" s="237">
        <v>2155</v>
      </c>
      <c r="F1195" s="242" t="s">
        <v>12</v>
      </c>
      <c r="G1195" s="239" t="s">
        <v>974</v>
      </c>
      <c r="H1195" s="240">
        <f t="shared" si="18"/>
        <v>141464</v>
      </c>
      <c r="I1195" s="241"/>
      <c r="J1195" s="221" t="b">
        <f>EXACT(E1196,[1]Main!E1196)</f>
        <v>1</v>
      </c>
    </row>
    <row r="1196" spans="1:10" x14ac:dyDescent="0.25">
      <c r="A1196" s="249">
        <v>45123</v>
      </c>
      <c r="B1196" s="237">
        <v>445</v>
      </c>
      <c r="C1196" s="238" t="s">
        <v>1013</v>
      </c>
      <c r="D1196" s="239" t="s">
        <v>768</v>
      </c>
      <c r="E1196" s="237">
        <v>450</v>
      </c>
      <c r="F1196" s="242" t="s">
        <v>252</v>
      </c>
      <c r="G1196" s="239" t="s">
        <v>928</v>
      </c>
      <c r="H1196" s="240">
        <f t="shared" si="18"/>
        <v>141459</v>
      </c>
      <c r="I1196" s="241"/>
      <c r="J1196" s="221" t="b">
        <f>EXACT(E1197,[1]Main!E1197)</f>
        <v>1</v>
      </c>
    </row>
    <row r="1197" spans="1:10" x14ac:dyDescent="0.25">
      <c r="A1197" s="249">
        <v>45123</v>
      </c>
      <c r="B1197" s="237">
        <v>12582</v>
      </c>
      <c r="C1197" s="238" t="s">
        <v>85</v>
      </c>
      <c r="D1197" s="239" t="s">
        <v>766</v>
      </c>
      <c r="E1197" s="237">
        <v>500</v>
      </c>
      <c r="F1197" s="242" t="s">
        <v>610</v>
      </c>
      <c r="G1197" s="239" t="s">
        <v>943</v>
      </c>
      <c r="H1197" s="240">
        <f t="shared" si="18"/>
        <v>153541</v>
      </c>
      <c r="I1197" s="241" t="s">
        <v>80</v>
      </c>
      <c r="J1197" s="221" t="b">
        <f>EXACT(E1198,[1]Main!E1198)</f>
        <v>1</v>
      </c>
    </row>
    <row r="1198" spans="1:10" x14ac:dyDescent="0.25">
      <c r="A1198" s="249">
        <v>45123</v>
      </c>
      <c r="B1198" s="237">
        <v>17961</v>
      </c>
      <c r="C1198" s="238" t="s">
        <v>15</v>
      </c>
      <c r="D1198" s="239" t="s">
        <v>766</v>
      </c>
      <c r="E1198" s="237">
        <v>30</v>
      </c>
      <c r="F1198" s="242" t="s">
        <v>63</v>
      </c>
      <c r="G1198" s="239" t="s">
        <v>928</v>
      </c>
      <c r="H1198" s="240">
        <f t="shared" si="18"/>
        <v>171472</v>
      </c>
      <c r="I1198" s="241" t="s">
        <v>1034</v>
      </c>
      <c r="J1198" s="221" t="b">
        <f>EXACT(E1199,[1]Main!E1199)</f>
        <v>1</v>
      </c>
    </row>
    <row r="1199" spans="1:10" x14ac:dyDescent="0.25">
      <c r="A1199" s="249">
        <v>45123</v>
      </c>
      <c r="B1199" s="237">
        <v>171</v>
      </c>
      <c r="C1199" s="238" t="s">
        <v>916</v>
      </c>
      <c r="D1199" s="239" t="s">
        <v>768</v>
      </c>
      <c r="E1199" s="237">
        <v>2887</v>
      </c>
      <c r="F1199" s="242" t="s">
        <v>1035</v>
      </c>
      <c r="G1199" s="239" t="s">
        <v>929</v>
      </c>
      <c r="H1199" s="240">
        <f t="shared" si="18"/>
        <v>168756</v>
      </c>
      <c r="I1199" s="241" t="s">
        <v>1036</v>
      </c>
      <c r="J1199" s="221" t="b">
        <f>EXACT(E1200,[1]Main!E1200)</f>
        <v>1</v>
      </c>
    </row>
    <row r="1200" spans="1:10" x14ac:dyDescent="0.25">
      <c r="A1200" s="249">
        <v>45123</v>
      </c>
      <c r="B1200" s="237"/>
      <c r="C1200" s="238"/>
      <c r="D1200" s="239"/>
      <c r="E1200" s="237">
        <v>125</v>
      </c>
      <c r="F1200" s="242" t="s">
        <v>38</v>
      </c>
      <c r="G1200" s="239" t="s">
        <v>930</v>
      </c>
      <c r="H1200" s="240">
        <f t="shared" si="18"/>
        <v>168631</v>
      </c>
      <c r="I1200" s="241"/>
      <c r="J1200" s="221" t="b">
        <f>EXACT(E1201,[1]Main!E1201)</f>
        <v>1</v>
      </c>
    </row>
    <row r="1201" spans="1:10" x14ac:dyDescent="0.25">
      <c r="A1201" s="249">
        <v>45123</v>
      </c>
      <c r="B1201" s="237"/>
      <c r="C1201" s="238"/>
      <c r="D1201" s="239"/>
      <c r="E1201" s="237">
        <v>75</v>
      </c>
      <c r="F1201" s="242" t="s">
        <v>13</v>
      </c>
      <c r="G1201" s="239" t="s">
        <v>930</v>
      </c>
      <c r="H1201" s="240">
        <f t="shared" si="18"/>
        <v>168556</v>
      </c>
      <c r="I1201" s="241"/>
      <c r="J1201" s="221" t="b">
        <f>EXACT(E1202,[1]Main!E1202)</f>
        <v>1</v>
      </c>
    </row>
    <row r="1202" spans="1:10" x14ac:dyDescent="0.25">
      <c r="A1202" s="249">
        <v>45123</v>
      </c>
      <c r="B1202" s="237"/>
      <c r="C1202" s="238"/>
      <c r="D1202" s="239"/>
      <c r="E1202" s="237">
        <v>1980</v>
      </c>
      <c r="F1202" s="242" t="s">
        <v>27</v>
      </c>
      <c r="G1202" s="239" t="s">
        <v>943</v>
      </c>
      <c r="H1202" s="240">
        <f t="shared" si="18"/>
        <v>166576</v>
      </c>
      <c r="I1202" s="241" t="s">
        <v>30</v>
      </c>
      <c r="J1202" s="221" t="b">
        <f>EXACT(E1203,[1]Main!E1203)</f>
        <v>1</v>
      </c>
    </row>
    <row r="1203" spans="1:10" x14ac:dyDescent="0.25">
      <c r="A1203" s="249">
        <v>45123</v>
      </c>
      <c r="B1203" s="237"/>
      <c r="C1203" s="238"/>
      <c r="D1203" s="239"/>
      <c r="E1203" s="237">
        <v>2390</v>
      </c>
      <c r="F1203" s="242" t="s">
        <v>1038</v>
      </c>
      <c r="G1203" s="239" t="s">
        <v>928</v>
      </c>
      <c r="H1203" s="240">
        <f t="shared" si="18"/>
        <v>164186</v>
      </c>
      <c r="I1203" s="241" t="s">
        <v>1039</v>
      </c>
      <c r="J1203" s="221" t="b">
        <f>EXACT(E1204,[1]Main!E1204)</f>
        <v>1</v>
      </c>
    </row>
    <row r="1204" spans="1:10" x14ac:dyDescent="0.25">
      <c r="A1204" s="249">
        <v>45123</v>
      </c>
      <c r="B1204" s="237"/>
      <c r="C1204" s="238"/>
      <c r="D1204" s="239"/>
      <c r="E1204" s="237">
        <v>4360</v>
      </c>
      <c r="F1204" s="242" t="s">
        <v>803</v>
      </c>
      <c r="G1204" s="239" t="s">
        <v>928</v>
      </c>
      <c r="H1204" s="240">
        <f t="shared" si="18"/>
        <v>159826</v>
      </c>
      <c r="I1204" s="241" t="s">
        <v>1040</v>
      </c>
      <c r="J1204" s="221" t="b">
        <f>EXACT(E1205,[1]Main!E1205)</f>
        <v>1</v>
      </c>
    </row>
    <row r="1205" spans="1:10" x14ac:dyDescent="0.25">
      <c r="A1205" s="249">
        <v>45123</v>
      </c>
      <c r="B1205" s="237"/>
      <c r="C1205" s="238"/>
      <c r="D1205" s="239"/>
      <c r="E1205" s="237">
        <v>2590</v>
      </c>
      <c r="F1205" s="242" t="s">
        <v>1041</v>
      </c>
      <c r="G1205" s="239" t="s">
        <v>928</v>
      </c>
      <c r="H1205" s="240">
        <f t="shared" si="18"/>
        <v>157236</v>
      </c>
      <c r="I1205" s="241"/>
      <c r="J1205" s="221" t="b">
        <f>EXACT(E1206,[1]Main!E1206)</f>
        <v>1</v>
      </c>
    </row>
    <row r="1206" spans="1:10" x14ac:dyDescent="0.25">
      <c r="A1206" s="249">
        <v>45123</v>
      </c>
      <c r="B1206" s="237"/>
      <c r="C1206" s="238"/>
      <c r="D1206" s="239"/>
      <c r="E1206" s="237">
        <v>1695</v>
      </c>
      <c r="F1206" s="242" t="s">
        <v>236</v>
      </c>
      <c r="G1206" s="239" t="s">
        <v>928</v>
      </c>
      <c r="H1206" s="240">
        <f t="shared" si="18"/>
        <v>155541</v>
      </c>
      <c r="I1206" s="241"/>
      <c r="J1206" s="221" t="b">
        <f>EXACT(E1207,[1]Main!E1207)</f>
        <v>1</v>
      </c>
    </row>
    <row r="1207" spans="1:10" x14ac:dyDescent="0.25">
      <c r="A1207" s="249">
        <v>45123</v>
      </c>
      <c r="B1207" s="237"/>
      <c r="C1207" s="238"/>
      <c r="D1207" s="239"/>
      <c r="E1207" s="237">
        <v>215</v>
      </c>
      <c r="F1207" s="242" t="s">
        <v>741</v>
      </c>
      <c r="G1207" s="239" t="s">
        <v>930</v>
      </c>
      <c r="H1207" s="240">
        <f t="shared" si="18"/>
        <v>155326</v>
      </c>
      <c r="I1207" s="241"/>
      <c r="J1207" s="221" t="b">
        <f>EXACT(E1208,[1]Main!E1208)</f>
        <v>1</v>
      </c>
    </row>
    <row r="1208" spans="1:10" x14ac:dyDescent="0.25">
      <c r="A1208" s="249">
        <v>45123</v>
      </c>
      <c r="B1208" s="237"/>
      <c r="C1208" s="238"/>
      <c r="D1208" s="239"/>
      <c r="E1208" s="237">
        <v>3800</v>
      </c>
      <c r="F1208" s="242" t="s">
        <v>1051</v>
      </c>
      <c r="G1208" s="239" t="s">
        <v>928</v>
      </c>
      <c r="H1208" s="240">
        <f t="shared" si="18"/>
        <v>151526</v>
      </c>
      <c r="I1208" s="241"/>
      <c r="J1208" s="221" t="b">
        <f>EXACT(E1209,[1]Main!E1209)</f>
        <v>1</v>
      </c>
    </row>
    <row r="1209" spans="1:10" x14ac:dyDescent="0.25">
      <c r="A1209" s="249">
        <v>45123</v>
      </c>
      <c r="B1209" s="237"/>
      <c r="C1209" s="238"/>
      <c r="D1209" s="239"/>
      <c r="E1209" s="237">
        <v>5230</v>
      </c>
      <c r="F1209" s="242" t="s">
        <v>737</v>
      </c>
      <c r="G1209" s="239" t="s">
        <v>928</v>
      </c>
      <c r="H1209" s="240">
        <f t="shared" si="18"/>
        <v>146296</v>
      </c>
      <c r="I1209" s="241" t="s">
        <v>902</v>
      </c>
      <c r="J1209" s="221" t="b">
        <f>EXACT(E1210,[1]Main!E1210)</f>
        <v>1</v>
      </c>
    </row>
    <row r="1210" spans="1:10" x14ac:dyDescent="0.25">
      <c r="A1210" s="249">
        <v>45123</v>
      </c>
      <c r="B1210" s="237"/>
      <c r="C1210" s="238"/>
      <c r="D1210" s="239"/>
      <c r="E1210" s="237">
        <v>200</v>
      </c>
      <c r="F1210" s="242" t="s">
        <v>1043</v>
      </c>
      <c r="G1210" s="239" t="s">
        <v>931</v>
      </c>
      <c r="H1210" s="240">
        <f t="shared" si="18"/>
        <v>146096</v>
      </c>
      <c r="I1210" s="241"/>
      <c r="J1210" s="221" t="b">
        <f>EXACT(E1211,[1]Main!E1211)</f>
        <v>1</v>
      </c>
    </row>
    <row r="1211" spans="1:10" x14ac:dyDescent="0.25">
      <c r="A1211" s="249">
        <v>45123</v>
      </c>
      <c r="B1211" s="237"/>
      <c r="C1211" s="238"/>
      <c r="D1211" s="239"/>
      <c r="E1211" s="237">
        <v>1940</v>
      </c>
      <c r="F1211" s="242" t="s">
        <v>1044</v>
      </c>
      <c r="G1211" s="239" t="s">
        <v>929</v>
      </c>
      <c r="H1211" s="240">
        <f t="shared" si="18"/>
        <v>144156</v>
      </c>
      <c r="I1211" s="241"/>
      <c r="J1211" s="221" t="b">
        <f>EXACT(E1212,[1]Main!E1212)</f>
        <v>1</v>
      </c>
    </row>
    <row r="1212" spans="1:10" x14ac:dyDescent="0.25">
      <c r="A1212" s="249">
        <v>45123</v>
      </c>
      <c r="B1212" s="237"/>
      <c r="C1212" s="238"/>
      <c r="D1212" s="239"/>
      <c r="E1212" s="237">
        <v>5000</v>
      </c>
      <c r="F1212" s="242" t="s">
        <v>182</v>
      </c>
      <c r="G1212" s="239" t="s">
        <v>941</v>
      </c>
      <c r="H1212" s="240">
        <f t="shared" si="18"/>
        <v>139156</v>
      </c>
      <c r="I1212" s="241"/>
      <c r="J1212" s="221" t="b">
        <f>EXACT(E1213,[1]Main!E1213)</f>
        <v>1</v>
      </c>
    </row>
    <row r="1213" spans="1:10" x14ac:dyDescent="0.25">
      <c r="A1213" s="249">
        <v>45123</v>
      </c>
      <c r="B1213" s="237"/>
      <c r="C1213" s="238"/>
      <c r="D1213" s="239"/>
      <c r="E1213" s="237">
        <v>120</v>
      </c>
      <c r="F1213" s="242" t="s">
        <v>376</v>
      </c>
      <c r="G1213" s="239" t="s">
        <v>930</v>
      </c>
      <c r="H1213" s="240">
        <f t="shared" si="18"/>
        <v>139036</v>
      </c>
      <c r="I1213" s="241"/>
      <c r="J1213" s="221" t="b">
        <f>EXACT(E1214,[1]Main!E1214)</f>
        <v>1</v>
      </c>
    </row>
    <row r="1214" spans="1:10" x14ac:dyDescent="0.25">
      <c r="A1214" s="249">
        <v>45123</v>
      </c>
      <c r="B1214" s="237"/>
      <c r="C1214" s="238"/>
      <c r="D1214" s="239"/>
      <c r="E1214" s="237">
        <v>1500</v>
      </c>
      <c r="F1214" s="242" t="s">
        <v>230</v>
      </c>
      <c r="G1214" s="239" t="s">
        <v>928</v>
      </c>
      <c r="H1214" s="240">
        <f t="shared" si="18"/>
        <v>137536</v>
      </c>
      <c r="I1214" s="241"/>
      <c r="J1214" s="221" t="b">
        <f>EXACT(E1215,[1]Main!E1215)</f>
        <v>1</v>
      </c>
    </row>
    <row r="1215" spans="1:10" x14ac:dyDescent="0.25">
      <c r="A1215" s="249">
        <v>45123</v>
      </c>
      <c r="B1215" s="237"/>
      <c r="C1215" s="238"/>
      <c r="D1215" s="239"/>
      <c r="E1215" s="237">
        <v>9850</v>
      </c>
      <c r="F1215" s="242" t="s">
        <v>16</v>
      </c>
      <c r="G1215" s="239" t="s">
        <v>936</v>
      </c>
      <c r="H1215" s="240">
        <f t="shared" si="18"/>
        <v>127686</v>
      </c>
      <c r="I1215" s="241" t="s">
        <v>1045</v>
      </c>
      <c r="J1215" s="221" t="b">
        <f>EXACT(E1216,[1]Main!E1216)</f>
        <v>1</v>
      </c>
    </row>
    <row r="1216" spans="1:10" x14ac:dyDescent="0.25">
      <c r="A1216" s="249">
        <v>45123</v>
      </c>
      <c r="B1216" s="237"/>
      <c r="C1216" s="238"/>
      <c r="D1216" s="239"/>
      <c r="E1216" s="237">
        <v>4850</v>
      </c>
      <c r="F1216" s="242" t="s">
        <v>31</v>
      </c>
      <c r="G1216" s="239" t="s">
        <v>931</v>
      </c>
      <c r="H1216" s="240">
        <f t="shared" si="18"/>
        <v>122836</v>
      </c>
      <c r="I1216" s="241" t="s">
        <v>1460</v>
      </c>
      <c r="J1216" s="221" t="b">
        <f>EXACT(E1217,[1]Main!E1217)</f>
        <v>1</v>
      </c>
    </row>
    <row r="1217" spans="1:10" x14ac:dyDescent="0.25">
      <c r="A1217" s="249">
        <v>45123</v>
      </c>
      <c r="B1217" s="237"/>
      <c r="C1217" s="238"/>
      <c r="D1217" s="239"/>
      <c r="E1217" s="237">
        <v>1400</v>
      </c>
      <c r="F1217" s="242" t="s">
        <v>1048</v>
      </c>
      <c r="G1217" s="239" t="s">
        <v>464</v>
      </c>
      <c r="H1217" s="240">
        <f t="shared" si="18"/>
        <v>121436</v>
      </c>
      <c r="I1217" s="241"/>
      <c r="J1217" s="221" t="b">
        <f>EXACT(E1218,[1]Main!E1218)</f>
        <v>1</v>
      </c>
    </row>
    <row r="1218" spans="1:10" x14ac:dyDescent="0.25">
      <c r="A1218" s="249">
        <v>45123</v>
      </c>
      <c r="B1218" s="237"/>
      <c r="C1218" s="238"/>
      <c r="D1218" s="239"/>
      <c r="E1218" s="237">
        <v>400</v>
      </c>
      <c r="F1218" s="242" t="s">
        <v>1049</v>
      </c>
      <c r="G1218" s="239" t="s">
        <v>464</v>
      </c>
      <c r="H1218" s="240">
        <f t="shared" si="18"/>
        <v>121036</v>
      </c>
      <c r="I1218" s="241"/>
      <c r="J1218" s="221" t="b">
        <f>EXACT(E1219,[1]Main!E1219)</f>
        <v>1</v>
      </c>
    </row>
    <row r="1219" spans="1:10" x14ac:dyDescent="0.25">
      <c r="A1219" s="249">
        <v>45123</v>
      </c>
      <c r="B1219" s="237"/>
      <c r="C1219" s="238"/>
      <c r="D1219" s="239"/>
      <c r="E1219" s="237">
        <v>90</v>
      </c>
      <c r="F1219" s="242" t="s">
        <v>223</v>
      </c>
      <c r="G1219" s="239" t="s">
        <v>930</v>
      </c>
      <c r="H1219" s="240">
        <f t="shared" si="18"/>
        <v>120946</v>
      </c>
      <c r="I1219" s="241"/>
      <c r="J1219" s="221" t="b">
        <f>EXACT(E1220,[1]Main!E1220)</f>
        <v>1</v>
      </c>
    </row>
    <row r="1220" spans="1:10" x14ac:dyDescent="0.25">
      <c r="A1220" s="249">
        <v>45123</v>
      </c>
      <c r="B1220" s="237"/>
      <c r="C1220" s="238"/>
      <c r="D1220" s="239"/>
      <c r="E1220" s="237">
        <v>1600</v>
      </c>
      <c r="F1220" s="242" t="s">
        <v>14</v>
      </c>
      <c r="G1220" s="239" t="s">
        <v>935</v>
      </c>
      <c r="H1220" s="240">
        <f t="shared" si="18"/>
        <v>119346</v>
      </c>
      <c r="I1220" s="241"/>
      <c r="J1220" s="221" t="b">
        <f>EXACT(E1221,[1]Main!E1221)</f>
        <v>1</v>
      </c>
    </row>
    <row r="1221" spans="1:10" x14ac:dyDescent="0.25">
      <c r="A1221" s="249">
        <v>45123</v>
      </c>
      <c r="B1221" s="237"/>
      <c r="C1221" s="238"/>
      <c r="D1221" s="239"/>
      <c r="E1221" s="237">
        <v>50</v>
      </c>
      <c r="F1221" s="242" t="s">
        <v>1052</v>
      </c>
      <c r="G1221" s="239" t="s">
        <v>931</v>
      </c>
      <c r="H1221" s="240">
        <f t="shared" si="18"/>
        <v>119296</v>
      </c>
      <c r="I1221" s="241"/>
      <c r="J1221" s="221" t="b">
        <f>EXACT(E1222,[1]Main!E1222)</f>
        <v>1</v>
      </c>
    </row>
    <row r="1222" spans="1:10" x14ac:dyDescent="0.25">
      <c r="A1222" s="249">
        <v>45123</v>
      </c>
      <c r="B1222" s="237"/>
      <c r="C1222" s="238"/>
      <c r="D1222" s="239"/>
      <c r="E1222" s="237">
        <v>50</v>
      </c>
      <c r="F1222" s="242" t="s">
        <v>373</v>
      </c>
      <c r="G1222" s="239" t="s">
        <v>931</v>
      </c>
      <c r="H1222" s="240">
        <f t="shared" si="18"/>
        <v>119246</v>
      </c>
      <c r="I1222" s="241" t="s">
        <v>1053</v>
      </c>
      <c r="J1222" s="221" t="b">
        <f>EXACT(E1223,[1]Main!E1223)</f>
        <v>1</v>
      </c>
    </row>
    <row r="1223" spans="1:10" x14ac:dyDescent="0.25">
      <c r="A1223" s="249">
        <v>45123</v>
      </c>
      <c r="B1223" s="237"/>
      <c r="C1223" s="238"/>
      <c r="D1223" s="239"/>
      <c r="E1223" s="237">
        <v>185</v>
      </c>
      <c r="F1223" s="242" t="s">
        <v>1054</v>
      </c>
      <c r="G1223" s="239" t="s">
        <v>930</v>
      </c>
      <c r="H1223" s="240">
        <f t="shared" ref="H1223:H1286" si="19">H1222+B1223-E1223</f>
        <v>119061</v>
      </c>
      <c r="I1223" s="241"/>
      <c r="J1223" s="221" t="b">
        <f>EXACT(E1224,[1]Main!E1224)</f>
        <v>1</v>
      </c>
    </row>
    <row r="1224" spans="1:10" x14ac:dyDescent="0.25">
      <c r="A1224" s="249">
        <v>45123</v>
      </c>
      <c r="B1224" s="237"/>
      <c r="C1224" s="238"/>
      <c r="D1224" s="239"/>
      <c r="E1224" s="237">
        <v>1548</v>
      </c>
      <c r="F1224" s="242" t="s">
        <v>45</v>
      </c>
      <c r="G1224" s="239" t="s">
        <v>928</v>
      </c>
      <c r="H1224" s="240">
        <f t="shared" si="19"/>
        <v>117513</v>
      </c>
      <c r="I1224" s="241"/>
      <c r="J1224" s="221" t="b">
        <f>EXACT(E1225,[1]Main!E1225)</f>
        <v>1</v>
      </c>
    </row>
    <row r="1225" spans="1:10" x14ac:dyDescent="0.25">
      <c r="A1225" s="249">
        <v>45123</v>
      </c>
      <c r="B1225" s="237"/>
      <c r="C1225" s="238"/>
      <c r="D1225" s="239"/>
      <c r="E1225" s="237">
        <v>10000</v>
      </c>
      <c r="F1225" s="242" t="s">
        <v>27</v>
      </c>
      <c r="G1225" s="239" t="s">
        <v>943</v>
      </c>
      <c r="H1225" s="240">
        <f t="shared" si="19"/>
        <v>107513</v>
      </c>
      <c r="I1225" s="241"/>
      <c r="J1225" s="221" t="b">
        <f>EXACT(E1226,[1]Main!E1226)</f>
        <v>1</v>
      </c>
    </row>
    <row r="1226" spans="1:10" x14ac:dyDescent="0.25">
      <c r="A1226" s="249">
        <v>45123</v>
      </c>
      <c r="B1226" s="237"/>
      <c r="C1226" s="238"/>
      <c r="D1226" s="239"/>
      <c r="E1226" s="237">
        <v>2250</v>
      </c>
      <c r="F1226" s="242" t="s">
        <v>814</v>
      </c>
      <c r="G1226" s="239" t="s">
        <v>928</v>
      </c>
      <c r="H1226" s="240">
        <f t="shared" si="19"/>
        <v>105263</v>
      </c>
      <c r="I1226" s="241"/>
      <c r="J1226" s="221" t="b">
        <f>EXACT(E1227,[1]Main!E1227)</f>
        <v>1</v>
      </c>
    </row>
    <row r="1227" spans="1:10" x14ac:dyDescent="0.25">
      <c r="A1227" s="249">
        <v>45123</v>
      </c>
      <c r="B1227" s="237"/>
      <c r="C1227" s="238"/>
      <c r="D1227" s="239"/>
      <c r="E1227" s="237">
        <v>75</v>
      </c>
      <c r="F1227" s="242" t="s">
        <v>26</v>
      </c>
      <c r="G1227" s="239" t="s">
        <v>930</v>
      </c>
      <c r="H1227" s="240">
        <f t="shared" si="19"/>
        <v>105188</v>
      </c>
      <c r="I1227" s="241" t="s">
        <v>1057</v>
      </c>
      <c r="J1227" s="221" t="b">
        <f>EXACT(E1228,[1]Main!E1228)</f>
        <v>1</v>
      </c>
    </row>
    <row r="1228" spans="1:10" x14ac:dyDescent="0.25">
      <c r="A1228" s="249">
        <v>45123</v>
      </c>
      <c r="B1228" s="237"/>
      <c r="C1228" s="238"/>
      <c r="D1228" s="239"/>
      <c r="E1228" s="320">
        <v>120</v>
      </c>
      <c r="F1228" s="321" t="s">
        <v>376</v>
      </c>
      <c r="G1228" s="239" t="s">
        <v>930</v>
      </c>
      <c r="H1228" s="240">
        <f t="shared" si="19"/>
        <v>105068</v>
      </c>
      <c r="I1228" s="241"/>
      <c r="J1228" s="221" t="b">
        <f>EXACT(E1229,[1]Main!E1229)</f>
        <v>1</v>
      </c>
    </row>
    <row r="1229" spans="1:10" x14ac:dyDescent="0.25">
      <c r="A1229" s="249">
        <v>45123</v>
      </c>
      <c r="B1229" s="237"/>
      <c r="C1229" s="238"/>
      <c r="D1229" s="239"/>
      <c r="E1229" s="237">
        <v>5000</v>
      </c>
      <c r="F1229" s="242" t="s">
        <v>1058</v>
      </c>
      <c r="G1229" s="239" t="s">
        <v>928</v>
      </c>
      <c r="H1229" s="240">
        <f t="shared" si="19"/>
        <v>100068</v>
      </c>
      <c r="I1229" s="241"/>
      <c r="J1229" s="221" t="b">
        <f>EXACT(E1230,[1]Main!E1230)</f>
        <v>1</v>
      </c>
    </row>
    <row r="1230" spans="1:10" x14ac:dyDescent="0.25">
      <c r="A1230" s="249">
        <v>45123</v>
      </c>
      <c r="B1230" s="237"/>
      <c r="C1230" s="238"/>
      <c r="D1230" s="239"/>
      <c r="E1230" s="320">
        <v>190</v>
      </c>
      <c r="F1230" s="321" t="s">
        <v>255</v>
      </c>
      <c r="G1230" s="239" t="s">
        <v>930</v>
      </c>
      <c r="H1230" s="240">
        <f t="shared" si="19"/>
        <v>99878</v>
      </c>
      <c r="I1230" s="241"/>
      <c r="J1230" s="221" t="b">
        <f>EXACT(E1231,[1]Main!E1231)</f>
        <v>1</v>
      </c>
    </row>
    <row r="1231" spans="1:10" x14ac:dyDescent="0.25">
      <c r="A1231" s="249">
        <v>45123</v>
      </c>
      <c r="B1231" s="237"/>
      <c r="C1231" s="238"/>
      <c r="D1231" s="239"/>
      <c r="E1231" s="320">
        <v>27</v>
      </c>
      <c r="F1231" s="321" t="s">
        <v>212</v>
      </c>
      <c r="G1231" s="239" t="s">
        <v>464</v>
      </c>
      <c r="H1231" s="240">
        <f t="shared" si="19"/>
        <v>99851</v>
      </c>
      <c r="I1231" s="241"/>
      <c r="J1231" s="221" t="b">
        <f>EXACT(E1232,[1]Main!E1232)</f>
        <v>1</v>
      </c>
    </row>
    <row r="1232" spans="1:10" x14ac:dyDescent="0.25">
      <c r="A1232" s="249">
        <v>45123</v>
      </c>
      <c r="B1232" s="237"/>
      <c r="C1232" s="238"/>
      <c r="D1232" s="239"/>
      <c r="E1232" s="320">
        <v>13480</v>
      </c>
      <c r="F1232" s="321" t="s">
        <v>358</v>
      </c>
      <c r="G1232" s="239" t="s">
        <v>938</v>
      </c>
      <c r="H1232" s="240">
        <f t="shared" si="19"/>
        <v>86371</v>
      </c>
      <c r="I1232" s="241"/>
      <c r="J1232" s="221" t="b">
        <f>EXACT(E1233,[1]Main!E1233)</f>
        <v>1</v>
      </c>
    </row>
    <row r="1233" spans="1:10" x14ac:dyDescent="0.25">
      <c r="A1233" s="249">
        <v>45123</v>
      </c>
      <c r="B1233" s="237"/>
      <c r="C1233" s="238"/>
      <c r="D1233" s="239"/>
      <c r="E1233" s="320">
        <v>260</v>
      </c>
      <c r="F1233" s="321" t="s">
        <v>709</v>
      </c>
      <c r="G1233" s="239" t="s">
        <v>930</v>
      </c>
      <c r="H1233" s="240">
        <f t="shared" si="19"/>
        <v>86111</v>
      </c>
      <c r="I1233" s="241"/>
      <c r="J1233" s="221" t="b">
        <f>EXACT(E1234,[1]Main!E1234)</f>
        <v>1</v>
      </c>
    </row>
    <row r="1234" spans="1:10" x14ac:dyDescent="0.25">
      <c r="A1234" s="249">
        <v>45123</v>
      </c>
      <c r="B1234" s="237"/>
      <c r="C1234" s="238"/>
      <c r="D1234" s="239"/>
      <c r="E1234" s="320">
        <v>100</v>
      </c>
      <c r="F1234" s="321" t="s">
        <v>9</v>
      </c>
      <c r="G1234" s="239" t="s">
        <v>930</v>
      </c>
      <c r="H1234" s="240">
        <f t="shared" si="19"/>
        <v>86011</v>
      </c>
      <c r="I1234" s="241"/>
      <c r="J1234" s="221" t="b">
        <f>EXACT(E1235,[1]Main!E1235)</f>
        <v>1</v>
      </c>
    </row>
    <row r="1235" spans="1:10" x14ac:dyDescent="0.25">
      <c r="A1235" s="249">
        <v>45123</v>
      </c>
      <c r="B1235" s="237"/>
      <c r="C1235" s="238"/>
      <c r="D1235" s="239"/>
      <c r="E1235" s="320">
        <v>120</v>
      </c>
      <c r="F1235" s="321" t="s">
        <v>39</v>
      </c>
      <c r="G1235" s="239" t="s">
        <v>930</v>
      </c>
      <c r="H1235" s="240">
        <f t="shared" si="19"/>
        <v>85891</v>
      </c>
      <c r="I1235" s="241"/>
      <c r="J1235" s="221" t="b">
        <f>EXACT(E1236,[1]Main!E1236)</f>
        <v>1</v>
      </c>
    </row>
    <row r="1236" spans="1:10" x14ac:dyDescent="0.25">
      <c r="A1236" s="249">
        <v>45123</v>
      </c>
      <c r="B1236" s="237"/>
      <c r="C1236" s="238"/>
      <c r="D1236" s="239"/>
      <c r="E1236" s="320">
        <v>140</v>
      </c>
      <c r="F1236" s="321" t="s">
        <v>341</v>
      </c>
      <c r="G1236" s="239" t="s">
        <v>930</v>
      </c>
      <c r="H1236" s="240">
        <f t="shared" si="19"/>
        <v>85751</v>
      </c>
      <c r="I1236" s="241"/>
      <c r="J1236" s="221" t="b">
        <f>EXACT(E1237,[1]Main!E1237)</f>
        <v>1</v>
      </c>
    </row>
    <row r="1237" spans="1:10" x14ac:dyDescent="0.25">
      <c r="A1237" s="249">
        <v>45123</v>
      </c>
      <c r="B1237" s="237"/>
      <c r="C1237" s="238"/>
      <c r="D1237" s="239"/>
      <c r="E1237" s="320">
        <v>205</v>
      </c>
      <c r="F1237" s="321" t="s">
        <v>1059</v>
      </c>
      <c r="G1237" s="239" t="s">
        <v>935</v>
      </c>
      <c r="H1237" s="240">
        <f t="shared" si="19"/>
        <v>85546</v>
      </c>
      <c r="I1237" s="241"/>
      <c r="J1237" s="221" t="b">
        <f>EXACT(E1238,[1]Main!E1238)</f>
        <v>1</v>
      </c>
    </row>
    <row r="1238" spans="1:10" x14ac:dyDescent="0.25">
      <c r="A1238" s="249">
        <v>45123</v>
      </c>
      <c r="B1238" s="237"/>
      <c r="C1238" s="238"/>
      <c r="D1238" s="239"/>
      <c r="E1238" s="320">
        <v>250</v>
      </c>
      <c r="F1238" s="321" t="s">
        <v>11</v>
      </c>
      <c r="G1238" s="239" t="s">
        <v>935</v>
      </c>
      <c r="H1238" s="240">
        <f t="shared" si="19"/>
        <v>85296</v>
      </c>
      <c r="I1238" s="241"/>
      <c r="J1238" s="221" t="b">
        <f>EXACT(E1239,[1]Main!E1239)</f>
        <v>1</v>
      </c>
    </row>
    <row r="1239" spans="1:10" x14ac:dyDescent="0.25">
      <c r="A1239" s="249">
        <v>45123</v>
      </c>
      <c r="B1239" s="237"/>
      <c r="C1239" s="238"/>
      <c r="D1239" s="239"/>
      <c r="E1239" s="320">
        <v>175</v>
      </c>
      <c r="F1239" s="321" t="s">
        <v>265</v>
      </c>
      <c r="G1239" s="239" t="s">
        <v>935</v>
      </c>
      <c r="H1239" s="240">
        <f t="shared" si="19"/>
        <v>85121</v>
      </c>
      <c r="I1239" s="241"/>
      <c r="J1239" s="221" t="b">
        <f>EXACT(E1240,[1]Main!E1240)</f>
        <v>1</v>
      </c>
    </row>
    <row r="1240" spans="1:10" x14ac:dyDescent="0.25">
      <c r="A1240" s="249">
        <v>45123</v>
      </c>
      <c r="B1240" s="237"/>
      <c r="C1240" s="238"/>
      <c r="D1240" s="239"/>
      <c r="E1240" s="320">
        <v>735</v>
      </c>
      <c r="F1240" s="321" t="s">
        <v>1060</v>
      </c>
      <c r="G1240" s="239" t="s">
        <v>928</v>
      </c>
      <c r="H1240" s="240">
        <f t="shared" si="19"/>
        <v>84386</v>
      </c>
      <c r="I1240" s="241"/>
      <c r="J1240" s="221" t="b">
        <f>EXACT(E1241,[1]Main!E1241)</f>
        <v>1</v>
      </c>
    </row>
    <row r="1241" spans="1:10" x14ac:dyDescent="0.25">
      <c r="A1241" s="249">
        <v>45123</v>
      </c>
      <c r="B1241" s="237"/>
      <c r="C1241" s="238"/>
      <c r="D1241" s="239"/>
      <c r="E1241" s="320">
        <v>545</v>
      </c>
      <c r="F1241" s="321" t="s">
        <v>215</v>
      </c>
      <c r="G1241" s="239" t="s">
        <v>935</v>
      </c>
      <c r="H1241" s="240">
        <f t="shared" si="19"/>
        <v>83841</v>
      </c>
      <c r="I1241" s="241"/>
      <c r="J1241" s="221" t="b">
        <f>EXACT(E1242,[1]Main!E1242)</f>
        <v>1</v>
      </c>
    </row>
    <row r="1242" spans="1:10" x14ac:dyDescent="0.25">
      <c r="A1242" s="249">
        <v>45123</v>
      </c>
      <c r="B1242" s="237"/>
      <c r="C1242" s="238"/>
      <c r="D1242" s="239"/>
      <c r="E1242" s="320">
        <v>100</v>
      </c>
      <c r="F1242" s="321" t="s">
        <v>350</v>
      </c>
      <c r="G1242" s="239" t="s">
        <v>931</v>
      </c>
      <c r="H1242" s="240">
        <f t="shared" si="19"/>
        <v>83741</v>
      </c>
      <c r="I1242" s="241"/>
      <c r="J1242" s="221" t="b">
        <f>EXACT(E1243,[1]Main!E1243)</f>
        <v>1</v>
      </c>
    </row>
    <row r="1243" spans="1:10" x14ac:dyDescent="0.25">
      <c r="A1243" s="249">
        <v>45123</v>
      </c>
      <c r="B1243" s="237"/>
      <c r="C1243" s="238"/>
      <c r="D1243" s="239"/>
      <c r="E1243" s="237">
        <v>2040</v>
      </c>
      <c r="F1243" s="242" t="s">
        <v>12</v>
      </c>
      <c r="G1243" s="239" t="s">
        <v>974</v>
      </c>
      <c r="H1243" s="240">
        <f t="shared" si="19"/>
        <v>81701</v>
      </c>
      <c r="I1243" s="241"/>
      <c r="J1243" s="221" t="b">
        <f>EXACT(E1244,[1]Main!E1244)</f>
        <v>1</v>
      </c>
    </row>
    <row r="1244" spans="1:10" x14ac:dyDescent="0.25">
      <c r="A1244" s="249">
        <v>45123</v>
      </c>
      <c r="B1244" s="237"/>
      <c r="C1244" s="238"/>
      <c r="D1244" s="239"/>
      <c r="E1244" s="320">
        <v>5</v>
      </c>
      <c r="F1244" s="321" t="s">
        <v>954</v>
      </c>
      <c r="G1244" s="239" t="s">
        <v>464</v>
      </c>
      <c r="H1244" s="240">
        <f t="shared" si="19"/>
        <v>81696</v>
      </c>
      <c r="I1244" s="241"/>
      <c r="J1244" s="221" t="b">
        <f>EXACT(E1245,[1]Main!E1245)</f>
        <v>1</v>
      </c>
    </row>
    <row r="1245" spans="1:10" x14ac:dyDescent="0.25">
      <c r="A1245" s="249">
        <v>45123</v>
      </c>
      <c r="B1245" s="237"/>
      <c r="C1245" s="238"/>
      <c r="D1245" s="239"/>
      <c r="E1245" s="237">
        <v>500</v>
      </c>
      <c r="F1245" s="242" t="s">
        <v>50</v>
      </c>
      <c r="G1245" s="239" t="s">
        <v>931</v>
      </c>
      <c r="H1245" s="240">
        <f t="shared" si="19"/>
        <v>81196</v>
      </c>
      <c r="I1245" s="241"/>
      <c r="J1245" s="221" t="b">
        <f>EXACT(E1246,[1]Main!E1246)</f>
        <v>1</v>
      </c>
    </row>
    <row r="1246" spans="1:10" x14ac:dyDescent="0.25">
      <c r="A1246" s="249">
        <v>45123</v>
      </c>
      <c r="B1246" s="237"/>
      <c r="C1246" s="238"/>
      <c r="D1246" s="239"/>
      <c r="E1246" s="320">
        <v>32</v>
      </c>
      <c r="F1246" s="321" t="s">
        <v>358</v>
      </c>
      <c r="G1246" s="239" t="s">
        <v>938</v>
      </c>
      <c r="H1246" s="240">
        <f t="shared" si="19"/>
        <v>81164</v>
      </c>
      <c r="I1246" s="241"/>
      <c r="J1246" s="221" t="b">
        <f>EXACT(E1247,[1]Main!E1247)</f>
        <v>1</v>
      </c>
    </row>
    <row r="1247" spans="1:10" x14ac:dyDescent="0.25">
      <c r="A1247" s="249">
        <v>45123</v>
      </c>
      <c r="B1247" s="237"/>
      <c r="C1247" s="238"/>
      <c r="D1247" s="239"/>
      <c r="E1247" s="320">
        <v>5</v>
      </c>
      <c r="F1247" s="321" t="s">
        <v>954</v>
      </c>
      <c r="G1247" s="239" t="s">
        <v>464</v>
      </c>
      <c r="H1247" s="240">
        <f t="shared" si="19"/>
        <v>81159</v>
      </c>
      <c r="I1247" s="241"/>
      <c r="J1247" s="221" t="b">
        <f>EXACT(E1248,[1]Main!E1248)</f>
        <v>1</v>
      </c>
    </row>
    <row r="1248" spans="1:10" x14ac:dyDescent="0.25">
      <c r="A1248" s="249">
        <v>45123</v>
      </c>
      <c r="B1248" s="237"/>
      <c r="C1248" s="238"/>
      <c r="D1248" s="239"/>
      <c r="E1248" s="320">
        <v>120</v>
      </c>
      <c r="F1248" s="321" t="s">
        <v>382</v>
      </c>
      <c r="G1248" s="239" t="s">
        <v>930</v>
      </c>
      <c r="H1248" s="240">
        <f t="shared" si="19"/>
        <v>81039</v>
      </c>
      <c r="I1248" s="241"/>
      <c r="J1248" s="221" t="b">
        <f>EXACT(E1249,[1]Main!E1249)</f>
        <v>1</v>
      </c>
    </row>
    <row r="1249" spans="1:10" x14ac:dyDescent="0.25">
      <c r="A1249" s="249">
        <v>45123</v>
      </c>
      <c r="B1249" s="237"/>
      <c r="C1249" s="238"/>
      <c r="D1249" s="239"/>
      <c r="E1249" s="320">
        <v>105</v>
      </c>
      <c r="F1249" s="321" t="s">
        <v>381</v>
      </c>
      <c r="G1249" s="239" t="s">
        <v>930</v>
      </c>
      <c r="H1249" s="240">
        <f t="shared" si="19"/>
        <v>80934</v>
      </c>
      <c r="I1249" s="241"/>
      <c r="J1249" s="221" t="b">
        <f>EXACT(E1250,[1]Main!E1250)</f>
        <v>1</v>
      </c>
    </row>
    <row r="1250" spans="1:10" x14ac:dyDescent="0.25">
      <c r="A1250" s="249">
        <v>45123</v>
      </c>
      <c r="B1250" s="237"/>
      <c r="C1250" s="238"/>
      <c r="D1250" s="239"/>
      <c r="E1250" s="320">
        <v>240</v>
      </c>
      <c r="F1250" s="321" t="s">
        <v>1064</v>
      </c>
      <c r="G1250" s="239" t="s">
        <v>928</v>
      </c>
      <c r="H1250" s="240">
        <f t="shared" si="19"/>
        <v>80694</v>
      </c>
      <c r="I1250" s="241"/>
      <c r="J1250" s="221" t="b">
        <f>EXACT(E1251,[1]Main!E1251)</f>
        <v>1</v>
      </c>
    </row>
    <row r="1251" spans="1:10" x14ac:dyDescent="0.25">
      <c r="A1251" s="249">
        <v>45123</v>
      </c>
      <c r="B1251" s="237"/>
      <c r="C1251" s="238"/>
      <c r="D1251" s="239"/>
      <c r="E1251" s="320">
        <v>130</v>
      </c>
      <c r="F1251" s="321" t="s">
        <v>1065</v>
      </c>
      <c r="G1251" s="239" t="s">
        <v>930</v>
      </c>
      <c r="H1251" s="240">
        <f t="shared" si="19"/>
        <v>80564</v>
      </c>
      <c r="I1251" s="241"/>
      <c r="J1251" s="221" t="b">
        <f>EXACT(E1252,[1]Main!E1252)</f>
        <v>1</v>
      </c>
    </row>
    <row r="1252" spans="1:10" x14ac:dyDescent="0.25">
      <c r="A1252" s="249">
        <v>45123</v>
      </c>
      <c r="B1252" s="237"/>
      <c r="C1252" s="238"/>
      <c r="D1252" s="239"/>
      <c r="E1252" s="320">
        <v>85</v>
      </c>
      <c r="F1252" s="321" t="s">
        <v>1066</v>
      </c>
      <c r="G1252" s="239" t="s">
        <v>930</v>
      </c>
      <c r="H1252" s="240">
        <f t="shared" si="19"/>
        <v>80479</v>
      </c>
      <c r="I1252" s="241"/>
      <c r="J1252" s="221" t="b">
        <f>EXACT(E1253,[1]Main!E1253)</f>
        <v>1</v>
      </c>
    </row>
    <row r="1253" spans="1:10" x14ac:dyDescent="0.25">
      <c r="A1253" s="249">
        <v>45123</v>
      </c>
      <c r="B1253" s="237"/>
      <c r="C1253" s="238"/>
      <c r="D1253" s="239"/>
      <c r="E1253" s="320">
        <v>170</v>
      </c>
      <c r="F1253" s="321" t="s">
        <v>1067</v>
      </c>
      <c r="G1253" s="239" t="s">
        <v>930</v>
      </c>
      <c r="H1253" s="240">
        <f t="shared" si="19"/>
        <v>80309</v>
      </c>
      <c r="I1253" s="241"/>
      <c r="J1253" s="221" t="b">
        <f>EXACT(E1254,[1]Main!E1254)</f>
        <v>1</v>
      </c>
    </row>
    <row r="1254" spans="1:10" x14ac:dyDescent="0.25">
      <c r="A1254" s="249">
        <v>45123</v>
      </c>
      <c r="B1254" s="237"/>
      <c r="C1254" s="238"/>
      <c r="D1254" s="239"/>
      <c r="E1254" s="237">
        <v>750</v>
      </c>
      <c r="F1254" s="242" t="s">
        <v>1070</v>
      </c>
      <c r="G1254" s="239" t="s">
        <v>464</v>
      </c>
      <c r="H1254" s="240">
        <f t="shared" si="19"/>
        <v>79559</v>
      </c>
      <c r="I1254" s="241" t="s">
        <v>1071</v>
      </c>
      <c r="J1254" s="221" t="b">
        <f>EXACT(E1255,[1]Main!E1255)</f>
        <v>1</v>
      </c>
    </row>
    <row r="1255" spans="1:10" x14ac:dyDescent="0.25">
      <c r="A1255" s="249">
        <v>45123</v>
      </c>
      <c r="B1255" s="237"/>
      <c r="C1255" s="238"/>
      <c r="D1255" s="239"/>
      <c r="E1255" s="237">
        <v>113</v>
      </c>
      <c r="F1255" s="242" t="s">
        <v>954</v>
      </c>
      <c r="G1255" s="239" t="s">
        <v>464</v>
      </c>
      <c r="H1255" s="240">
        <f t="shared" si="19"/>
        <v>79446</v>
      </c>
      <c r="I1255" s="241"/>
      <c r="J1255" s="221" t="b">
        <f>EXACT(E1256,[1]Main!E1256)</f>
        <v>1</v>
      </c>
    </row>
    <row r="1256" spans="1:10" x14ac:dyDescent="0.25">
      <c r="A1256" s="249">
        <v>45123</v>
      </c>
      <c r="B1256" s="237"/>
      <c r="C1256" s="238"/>
      <c r="D1256" s="239"/>
      <c r="E1256" s="237">
        <v>180</v>
      </c>
      <c r="F1256" s="242" t="s">
        <v>1068</v>
      </c>
      <c r="G1256" s="239" t="s">
        <v>930</v>
      </c>
      <c r="H1256" s="240">
        <f t="shared" si="19"/>
        <v>79266</v>
      </c>
      <c r="I1256" s="241"/>
      <c r="J1256" s="221" t="b">
        <f>EXACT(E1257,[1]Main!E1257)</f>
        <v>1</v>
      </c>
    </row>
    <row r="1257" spans="1:10" x14ac:dyDescent="0.25">
      <c r="A1257" s="249">
        <v>45123</v>
      </c>
      <c r="B1257" s="237"/>
      <c r="C1257" s="238"/>
      <c r="D1257" s="239"/>
      <c r="E1257" s="237">
        <v>793</v>
      </c>
      <c r="F1257" s="242" t="s">
        <v>1069</v>
      </c>
      <c r="G1257" s="239" t="s">
        <v>938</v>
      </c>
      <c r="H1257" s="240">
        <f t="shared" si="19"/>
        <v>78473</v>
      </c>
      <c r="I1257" s="241"/>
      <c r="J1257" s="221" t="b">
        <f>EXACT(E1258,[1]Main!E1258)</f>
        <v>1</v>
      </c>
    </row>
    <row r="1258" spans="1:10" x14ac:dyDescent="0.25">
      <c r="A1258" s="249">
        <v>45123</v>
      </c>
      <c r="B1258" s="237"/>
      <c r="C1258" s="238"/>
      <c r="D1258" s="239"/>
      <c r="E1258" s="237">
        <v>2390</v>
      </c>
      <c r="F1258" s="242" t="s">
        <v>1038</v>
      </c>
      <c r="G1258" s="239" t="s">
        <v>928</v>
      </c>
      <c r="H1258" s="240">
        <f t="shared" si="19"/>
        <v>76083</v>
      </c>
      <c r="I1258" s="241" t="s">
        <v>1198</v>
      </c>
      <c r="J1258" s="221" t="b">
        <f>EXACT(E1259,[1]Main!E1259)</f>
        <v>1</v>
      </c>
    </row>
    <row r="1259" spans="1:10" x14ac:dyDescent="0.25">
      <c r="A1259" s="249">
        <v>45123</v>
      </c>
      <c r="B1259" s="237"/>
      <c r="C1259" s="238"/>
      <c r="D1259" s="239"/>
      <c r="E1259" s="237">
        <v>10</v>
      </c>
      <c r="F1259" s="242" t="s">
        <v>552</v>
      </c>
      <c r="G1259" s="239" t="s">
        <v>930</v>
      </c>
      <c r="H1259" s="240">
        <f t="shared" si="19"/>
        <v>76073</v>
      </c>
      <c r="I1259" s="241"/>
      <c r="J1259" s="221" t="b">
        <f>EXACT(E1260,[1]Main!E1260)</f>
        <v>1</v>
      </c>
    </row>
    <row r="1260" spans="1:10" x14ac:dyDescent="0.25">
      <c r="A1260" s="249">
        <v>45123</v>
      </c>
      <c r="B1260" s="237"/>
      <c r="C1260" s="238"/>
      <c r="D1260" s="239"/>
      <c r="E1260" s="237">
        <v>100</v>
      </c>
      <c r="F1260" s="242" t="s">
        <v>29</v>
      </c>
      <c r="G1260" s="239" t="s">
        <v>930</v>
      </c>
      <c r="H1260" s="240">
        <f t="shared" si="19"/>
        <v>75973</v>
      </c>
      <c r="I1260" s="241"/>
      <c r="J1260" s="221" t="b">
        <f>EXACT(E1261,[1]Main!E1261)</f>
        <v>1</v>
      </c>
    </row>
    <row r="1261" spans="1:10" x14ac:dyDescent="0.25">
      <c r="A1261" s="249">
        <v>45123</v>
      </c>
      <c r="B1261" s="237"/>
      <c r="C1261" s="238"/>
      <c r="D1261" s="239"/>
      <c r="E1261" s="237">
        <v>350</v>
      </c>
      <c r="F1261" s="242" t="s">
        <v>708</v>
      </c>
      <c r="G1261" s="239" t="s">
        <v>930</v>
      </c>
      <c r="H1261" s="240">
        <f t="shared" si="19"/>
        <v>75623</v>
      </c>
      <c r="I1261" s="241"/>
      <c r="J1261" s="221" t="b">
        <f>EXACT(E1262,[1]Main!E1262)</f>
        <v>1</v>
      </c>
    </row>
    <row r="1262" spans="1:10" x14ac:dyDescent="0.25">
      <c r="A1262" s="249">
        <v>45123</v>
      </c>
      <c r="B1262" s="237"/>
      <c r="C1262" s="238"/>
      <c r="D1262" s="239"/>
      <c r="E1262" s="237">
        <v>90</v>
      </c>
      <c r="F1262" s="242" t="s">
        <v>494</v>
      </c>
      <c r="G1262" s="239" t="s">
        <v>930</v>
      </c>
      <c r="H1262" s="240">
        <f t="shared" si="19"/>
        <v>75533</v>
      </c>
      <c r="I1262" s="241"/>
      <c r="J1262" s="221" t="b">
        <f>EXACT(E1263,[1]Main!E1263)</f>
        <v>1</v>
      </c>
    </row>
    <row r="1263" spans="1:10" x14ac:dyDescent="0.25">
      <c r="A1263" s="249">
        <v>45123</v>
      </c>
      <c r="B1263" s="237"/>
      <c r="C1263" s="238"/>
      <c r="D1263" s="239"/>
      <c r="E1263" s="237">
        <v>2000</v>
      </c>
      <c r="F1263" s="242" t="s">
        <v>79</v>
      </c>
      <c r="G1263" s="239" t="s">
        <v>928</v>
      </c>
      <c r="H1263" s="240">
        <f t="shared" si="19"/>
        <v>73533</v>
      </c>
      <c r="I1263" s="241"/>
      <c r="J1263" s="221" t="b">
        <f>EXACT(E1264,[1]Main!E1264)</f>
        <v>1</v>
      </c>
    </row>
    <row r="1264" spans="1:10" x14ac:dyDescent="0.25">
      <c r="A1264" s="249">
        <v>45123</v>
      </c>
      <c r="B1264" s="237"/>
      <c r="C1264" s="238"/>
      <c r="D1264" s="239"/>
      <c r="E1264" s="237">
        <v>345</v>
      </c>
      <c r="F1264" s="242" t="s">
        <v>83</v>
      </c>
      <c r="G1264" s="239" t="s">
        <v>935</v>
      </c>
      <c r="H1264" s="240">
        <f t="shared" si="19"/>
        <v>73188</v>
      </c>
      <c r="I1264" s="241"/>
      <c r="J1264" s="221" t="b">
        <f>EXACT(E1265,[1]Main!E1265)</f>
        <v>1</v>
      </c>
    </row>
    <row r="1265" spans="1:11" s="306" customFormat="1" x14ac:dyDescent="0.25">
      <c r="A1265" s="299">
        <v>45123</v>
      </c>
      <c r="B1265" s="300"/>
      <c r="C1265" s="301"/>
      <c r="D1265" s="302"/>
      <c r="E1265" s="300">
        <v>145</v>
      </c>
      <c r="F1265" s="303" t="s">
        <v>1073</v>
      </c>
      <c r="G1265" s="239" t="s">
        <v>930</v>
      </c>
      <c r="H1265" s="240">
        <f t="shared" si="19"/>
        <v>73043</v>
      </c>
      <c r="I1265" s="304"/>
      <c r="J1265" s="221" t="b">
        <f>EXACT(E1266,[1]Main!E1266)</f>
        <v>1</v>
      </c>
      <c r="K1265" s="305"/>
    </row>
    <row r="1266" spans="1:11" x14ac:dyDescent="0.25">
      <c r="A1266" s="249">
        <v>45124</v>
      </c>
      <c r="B1266" s="237">
        <v>14639</v>
      </c>
      <c r="C1266" s="238" t="s">
        <v>80</v>
      </c>
      <c r="D1266" s="239" t="s">
        <v>763</v>
      </c>
      <c r="E1266" s="237">
        <v>50000</v>
      </c>
      <c r="F1266" s="242" t="s">
        <v>1074</v>
      </c>
      <c r="G1266" s="239" t="s">
        <v>1075</v>
      </c>
      <c r="H1266" s="240">
        <f t="shared" si="19"/>
        <v>37682</v>
      </c>
      <c r="I1266" s="241"/>
      <c r="J1266" s="221" t="b">
        <f>EXACT(E1267,[1]Main!E1267)</f>
        <v>1</v>
      </c>
    </row>
    <row r="1267" spans="1:11" x14ac:dyDescent="0.25">
      <c r="A1267" s="249">
        <v>45124</v>
      </c>
      <c r="B1267" s="237">
        <v>2150</v>
      </c>
      <c r="C1267" s="238" t="s">
        <v>979</v>
      </c>
      <c r="D1267" s="239" t="s">
        <v>765</v>
      </c>
      <c r="E1267" s="237">
        <v>165</v>
      </c>
      <c r="F1267" s="242" t="s">
        <v>1078</v>
      </c>
      <c r="G1267" s="239" t="s">
        <v>930</v>
      </c>
      <c r="H1267" s="240">
        <f t="shared" si="19"/>
        <v>39667</v>
      </c>
      <c r="I1267" s="241"/>
      <c r="J1267" s="221" t="b">
        <f>EXACT(E1268,[1]Main!E1268)</f>
        <v>1</v>
      </c>
    </row>
    <row r="1268" spans="1:11" x14ac:dyDescent="0.25">
      <c r="A1268" s="249">
        <v>45124</v>
      </c>
      <c r="B1268" s="237">
        <v>15170</v>
      </c>
      <c r="C1268" s="238" t="s">
        <v>300</v>
      </c>
      <c r="D1268" s="239" t="s">
        <v>763</v>
      </c>
      <c r="E1268" s="237">
        <v>125</v>
      </c>
      <c r="F1268" s="242" t="s">
        <v>1079</v>
      </c>
      <c r="G1268" s="239" t="s">
        <v>930</v>
      </c>
      <c r="H1268" s="240">
        <f t="shared" si="19"/>
        <v>54712</v>
      </c>
      <c r="I1268" s="241"/>
      <c r="J1268" s="221" t="b">
        <f>EXACT(E1269,[1]Main!E1269)</f>
        <v>1</v>
      </c>
    </row>
    <row r="1269" spans="1:11" x14ac:dyDescent="0.25">
      <c r="A1269" s="249">
        <v>45124</v>
      </c>
      <c r="B1269" s="237">
        <v>1075</v>
      </c>
      <c r="C1269" s="238" t="s">
        <v>989</v>
      </c>
      <c r="D1269" s="239" t="s">
        <v>765</v>
      </c>
      <c r="E1269" s="237">
        <v>260</v>
      </c>
      <c r="F1269" s="242" t="s">
        <v>1080</v>
      </c>
      <c r="G1269" s="239" t="s">
        <v>464</v>
      </c>
      <c r="H1269" s="240">
        <f t="shared" si="19"/>
        <v>55527</v>
      </c>
      <c r="I1269" s="241"/>
      <c r="J1269" s="221" t="b">
        <f>EXACT(E1270,[1]Main!E1270)</f>
        <v>1</v>
      </c>
    </row>
    <row r="1270" spans="1:11" x14ac:dyDescent="0.25">
      <c r="A1270" s="249">
        <v>45124</v>
      </c>
      <c r="B1270" s="237">
        <v>205</v>
      </c>
      <c r="C1270" s="238" t="s">
        <v>1099</v>
      </c>
      <c r="D1270" s="239" t="s">
        <v>772</v>
      </c>
      <c r="E1270" s="237">
        <v>105</v>
      </c>
      <c r="F1270" s="242" t="s">
        <v>349</v>
      </c>
      <c r="G1270" s="239" t="s">
        <v>930</v>
      </c>
      <c r="H1270" s="240">
        <f t="shared" si="19"/>
        <v>55627</v>
      </c>
      <c r="I1270" s="241"/>
      <c r="J1270" s="221" t="b">
        <f>EXACT(E1271,[1]Main!E1271)</f>
        <v>1</v>
      </c>
    </row>
    <row r="1271" spans="1:11" x14ac:dyDescent="0.25">
      <c r="A1271" s="249">
        <v>45124</v>
      </c>
      <c r="B1271" s="237">
        <v>17289</v>
      </c>
      <c r="C1271" s="238" t="s">
        <v>1110</v>
      </c>
      <c r="D1271" s="239" t="s">
        <v>763</v>
      </c>
      <c r="E1271" s="237">
        <v>14</v>
      </c>
      <c r="F1271" s="242" t="s">
        <v>1081</v>
      </c>
      <c r="G1271" s="239" t="s">
        <v>464</v>
      </c>
      <c r="H1271" s="240">
        <f t="shared" si="19"/>
        <v>72902</v>
      </c>
      <c r="I1271" s="241"/>
      <c r="J1271" s="221" t="b">
        <f>EXACT(E1272,[1]Main!E1272)</f>
        <v>1</v>
      </c>
    </row>
    <row r="1272" spans="1:11" x14ac:dyDescent="0.25">
      <c r="A1272" s="249">
        <v>45124</v>
      </c>
      <c r="B1272" s="237">
        <v>1655</v>
      </c>
      <c r="C1272" s="238" t="s">
        <v>1111</v>
      </c>
      <c r="D1272" s="239" t="s">
        <v>765</v>
      </c>
      <c r="E1272" s="237">
        <v>1920</v>
      </c>
      <c r="F1272" s="242" t="s">
        <v>1082</v>
      </c>
      <c r="G1272" s="239" t="s">
        <v>974</v>
      </c>
      <c r="H1272" s="240">
        <f t="shared" si="19"/>
        <v>72637</v>
      </c>
      <c r="I1272" s="241"/>
      <c r="J1272" s="221" t="b">
        <f>EXACT(E1273,[1]Main!E1273)</f>
        <v>1</v>
      </c>
    </row>
    <row r="1273" spans="1:11" x14ac:dyDescent="0.25">
      <c r="A1273" s="249">
        <v>45124</v>
      </c>
      <c r="B1273" s="237">
        <v>350</v>
      </c>
      <c r="C1273" s="238" t="s">
        <v>1112</v>
      </c>
      <c r="D1273" s="239" t="s">
        <v>924</v>
      </c>
      <c r="E1273" s="237">
        <v>570</v>
      </c>
      <c r="F1273" s="242" t="s">
        <v>1007</v>
      </c>
      <c r="G1273" s="239" t="s">
        <v>935</v>
      </c>
      <c r="H1273" s="240">
        <f t="shared" si="19"/>
        <v>72417</v>
      </c>
      <c r="I1273" s="241"/>
      <c r="J1273" s="221" t="b">
        <f>EXACT(E1274,[1]Main!E1274)</f>
        <v>1</v>
      </c>
    </row>
    <row r="1274" spans="1:11" x14ac:dyDescent="0.25">
      <c r="A1274" s="249">
        <v>45124</v>
      </c>
      <c r="B1274" s="237">
        <f>205+205</f>
        <v>410</v>
      </c>
      <c r="C1274" s="238" t="s">
        <v>610</v>
      </c>
      <c r="D1274" s="239" t="s">
        <v>772</v>
      </c>
      <c r="E1274" s="237">
        <v>1625</v>
      </c>
      <c r="F1274" s="242" t="s">
        <v>1083</v>
      </c>
      <c r="G1274" s="239" t="s">
        <v>928</v>
      </c>
      <c r="H1274" s="240">
        <f t="shared" si="19"/>
        <v>71202</v>
      </c>
      <c r="I1274" s="241"/>
      <c r="J1274" s="221" t="b">
        <f>EXACT(E1275,[1]Main!E1275)</f>
        <v>1</v>
      </c>
    </row>
    <row r="1275" spans="1:11" x14ac:dyDescent="0.25">
      <c r="A1275" s="249">
        <v>45124</v>
      </c>
      <c r="B1275" s="237">
        <v>3436</v>
      </c>
      <c r="C1275" s="238" t="s">
        <v>60</v>
      </c>
      <c r="D1275" s="239" t="s">
        <v>763</v>
      </c>
      <c r="E1275" s="237">
        <v>30</v>
      </c>
      <c r="F1275" s="242" t="s">
        <v>1084</v>
      </c>
      <c r="G1275" s="239" t="s">
        <v>938</v>
      </c>
      <c r="H1275" s="240">
        <f t="shared" si="19"/>
        <v>74608</v>
      </c>
      <c r="I1275" s="241"/>
      <c r="J1275" s="221" t="b">
        <f>EXACT(E1276,[1]Main!E1276)</f>
        <v>1</v>
      </c>
    </row>
    <row r="1276" spans="1:11" x14ac:dyDescent="0.25">
      <c r="A1276" s="249">
        <v>45124</v>
      </c>
      <c r="B1276" s="237">
        <v>12065</v>
      </c>
      <c r="C1276" s="238" t="s">
        <v>19</v>
      </c>
      <c r="D1276" s="239" t="s">
        <v>763</v>
      </c>
      <c r="E1276" s="237">
        <v>135</v>
      </c>
      <c r="F1276" s="242" t="s">
        <v>610</v>
      </c>
      <c r="G1276" s="239" t="s">
        <v>943</v>
      </c>
      <c r="H1276" s="240">
        <f t="shared" si="19"/>
        <v>86538</v>
      </c>
      <c r="I1276" s="241"/>
      <c r="J1276" s="221" t="b">
        <f>EXACT(E1277,[1]Main!E1277)</f>
        <v>1</v>
      </c>
    </row>
    <row r="1277" spans="1:11" x14ac:dyDescent="0.25">
      <c r="A1277" s="249">
        <v>45124</v>
      </c>
      <c r="B1277" s="237">
        <v>582</v>
      </c>
      <c r="C1277" s="238" t="s">
        <v>374</v>
      </c>
      <c r="D1277" s="239" t="s">
        <v>765</v>
      </c>
      <c r="E1277" s="237">
        <v>1000</v>
      </c>
      <c r="F1277" s="242" t="s">
        <v>1085</v>
      </c>
      <c r="G1277" s="239" t="s">
        <v>928</v>
      </c>
      <c r="H1277" s="240">
        <f t="shared" si="19"/>
        <v>86120</v>
      </c>
      <c r="I1277" s="241"/>
      <c r="J1277" s="221" t="b">
        <f>EXACT(E1278,[1]Main!E1278)</f>
        <v>1</v>
      </c>
    </row>
    <row r="1278" spans="1:11" x14ac:dyDescent="0.25">
      <c r="A1278" s="249">
        <v>45124</v>
      </c>
      <c r="B1278" s="237">
        <v>15120</v>
      </c>
      <c r="C1278" s="238" t="s">
        <v>15</v>
      </c>
      <c r="D1278" s="239" t="s">
        <v>766</v>
      </c>
      <c r="E1278" s="237">
        <v>580</v>
      </c>
      <c r="F1278" s="242" t="s">
        <v>505</v>
      </c>
      <c r="G1278" s="239" t="s">
        <v>928</v>
      </c>
      <c r="H1278" s="240">
        <f t="shared" si="19"/>
        <v>100660</v>
      </c>
      <c r="I1278" s="241" t="s">
        <v>828</v>
      </c>
      <c r="J1278" s="221" t="b">
        <f>EXACT(E1279,[1]Main!E1279)</f>
        <v>1</v>
      </c>
    </row>
    <row r="1279" spans="1:11" x14ac:dyDescent="0.25">
      <c r="A1279" s="249">
        <v>45124</v>
      </c>
      <c r="B1279" s="237">
        <v>135</v>
      </c>
      <c r="C1279" s="238" t="s">
        <v>916</v>
      </c>
      <c r="D1279" s="239" t="s">
        <v>768</v>
      </c>
      <c r="E1279" s="237">
        <v>475</v>
      </c>
      <c r="F1279" s="242" t="s">
        <v>580</v>
      </c>
      <c r="G1279" s="239" t="s">
        <v>928</v>
      </c>
      <c r="H1279" s="240">
        <f t="shared" si="19"/>
        <v>100320</v>
      </c>
      <c r="I1279" s="241"/>
      <c r="J1279" s="221" t="b">
        <f>EXACT(E1280,[1]Main!E1280)</f>
        <v>1</v>
      </c>
    </row>
    <row r="1280" spans="1:11" x14ac:dyDescent="0.25">
      <c r="A1280" s="249">
        <v>45124</v>
      </c>
      <c r="B1280" s="237">
        <f>17055</f>
        <v>17055</v>
      </c>
      <c r="C1280" s="238" t="s">
        <v>88</v>
      </c>
      <c r="D1280" s="239" t="s">
        <v>766</v>
      </c>
      <c r="E1280" s="237">
        <v>1605</v>
      </c>
      <c r="F1280" s="242" t="s">
        <v>1088</v>
      </c>
      <c r="G1280" s="239" t="s">
        <v>928</v>
      </c>
      <c r="H1280" s="240">
        <f t="shared" si="19"/>
        <v>115770</v>
      </c>
      <c r="I1280" s="241"/>
      <c r="J1280" s="221" t="b">
        <f>EXACT(E1281,[1]Main!E1281)</f>
        <v>1</v>
      </c>
    </row>
    <row r="1281" spans="1:10" x14ac:dyDescent="0.25">
      <c r="A1281" s="249">
        <v>45124</v>
      </c>
      <c r="B1281" s="237">
        <v>640</v>
      </c>
      <c r="C1281" s="238" t="s">
        <v>1062</v>
      </c>
      <c r="D1281" s="239" t="s">
        <v>768</v>
      </c>
      <c r="E1281" s="237">
        <v>805</v>
      </c>
      <c r="F1281" s="242" t="s">
        <v>1077</v>
      </c>
      <c r="G1281" s="239" t="s">
        <v>928</v>
      </c>
      <c r="H1281" s="240">
        <f t="shared" si="19"/>
        <v>115605</v>
      </c>
      <c r="I1281" s="241"/>
      <c r="J1281" s="221" t="b">
        <f>EXACT(E1282,[1]Main!E1282)</f>
        <v>1</v>
      </c>
    </row>
    <row r="1282" spans="1:10" x14ac:dyDescent="0.25">
      <c r="A1282" s="249">
        <v>45124</v>
      </c>
      <c r="B1282" s="237">
        <v>7696</v>
      </c>
      <c r="C1282" s="238" t="s">
        <v>6</v>
      </c>
      <c r="D1282" s="239" t="s">
        <v>766</v>
      </c>
      <c r="E1282" s="237">
        <v>320</v>
      </c>
      <c r="F1282" s="242" t="s">
        <v>1093</v>
      </c>
      <c r="G1282" s="239" t="s">
        <v>464</v>
      </c>
      <c r="H1282" s="240">
        <f t="shared" si="19"/>
        <v>122981</v>
      </c>
      <c r="I1282" s="241"/>
      <c r="J1282" s="221" t="b">
        <f>EXACT(E1283,[1]Main!E1283)</f>
        <v>1</v>
      </c>
    </row>
    <row r="1283" spans="1:10" x14ac:dyDescent="0.25">
      <c r="A1283" s="249">
        <v>45124</v>
      </c>
      <c r="B1283" s="237">
        <v>7305</v>
      </c>
      <c r="C1283" s="238" t="s">
        <v>1162</v>
      </c>
      <c r="D1283" s="239" t="s">
        <v>763</v>
      </c>
      <c r="E1283" s="237">
        <v>170</v>
      </c>
      <c r="F1283" s="242" t="s">
        <v>521</v>
      </c>
      <c r="G1283" s="239" t="s">
        <v>930</v>
      </c>
      <c r="H1283" s="240">
        <f t="shared" si="19"/>
        <v>130116</v>
      </c>
      <c r="I1283" s="241"/>
      <c r="J1283" s="221" t="b">
        <f>EXACT(E1284,[1]Main!E1284)</f>
        <v>1</v>
      </c>
    </row>
    <row r="1284" spans="1:10" x14ac:dyDescent="0.25">
      <c r="A1284" s="249">
        <v>45124</v>
      </c>
      <c r="B1284" s="237"/>
      <c r="C1284" s="238"/>
      <c r="D1284" s="239"/>
      <c r="E1284" s="237">
        <v>90</v>
      </c>
      <c r="F1284" s="242" t="s">
        <v>1090</v>
      </c>
      <c r="G1284" s="239" t="s">
        <v>931</v>
      </c>
      <c r="H1284" s="240">
        <f t="shared" si="19"/>
        <v>130026</v>
      </c>
      <c r="I1284" s="241"/>
      <c r="J1284" s="221" t="b">
        <f>EXACT(E1285,[1]Main!E1285)</f>
        <v>1</v>
      </c>
    </row>
    <row r="1285" spans="1:10" x14ac:dyDescent="0.25">
      <c r="A1285" s="249">
        <v>45124</v>
      </c>
      <c r="B1285" s="237"/>
      <c r="C1285" s="238"/>
      <c r="D1285" s="239"/>
      <c r="E1285" s="237">
        <v>480</v>
      </c>
      <c r="F1285" s="242" t="s">
        <v>850</v>
      </c>
      <c r="G1285" s="239" t="s">
        <v>931</v>
      </c>
      <c r="H1285" s="240">
        <f t="shared" si="19"/>
        <v>129546</v>
      </c>
      <c r="I1285" s="241"/>
      <c r="J1285" s="221" t="b">
        <f>EXACT(E1286,[1]Main!E1286)</f>
        <v>1</v>
      </c>
    </row>
    <row r="1286" spans="1:10" x14ac:dyDescent="0.25">
      <c r="A1286" s="249">
        <v>45124</v>
      </c>
      <c r="B1286" s="237"/>
      <c r="C1286" s="238"/>
      <c r="D1286" s="239"/>
      <c r="E1286" s="237">
        <v>290</v>
      </c>
      <c r="F1286" s="242" t="s">
        <v>1091</v>
      </c>
      <c r="G1286" s="239" t="s">
        <v>938</v>
      </c>
      <c r="H1286" s="240">
        <f t="shared" si="19"/>
        <v>129256</v>
      </c>
      <c r="I1286" s="241"/>
      <c r="J1286" s="221" t="b">
        <f>EXACT(E1287,[1]Main!E1287)</f>
        <v>1</v>
      </c>
    </row>
    <row r="1287" spans="1:10" x14ac:dyDescent="0.25">
      <c r="A1287" s="249">
        <v>45124</v>
      </c>
      <c r="B1287" s="237"/>
      <c r="C1287" s="238"/>
      <c r="D1287" s="239"/>
      <c r="E1287" s="237">
        <v>2735</v>
      </c>
      <c r="F1287" s="242" t="s">
        <v>337</v>
      </c>
      <c r="G1287" s="239" t="s">
        <v>928</v>
      </c>
      <c r="H1287" s="240">
        <f t="shared" ref="H1287:H1350" si="20">H1286+B1287-E1287</f>
        <v>126521</v>
      </c>
      <c r="I1287" s="241"/>
      <c r="J1287" s="221" t="b">
        <f>EXACT(E1288,[1]Main!E1288)</f>
        <v>1</v>
      </c>
    </row>
    <row r="1288" spans="1:10" x14ac:dyDescent="0.25">
      <c r="A1288" s="249">
        <v>45124</v>
      </c>
      <c r="B1288" s="237"/>
      <c r="C1288" s="238"/>
      <c r="D1288" s="239"/>
      <c r="E1288" s="237">
        <v>14000</v>
      </c>
      <c r="F1288" s="242" t="s">
        <v>1094</v>
      </c>
      <c r="G1288" s="239" t="s">
        <v>928</v>
      </c>
      <c r="H1288" s="240">
        <f t="shared" si="20"/>
        <v>112521</v>
      </c>
      <c r="I1288" s="241" t="s">
        <v>819</v>
      </c>
      <c r="J1288" s="221" t="b">
        <f>EXACT(E1289,[1]Main!E1289)</f>
        <v>1</v>
      </c>
    </row>
    <row r="1289" spans="1:10" x14ac:dyDescent="0.25">
      <c r="A1289" s="249">
        <v>45124</v>
      </c>
      <c r="B1289" s="237"/>
      <c r="C1289" s="238"/>
      <c r="D1289" s="239"/>
      <c r="E1289" s="237">
        <v>3240</v>
      </c>
      <c r="F1289" s="322" t="s">
        <v>997</v>
      </c>
      <c r="G1289" s="239" t="s">
        <v>928</v>
      </c>
      <c r="H1289" s="240">
        <f t="shared" si="20"/>
        <v>109281</v>
      </c>
      <c r="I1289" s="241"/>
      <c r="J1289" s="221" t="b">
        <f>EXACT(E1290,[1]Main!E1290)</f>
        <v>1</v>
      </c>
    </row>
    <row r="1290" spans="1:10" x14ac:dyDescent="0.25">
      <c r="A1290" s="249">
        <v>45124</v>
      </c>
      <c r="B1290" s="237"/>
      <c r="C1290" s="238"/>
      <c r="D1290" s="239"/>
      <c r="E1290" s="237">
        <v>1170</v>
      </c>
      <c r="F1290" s="323" t="s">
        <v>1095</v>
      </c>
      <c r="G1290" s="239" t="s">
        <v>464</v>
      </c>
      <c r="H1290" s="240">
        <f t="shared" si="20"/>
        <v>108111</v>
      </c>
      <c r="I1290" s="241"/>
      <c r="J1290" s="221" t="b">
        <f>EXACT(E1291,[1]Main!E1291)</f>
        <v>1</v>
      </c>
    </row>
    <row r="1291" spans="1:10" x14ac:dyDescent="0.25">
      <c r="A1291" s="249">
        <v>45124</v>
      </c>
      <c r="B1291" s="237"/>
      <c r="C1291" s="238"/>
      <c r="D1291" s="239"/>
      <c r="E1291" s="237">
        <v>2000</v>
      </c>
      <c r="F1291" s="242" t="s">
        <v>785</v>
      </c>
      <c r="G1291" s="239" t="s">
        <v>928</v>
      </c>
      <c r="H1291" s="240">
        <f t="shared" si="20"/>
        <v>106111</v>
      </c>
      <c r="I1291" s="241"/>
      <c r="J1291" s="221" t="b">
        <f>EXACT(E1292,[1]Main!E1292)</f>
        <v>1</v>
      </c>
    </row>
    <row r="1292" spans="1:10" x14ac:dyDescent="0.25">
      <c r="A1292" s="249">
        <v>45124</v>
      </c>
      <c r="B1292" s="237"/>
      <c r="C1292" s="238"/>
      <c r="D1292" s="239"/>
      <c r="E1292" s="237">
        <v>5000</v>
      </c>
      <c r="F1292" s="323" t="s">
        <v>182</v>
      </c>
      <c r="G1292" s="239" t="s">
        <v>941</v>
      </c>
      <c r="H1292" s="240">
        <f t="shared" si="20"/>
        <v>101111</v>
      </c>
      <c r="I1292" s="241"/>
      <c r="J1292" s="221" t="b">
        <f>EXACT(E1293,[1]Main!E1293)</f>
        <v>1</v>
      </c>
    </row>
    <row r="1293" spans="1:10" x14ac:dyDescent="0.25">
      <c r="A1293" s="249">
        <v>45124</v>
      </c>
      <c r="B1293" s="237"/>
      <c r="C1293" s="238"/>
      <c r="D1293" s="239"/>
      <c r="E1293" s="237">
        <v>7575</v>
      </c>
      <c r="F1293" s="242" t="s">
        <v>16</v>
      </c>
      <c r="G1293" s="239" t="s">
        <v>936</v>
      </c>
      <c r="H1293" s="240">
        <f t="shared" si="20"/>
        <v>93536</v>
      </c>
      <c r="I1293" s="241"/>
      <c r="J1293" s="221" t="b">
        <f>EXACT(E1294,[1]Main!E1294)</f>
        <v>1</v>
      </c>
    </row>
    <row r="1294" spans="1:10" x14ac:dyDescent="0.25">
      <c r="A1294" s="249">
        <v>45124</v>
      </c>
      <c r="B1294" s="237"/>
      <c r="C1294" s="238"/>
      <c r="D1294" s="239"/>
      <c r="E1294" s="237">
        <v>2145</v>
      </c>
      <c r="F1294" s="323" t="s">
        <v>1100</v>
      </c>
      <c r="G1294" s="239" t="s">
        <v>928</v>
      </c>
      <c r="H1294" s="240">
        <f t="shared" si="20"/>
        <v>91391</v>
      </c>
      <c r="I1294" s="241"/>
      <c r="J1294" s="221" t="b">
        <f>EXACT(E1295,[1]Main!E1295)</f>
        <v>1</v>
      </c>
    </row>
    <row r="1295" spans="1:10" x14ac:dyDescent="0.25">
      <c r="A1295" s="249">
        <v>45124</v>
      </c>
      <c r="B1295" s="237"/>
      <c r="C1295" s="238"/>
      <c r="D1295" s="239"/>
      <c r="E1295" s="237">
        <v>4770</v>
      </c>
      <c r="F1295" s="242" t="s">
        <v>745</v>
      </c>
      <c r="G1295" s="239" t="s">
        <v>928</v>
      </c>
      <c r="H1295" s="240">
        <f t="shared" si="20"/>
        <v>86621</v>
      </c>
      <c r="I1295" s="241"/>
      <c r="J1295" s="221" t="b">
        <f>EXACT(E1296,[1]Main!E1296)</f>
        <v>1</v>
      </c>
    </row>
    <row r="1296" spans="1:10" x14ac:dyDescent="0.25">
      <c r="A1296" s="249">
        <v>45124</v>
      </c>
      <c r="B1296" s="237"/>
      <c r="C1296" s="238"/>
      <c r="D1296" s="239"/>
      <c r="E1296" s="237">
        <v>400</v>
      </c>
      <c r="F1296" s="242" t="s">
        <v>1101</v>
      </c>
      <c r="G1296" s="239" t="s">
        <v>938</v>
      </c>
      <c r="H1296" s="240">
        <f t="shared" si="20"/>
        <v>86221</v>
      </c>
      <c r="I1296" s="241"/>
      <c r="J1296" s="221" t="b">
        <f>EXACT(E1297,[1]Main!E1297)</f>
        <v>1</v>
      </c>
    </row>
    <row r="1297" spans="1:10" x14ac:dyDescent="0.25">
      <c r="A1297" s="249">
        <v>45124</v>
      </c>
      <c r="B1297" s="237"/>
      <c r="C1297" s="238"/>
      <c r="D1297" s="239"/>
      <c r="E1297" s="237">
        <v>1000</v>
      </c>
      <c r="F1297" s="242" t="s">
        <v>881</v>
      </c>
      <c r="G1297" s="239" t="s">
        <v>928</v>
      </c>
      <c r="H1297" s="240">
        <f t="shared" si="20"/>
        <v>85221</v>
      </c>
      <c r="I1297" s="241" t="s">
        <v>902</v>
      </c>
      <c r="J1297" s="221" t="b">
        <f>EXACT(E1298,[1]Main!E1298)</f>
        <v>1</v>
      </c>
    </row>
    <row r="1298" spans="1:10" x14ac:dyDescent="0.25">
      <c r="A1298" s="249">
        <v>45124</v>
      </c>
      <c r="B1298" s="237"/>
      <c r="C1298" s="238"/>
      <c r="D1298" s="239"/>
      <c r="E1298" s="57">
        <v>4450</v>
      </c>
      <c r="F1298" s="242" t="s">
        <v>1102</v>
      </c>
      <c r="G1298" s="239" t="s">
        <v>928</v>
      </c>
      <c r="H1298" s="240">
        <f t="shared" si="20"/>
        <v>80771</v>
      </c>
      <c r="I1298" s="241" t="s">
        <v>1103</v>
      </c>
      <c r="J1298" s="221" t="b">
        <f>EXACT(E1299,[1]Main!E1299)</f>
        <v>1</v>
      </c>
    </row>
    <row r="1299" spans="1:10" x14ac:dyDescent="0.25">
      <c r="A1299" s="249">
        <v>45124</v>
      </c>
      <c r="B1299" s="237"/>
      <c r="C1299" s="238"/>
      <c r="D1299" s="239"/>
      <c r="E1299" s="237">
        <v>126</v>
      </c>
      <c r="F1299" s="242" t="s">
        <v>1105</v>
      </c>
      <c r="G1299" s="239" t="s">
        <v>464</v>
      </c>
      <c r="H1299" s="240">
        <f t="shared" si="20"/>
        <v>80645</v>
      </c>
      <c r="I1299" s="241"/>
      <c r="J1299" s="221" t="b">
        <f>EXACT(E1300,[1]Main!E1300)</f>
        <v>1</v>
      </c>
    </row>
    <row r="1300" spans="1:10" x14ac:dyDescent="0.25">
      <c r="A1300" s="249">
        <v>45124</v>
      </c>
      <c r="B1300" s="237"/>
      <c r="C1300" s="238"/>
      <c r="D1300" s="239"/>
      <c r="E1300" s="237">
        <v>210</v>
      </c>
      <c r="F1300" s="242" t="s">
        <v>1106</v>
      </c>
      <c r="G1300" s="239" t="s">
        <v>464</v>
      </c>
      <c r="H1300" s="240">
        <f t="shared" si="20"/>
        <v>80435</v>
      </c>
      <c r="I1300" s="241"/>
      <c r="J1300" s="221" t="b">
        <f>EXACT(E1301,[1]Main!E1301)</f>
        <v>1</v>
      </c>
    </row>
    <row r="1301" spans="1:10" x14ac:dyDescent="0.25">
      <c r="A1301" s="249">
        <v>45124</v>
      </c>
      <c r="B1301" s="237"/>
      <c r="C1301" s="238"/>
      <c r="D1301" s="239"/>
      <c r="E1301" s="57">
        <v>10</v>
      </c>
      <c r="F1301" s="242" t="s">
        <v>1107</v>
      </c>
      <c r="G1301" s="239" t="s">
        <v>938</v>
      </c>
      <c r="H1301" s="240">
        <f t="shared" si="20"/>
        <v>80425</v>
      </c>
      <c r="I1301" s="241"/>
      <c r="J1301" s="221" t="b">
        <f>EXACT(E1302,[1]Main!E1302)</f>
        <v>1</v>
      </c>
    </row>
    <row r="1302" spans="1:10" x14ac:dyDescent="0.25">
      <c r="A1302" s="249">
        <v>45124</v>
      </c>
      <c r="B1302" s="237"/>
      <c r="C1302" s="238"/>
      <c r="D1302" s="239"/>
      <c r="E1302" s="237">
        <v>1625</v>
      </c>
      <c r="F1302" s="242" t="s">
        <v>1108</v>
      </c>
      <c r="G1302" s="239" t="s">
        <v>935</v>
      </c>
      <c r="H1302" s="240">
        <f t="shared" si="20"/>
        <v>78800</v>
      </c>
      <c r="I1302" s="241"/>
      <c r="J1302" s="221" t="b">
        <f>EXACT(E1303,[1]Main!E1303)</f>
        <v>1</v>
      </c>
    </row>
    <row r="1303" spans="1:10" x14ac:dyDescent="0.25">
      <c r="A1303" s="249">
        <v>45124</v>
      </c>
      <c r="B1303" s="237"/>
      <c r="C1303" s="238"/>
      <c r="D1303" s="239"/>
      <c r="E1303" s="237">
        <v>10</v>
      </c>
      <c r="F1303" s="242" t="s">
        <v>1109</v>
      </c>
      <c r="G1303" s="239" t="s">
        <v>931</v>
      </c>
      <c r="H1303" s="240">
        <f t="shared" si="20"/>
        <v>78790</v>
      </c>
      <c r="I1303" s="241"/>
      <c r="J1303" s="221" t="b">
        <f>EXACT(E1304,[1]Main!E1304)</f>
        <v>1</v>
      </c>
    </row>
    <row r="1304" spans="1:10" x14ac:dyDescent="0.25">
      <c r="A1304" s="249">
        <v>45124</v>
      </c>
      <c r="B1304" s="237"/>
      <c r="C1304" s="238"/>
      <c r="D1304" s="239"/>
      <c r="E1304" s="57">
        <v>500</v>
      </c>
      <c r="F1304" s="242" t="s">
        <v>27</v>
      </c>
      <c r="G1304" s="239" t="s">
        <v>943</v>
      </c>
      <c r="H1304" s="240">
        <f t="shared" si="20"/>
        <v>78290</v>
      </c>
      <c r="I1304" s="241"/>
      <c r="J1304" s="221" t="b">
        <f>EXACT(E1305,[1]Main!E1305)</f>
        <v>1</v>
      </c>
    </row>
    <row r="1305" spans="1:10" x14ac:dyDescent="0.25">
      <c r="A1305" s="249">
        <v>45124</v>
      </c>
      <c r="B1305" s="237"/>
      <c r="C1305" s="238"/>
      <c r="D1305" s="239"/>
      <c r="E1305" s="237">
        <v>38</v>
      </c>
      <c r="F1305" s="242" t="s">
        <v>27</v>
      </c>
      <c r="G1305" s="239" t="s">
        <v>943</v>
      </c>
      <c r="H1305" s="240">
        <f t="shared" si="20"/>
        <v>78252</v>
      </c>
      <c r="I1305" s="241"/>
      <c r="J1305" s="221" t="b">
        <f>EXACT(E1306,[1]Main!E1306)</f>
        <v>1</v>
      </c>
    </row>
    <row r="1306" spans="1:10" x14ac:dyDescent="0.25">
      <c r="A1306" s="249">
        <v>45124</v>
      </c>
      <c r="B1306" s="237"/>
      <c r="C1306" s="238"/>
      <c r="D1306" s="239"/>
      <c r="E1306" s="237">
        <v>495</v>
      </c>
      <c r="F1306" s="242" t="s">
        <v>27</v>
      </c>
      <c r="G1306" s="239" t="s">
        <v>943</v>
      </c>
      <c r="H1306" s="240">
        <f t="shared" si="20"/>
        <v>77757</v>
      </c>
      <c r="I1306" s="241"/>
      <c r="J1306" s="221" t="b">
        <f>EXACT(E1307,[1]Main!E1307)</f>
        <v>1</v>
      </c>
    </row>
    <row r="1307" spans="1:10" x14ac:dyDescent="0.25">
      <c r="A1307" s="249">
        <v>45124</v>
      </c>
      <c r="B1307" s="237"/>
      <c r="C1307" s="238"/>
      <c r="D1307" s="239"/>
      <c r="E1307" s="57">
        <v>90</v>
      </c>
      <c r="F1307" s="242" t="s">
        <v>486</v>
      </c>
      <c r="G1307" s="239" t="s">
        <v>930</v>
      </c>
      <c r="H1307" s="240">
        <f t="shared" si="20"/>
        <v>77667</v>
      </c>
      <c r="I1307" s="241"/>
      <c r="J1307" s="221" t="b">
        <f>EXACT(E1308,[1]Main!E1308)</f>
        <v>1</v>
      </c>
    </row>
    <row r="1308" spans="1:10" x14ac:dyDescent="0.25">
      <c r="A1308" s="249">
        <v>45124</v>
      </c>
      <c r="B1308" s="237"/>
      <c r="C1308" s="238"/>
      <c r="D1308" s="239"/>
      <c r="E1308" s="237">
        <v>3000</v>
      </c>
      <c r="F1308" s="242" t="s">
        <v>803</v>
      </c>
      <c r="G1308" s="239" t="s">
        <v>928</v>
      </c>
      <c r="H1308" s="240">
        <f t="shared" si="20"/>
        <v>74667</v>
      </c>
      <c r="I1308" s="241" t="s">
        <v>789</v>
      </c>
      <c r="J1308" s="221" t="b">
        <f>EXACT(E1309,[1]Main!E1309)</f>
        <v>1</v>
      </c>
    </row>
    <row r="1309" spans="1:10" x14ac:dyDescent="0.25">
      <c r="A1309" s="249">
        <v>45124</v>
      </c>
      <c r="B1309" s="237"/>
      <c r="C1309" s="238"/>
      <c r="D1309" s="239"/>
      <c r="E1309" s="237">
        <v>7505</v>
      </c>
      <c r="F1309" s="242" t="s">
        <v>1114</v>
      </c>
      <c r="G1309" s="239" t="s">
        <v>935</v>
      </c>
      <c r="H1309" s="240">
        <f t="shared" si="20"/>
        <v>67162</v>
      </c>
      <c r="I1309" s="241"/>
      <c r="J1309" s="221" t="b">
        <f>EXACT(E1310,[1]Main!E1310)</f>
        <v>1</v>
      </c>
    </row>
    <row r="1310" spans="1:10" x14ac:dyDescent="0.25">
      <c r="A1310" s="249">
        <v>45124</v>
      </c>
      <c r="B1310" s="237"/>
      <c r="C1310" s="238"/>
      <c r="D1310" s="239"/>
      <c r="E1310" s="57">
        <v>445</v>
      </c>
      <c r="F1310" s="242" t="s">
        <v>27</v>
      </c>
      <c r="G1310" s="239" t="s">
        <v>943</v>
      </c>
      <c r="H1310" s="240">
        <f t="shared" si="20"/>
        <v>66717</v>
      </c>
      <c r="I1310" s="241"/>
      <c r="J1310" s="221" t="b">
        <f>EXACT(E1311,[1]Main!E1311)</f>
        <v>1</v>
      </c>
    </row>
    <row r="1311" spans="1:10" x14ac:dyDescent="0.25">
      <c r="A1311" s="249">
        <v>45124</v>
      </c>
      <c r="B1311" s="237"/>
      <c r="C1311" s="238"/>
      <c r="D1311" s="239"/>
      <c r="E1311" s="237">
        <v>300</v>
      </c>
      <c r="F1311" s="242" t="s">
        <v>27</v>
      </c>
      <c r="G1311" s="239" t="s">
        <v>943</v>
      </c>
      <c r="H1311" s="240">
        <f t="shared" si="20"/>
        <v>66417</v>
      </c>
      <c r="I1311" s="241"/>
      <c r="J1311" s="221" t="b">
        <f>EXACT(E1312,[1]Main!E1312)</f>
        <v>1</v>
      </c>
    </row>
    <row r="1312" spans="1:10" x14ac:dyDescent="0.25">
      <c r="A1312" s="249">
        <v>45124</v>
      </c>
      <c r="B1312" s="237"/>
      <c r="C1312" s="238"/>
      <c r="D1312" s="239"/>
      <c r="E1312" s="237">
        <v>1080</v>
      </c>
      <c r="F1312" s="242" t="s">
        <v>1115</v>
      </c>
      <c r="G1312" s="239" t="s">
        <v>464</v>
      </c>
      <c r="H1312" s="240">
        <f t="shared" si="20"/>
        <v>65337</v>
      </c>
      <c r="I1312" s="241"/>
      <c r="J1312" s="221" t="b">
        <f>EXACT(E1313,[1]Main!E1313)</f>
        <v>1</v>
      </c>
    </row>
    <row r="1313" spans="1:10" x14ac:dyDescent="0.25">
      <c r="A1313" s="249">
        <v>45124</v>
      </c>
      <c r="B1313" s="237"/>
      <c r="C1313" s="238"/>
      <c r="D1313" s="239"/>
      <c r="E1313" s="57">
        <v>120</v>
      </c>
      <c r="F1313" s="242" t="s">
        <v>38</v>
      </c>
      <c r="G1313" s="239" t="s">
        <v>930</v>
      </c>
      <c r="H1313" s="240">
        <f t="shared" si="20"/>
        <v>65217</v>
      </c>
      <c r="I1313" s="241"/>
      <c r="J1313" s="221" t="b">
        <f>EXACT(E1314,[1]Main!E1314)</f>
        <v>1</v>
      </c>
    </row>
    <row r="1314" spans="1:10" x14ac:dyDescent="0.25">
      <c r="A1314" s="249">
        <v>45124</v>
      </c>
      <c r="B1314" s="237"/>
      <c r="C1314" s="238"/>
      <c r="D1314" s="239"/>
      <c r="E1314" s="237">
        <v>75</v>
      </c>
      <c r="F1314" s="242" t="s">
        <v>26</v>
      </c>
      <c r="G1314" s="239" t="s">
        <v>930</v>
      </c>
      <c r="H1314" s="240">
        <f t="shared" si="20"/>
        <v>65142</v>
      </c>
      <c r="I1314" s="241"/>
      <c r="J1314" s="221" t="b">
        <f>EXACT(E1315,[1]Main!E1315)</f>
        <v>1</v>
      </c>
    </row>
    <row r="1315" spans="1:10" x14ac:dyDescent="0.25">
      <c r="A1315" s="249">
        <v>45124</v>
      </c>
      <c r="B1315" s="237"/>
      <c r="C1315" s="238"/>
      <c r="D1315" s="239"/>
      <c r="E1315" s="237">
        <v>215</v>
      </c>
      <c r="F1315" s="242" t="s">
        <v>1116</v>
      </c>
      <c r="G1315" s="239" t="s">
        <v>930</v>
      </c>
      <c r="H1315" s="240">
        <f t="shared" si="20"/>
        <v>64927</v>
      </c>
      <c r="I1315" s="241"/>
      <c r="J1315" s="221" t="b">
        <f>EXACT(E1316,[1]Main!E1316)</f>
        <v>1</v>
      </c>
    </row>
    <row r="1316" spans="1:10" x14ac:dyDescent="0.25">
      <c r="A1316" s="249">
        <v>45124</v>
      </c>
      <c r="B1316" s="237"/>
      <c r="C1316" s="238"/>
      <c r="D1316" s="239"/>
      <c r="E1316" s="57">
        <v>1110</v>
      </c>
      <c r="F1316" s="242" t="s">
        <v>1017</v>
      </c>
      <c r="G1316" s="239" t="s">
        <v>928</v>
      </c>
      <c r="H1316" s="240">
        <f t="shared" si="20"/>
        <v>63817</v>
      </c>
      <c r="I1316" s="241"/>
      <c r="J1316" s="221" t="b">
        <f>EXACT(E1317,[1]Main!E1317)</f>
        <v>1</v>
      </c>
    </row>
    <row r="1317" spans="1:10" x14ac:dyDescent="0.25">
      <c r="A1317" s="249">
        <v>45124</v>
      </c>
      <c r="B1317" s="237"/>
      <c r="C1317" s="238"/>
      <c r="D1317" s="239"/>
      <c r="E1317" s="237">
        <v>24</v>
      </c>
      <c r="F1317" s="242" t="s">
        <v>357</v>
      </c>
      <c r="G1317" s="239" t="s">
        <v>931</v>
      </c>
      <c r="H1317" s="240">
        <f t="shared" si="20"/>
        <v>63793</v>
      </c>
      <c r="I1317" s="241"/>
      <c r="J1317" s="221" t="b">
        <f>EXACT(E1318,[1]Main!E1318)</f>
        <v>1</v>
      </c>
    </row>
    <row r="1318" spans="1:10" x14ac:dyDescent="0.25">
      <c r="A1318" s="249">
        <v>45124</v>
      </c>
      <c r="B1318" s="237"/>
      <c r="C1318" s="238"/>
      <c r="D1318" s="239"/>
      <c r="E1318" s="237">
        <v>51</v>
      </c>
      <c r="F1318" s="242" t="s">
        <v>1118</v>
      </c>
      <c r="G1318" s="239" t="s">
        <v>464</v>
      </c>
      <c r="H1318" s="240">
        <f t="shared" si="20"/>
        <v>63742</v>
      </c>
      <c r="I1318" s="241"/>
      <c r="J1318" s="221" t="b">
        <f>EXACT(E1319,[1]Main!E1319)</f>
        <v>1</v>
      </c>
    </row>
    <row r="1319" spans="1:10" x14ac:dyDescent="0.25">
      <c r="A1319" s="249">
        <v>45124</v>
      </c>
      <c r="B1319" s="237"/>
      <c r="C1319" s="238"/>
      <c r="D1319" s="239"/>
      <c r="E1319" s="57">
        <v>7</v>
      </c>
      <c r="F1319" s="242" t="s">
        <v>73</v>
      </c>
      <c r="G1319" s="239" t="s">
        <v>945</v>
      </c>
      <c r="H1319" s="240">
        <f t="shared" si="20"/>
        <v>63735</v>
      </c>
      <c r="I1319" s="241"/>
      <c r="J1319" s="221" t="b">
        <f>EXACT(E1320,[1]Main!E1320)</f>
        <v>1</v>
      </c>
    </row>
    <row r="1320" spans="1:10" x14ac:dyDescent="0.25">
      <c r="A1320" s="249">
        <v>45124</v>
      </c>
      <c r="B1320" s="237"/>
      <c r="C1320" s="238"/>
      <c r="D1320" s="239"/>
      <c r="E1320" s="237">
        <v>109</v>
      </c>
      <c r="F1320" s="242" t="s">
        <v>1130</v>
      </c>
      <c r="G1320" s="239" t="s">
        <v>937</v>
      </c>
      <c r="H1320" s="240">
        <f t="shared" si="20"/>
        <v>63626</v>
      </c>
      <c r="I1320" s="241"/>
      <c r="J1320" s="221" t="b">
        <f>EXACT(E1321,[1]Main!E1321)</f>
        <v>1</v>
      </c>
    </row>
    <row r="1321" spans="1:10" x14ac:dyDescent="0.25">
      <c r="A1321" s="249">
        <v>45124</v>
      </c>
      <c r="B1321" s="237"/>
      <c r="C1321" s="238"/>
      <c r="D1321" s="239"/>
      <c r="E1321" s="237">
        <v>40</v>
      </c>
      <c r="F1321" s="242" t="s">
        <v>119</v>
      </c>
      <c r="G1321" s="239" t="s">
        <v>464</v>
      </c>
      <c r="H1321" s="240">
        <f t="shared" si="20"/>
        <v>63586</v>
      </c>
      <c r="I1321" s="241"/>
      <c r="J1321" s="221" t="b">
        <f>EXACT(E1322,[1]Main!E1322)</f>
        <v>1</v>
      </c>
    </row>
    <row r="1322" spans="1:10" x14ac:dyDescent="0.25">
      <c r="A1322" s="249">
        <v>45124</v>
      </c>
      <c r="B1322" s="237"/>
      <c r="C1322" s="238"/>
      <c r="D1322" s="239"/>
      <c r="E1322" s="57">
        <v>60</v>
      </c>
      <c r="F1322" s="242" t="s">
        <v>72</v>
      </c>
      <c r="G1322" s="239" t="s">
        <v>930</v>
      </c>
      <c r="H1322" s="240">
        <f t="shared" si="20"/>
        <v>63526</v>
      </c>
      <c r="I1322" s="241"/>
      <c r="J1322" s="221" t="b">
        <f>EXACT(E1323,[1]Main!E1323)</f>
        <v>1</v>
      </c>
    </row>
    <row r="1323" spans="1:10" x14ac:dyDescent="0.25">
      <c r="A1323" s="249">
        <v>45124</v>
      </c>
      <c r="B1323" s="237"/>
      <c r="C1323" s="238"/>
      <c r="D1323" s="239"/>
      <c r="E1323" s="237">
        <v>95</v>
      </c>
      <c r="F1323" s="242" t="s">
        <v>32</v>
      </c>
      <c r="G1323" s="239" t="s">
        <v>930</v>
      </c>
      <c r="H1323" s="240">
        <f t="shared" si="20"/>
        <v>63431</v>
      </c>
      <c r="I1323" s="241"/>
      <c r="J1323" s="221" t="b">
        <f>EXACT(E1324,[1]Main!E1324)</f>
        <v>1</v>
      </c>
    </row>
    <row r="1324" spans="1:10" x14ac:dyDescent="0.25">
      <c r="A1324" s="249">
        <v>45124</v>
      </c>
      <c r="B1324" s="237"/>
      <c r="C1324" s="238"/>
      <c r="D1324" s="239"/>
      <c r="E1324" s="237">
        <v>160</v>
      </c>
      <c r="F1324" s="242" t="s">
        <v>15</v>
      </c>
      <c r="G1324" s="239" t="s">
        <v>930</v>
      </c>
      <c r="H1324" s="240">
        <f t="shared" si="20"/>
        <v>63271</v>
      </c>
      <c r="I1324" s="241"/>
      <c r="J1324" s="221" t="b">
        <f>EXACT(E1325,[1]Main!E1325)</f>
        <v>1</v>
      </c>
    </row>
    <row r="1325" spans="1:10" x14ac:dyDescent="0.25">
      <c r="A1325" s="249">
        <v>45124</v>
      </c>
      <c r="B1325" s="237"/>
      <c r="C1325" s="238"/>
      <c r="D1325" s="239"/>
      <c r="E1325" s="57">
        <v>90</v>
      </c>
      <c r="F1325" s="242" t="s">
        <v>970</v>
      </c>
      <c r="G1325" s="239" t="s">
        <v>930</v>
      </c>
      <c r="H1325" s="240">
        <f t="shared" si="20"/>
        <v>63181</v>
      </c>
      <c r="I1325" s="241"/>
      <c r="J1325" s="221" t="b">
        <f>EXACT(E1326,[1]Main!E1326)</f>
        <v>1</v>
      </c>
    </row>
    <row r="1326" spans="1:10" x14ac:dyDescent="0.25">
      <c r="A1326" s="249">
        <v>45124</v>
      </c>
      <c r="B1326" s="237"/>
      <c r="C1326" s="238"/>
      <c r="D1326" s="239"/>
      <c r="E1326" s="237">
        <v>225</v>
      </c>
      <c r="F1326" s="242" t="s">
        <v>86</v>
      </c>
      <c r="G1326" s="239" t="s">
        <v>930</v>
      </c>
      <c r="H1326" s="240">
        <f t="shared" si="20"/>
        <v>62956</v>
      </c>
      <c r="I1326" s="241"/>
      <c r="J1326" s="221" t="b">
        <f>EXACT(E1327,[1]Main!E1327)</f>
        <v>1</v>
      </c>
    </row>
    <row r="1327" spans="1:10" x14ac:dyDescent="0.25">
      <c r="A1327" s="249">
        <v>45124</v>
      </c>
      <c r="B1327" s="237"/>
      <c r="C1327" s="238"/>
      <c r="D1327" s="239"/>
      <c r="E1327" s="237">
        <v>180</v>
      </c>
      <c r="F1327" s="242" t="s">
        <v>1124</v>
      </c>
      <c r="G1327" s="239" t="s">
        <v>930</v>
      </c>
      <c r="H1327" s="240">
        <f t="shared" si="20"/>
        <v>62776</v>
      </c>
      <c r="I1327" s="241"/>
      <c r="J1327" s="221" t="b">
        <f>EXACT(E1328,[1]Main!E1328)</f>
        <v>1</v>
      </c>
    </row>
    <row r="1328" spans="1:10" x14ac:dyDescent="0.25">
      <c r="A1328" s="249">
        <v>45124</v>
      </c>
      <c r="B1328" s="237"/>
      <c r="C1328" s="238"/>
      <c r="D1328" s="239"/>
      <c r="E1328" s="57">
        <v>540</v>
      </c>
      <c r="F1328" s="242" t="s">
        <v>1125</v>
      </c>
      <c r="G1328" s="239" t="s">
        <v>935</v>
      </c>
      <c r="H1328" s="240">
        <f t="shared" si="20"/>
        <v>62236</v>
      </c>
      <c r="I1328" s="241"/>
      <c r="J1328" s="221" t="b">
        <f>EXACT(E1329,[1]Main!E1329)</f>
        <v>1</v>
      </c>
    </row>
    <row r="1329" spans="1:10" x14ac:dyDescent="0.25">
      <c r="A1329" s="249">
        <v>45124</v>
      </c>
      <c r="B1329" s="237"/>
      <c r="C1329" s="238"/>
      <c r="D1329" s="239"/>
      <c r="E1329" s="237">
        <v>100</v>
      </c>
      <c r="F1329" s="242" t="s">
        <v>1126</v>
      </c>
      <c r="G1329" s="239" t="s">
        <v>930</v>
      </c>
      <c r="H1329" s="240">
        <f t="shared" si="20"/>
        <v>62136</v>
      </c>
      <c r="I1329" s="241"/>
      <c r="J1329" s="221" t="b">
        <f>EXACT(E1330,[1]Main!E1330)</f>
        <v>1</v>
      </c>
    </row>
    <row r="1330" spans="1:10" x14ac:dyDescent="0.25">
      <c r="A1330" s="249">
        <v>45124</v>
      </c>
      <c r="B1330" s="237"/>
      <c r="C1330" s="238"/>
      <c r="D1330" s="239"/>
      <c r="E1330" s="237">
        <v>150</v>
      </c>
      <c r="F1330" s="242" t="s">
        <v>708</v>
      </c>
      <c r="G1330" s="239" t="s">
        <v>930</v>
      </c>
      <c r="H1330" s="240">
        <f t="shared" si="20"/>
        <v>61986</v>
      </c>
      <c r="I1330" s="241"/>
      <c r="J1330" s="221" t="b">
        <f>EXACT(E1331,[1]Main!E1331)</f>
        <v>1</v>
      </c>
    </row>
    <row r="1331" spans="1:10" x14ac:dyDescent="0.25">
      <c r="A1331" s="249">
        <v>45124</v>
      </c>
      <c r="B1331" s="237"/>
      <c r="C1331" s="238"/>
      <c r="D1331" s="239"/>
      <c r="E1331" s="57">
        <v>520</v>
      </c>
      <c r="F1331" s="242" t="s">
        <v>1127</v>
      </c>
      <c r="G1331" s="239" t="s">
        <v>928</v>
      </c>
      <c r="H1331" s="240">
        <f t="shared" si="20"/>
        <v>61466</v>
      </c>
      <c r="I1331" s="241"/>
      <c r="J1331" s="221" t="b">
        <f>EXACT(E1332,[1]Main!E1332)</f>
        <v>1</v>
      </c>
    </row>
    <row r="1332" spans="1:10" x14ac:dyDescent="0.25">
      <c r="A1332" s="249">
        <v>45124</v>
      </c>
      <c r="B1332" s="237"/>
      <c r="C1332" s="238"/>
      <c r="D1332" s="239"/>
      <c r="E1332" s="237">
        <v>185</v>
      </c>
      <c r="F1332" s="242" t="s">
        <v>498</v>
      </c>
      <c r="G1332" s="239" t="s">
        <v>930</v>
      </c>
      <c r="H1332" s="240">
        <f t="shared" si="20"/>
        <v>61281</v>
      </c>
      <c r="I1332" s="241"/>
      <c r="J1332" s="221" t="b">
        <f>EXACT(E1333,[1]Main!E1333)</f>
        <v>1</v>
      </c>
    </row>
    <row r="1333" spans="1:10" x14ac:dyDescent="0.25">
      <c r="A1333" s="249">
        <v>45124</v>
      </c>
      <c r="B1333" s="237"/>
      <c r="C1333" s="238"/>
      <c r="D1333" s="239"/>
      <c r="E1333" s="237">
        <v>650</v>
      </c>
      <c r="F1333" s="242" t="s">
        <v>1128</v>
      </c>
      <c r="G1333" s="239" t="s">
        <v>928</v>
      </c>
      <c r="H1333" s="240">
        <f t="shared" si="20"/>
        <v>60631</v>
      </c>
      <c r="I1333" s="241"/>
      <c r="J1333" s="221" t="b">
        <f>EXACT(E1334,[1]Main!E1334)</f>
        <v>1</v>
      </c>
    </row>
    <row r="1334" spans="1:10" x14ac:dyDescent="0.25">
      <c r="A1334" s="249">
        <v>45124</v>
      </c>
      <c r="B1334" s="237"/>
      <c r="C1334" s="238"/>
      <c r="D1334" s="239"/>
      <c r="E1334" s="57">
        <v>120</v>
      </c>
      <c r="F1334" s="242" t="s">
        <v>1129</v>
      </c>
      <c r="G1334" s="239" t="s">
        <v>930</v>
      </c>
      <c r="H1334" s="240">
        <f t="shared" si="20"/>
        <v>60511</v>
      </c>
      <c r="I1334" s="241"/>
      <c r="J1334" s="221" t="b">
        <f>EXACT(E1335,[1]Main!E1335)</f>
        <v>1</v>
      </c>
    </row>
    <row r="1335" spans="1:10" x14ac:dyDescent="0.25">
      <c r="A1335" s="249">
        <v>45124</v>
      </c>
      <c r="B1335" s="237"/>
      <c r="C1335" s="238"/>
      <c r="D1335" s="239"/>
      <c r="E1335" s="237">
        <v>5</v>
      </c>
      <c r="F1335" s="242" t="s">
        <v>1131</v>
      </c>
      <c r="G1335" s="239" t="s">
        <v>937</v>
      </c>
      <c r="H1335" s="240">
        <f t="shared" si="20"/>
        <v>60506</v>
      </c>
      <c r="I1335" s="241"/>
      <c r="J1335" s="221" t="b">
        <f>EXACT(E1336,[1]Main!E1336)</f>
        <v>1</v>
      </c>
    </row>
    <row r="1336" spans="1:10" x14ac:dyDescent="0.25">
      <c r="A1336" s="249">
        <v>45124</v>
      </c>
      <c r="B1336" s="237"/>
      <c r="C1336" s="238"/>
      <c r="D1336" s="239"/>
      <c r="E1336" s="237">
        <v>225</v>
      </c>
      <c r="F1336" s="242" t="s">
        <v>255</v>
      </c>
      <c r="G1336" s="239" t="s">
        <v>930</v>
      </c>
      <c r="H1336" s="240">
        <f t="shared" si="20"/>
        <v>60281</v>
      </c>
      <c r="I1336" s="241"/>
      <c r="J1336" s="221" t="b">
        <f>EXACT(E1337,[1]Main!E1337)</f>
        <v>1</v>
      </c>
    </row>
    <row r="1337" spans="1:10" x14ac:dyDescent="0.25">
      <c r="A1337" s="249">
        <v>45124</v>
      </c>
      <c r="B1337" s="237"/>
      <c r="C1337" s="238"/>
      <c r="D1337" s="239"/>
      <c r="E1337" s="57">
        <v>90</v>
      </c>
      <c r="F1337" s="242" t="s">
        <v>9</v>
      </c>
      <c r="G1337" s="239" t="s">
        <v>930</v>
      </c>
      <c r="H1337" s="240">
        <f t="shared" si="20"/>
        <v>60191</v>
      </c>
      <c r="I1337" s="241"/>
      <c r="J1337" s="221" t="b">
        <f>EXACT(E1338,[1]Main!E1338)</f>
        <v>1</v>
      </c>
    </row>
    <row r="1338" spans="1:10" x14ac:dyDescent="0.25">
      <c r="A1338" s="249">
        <v>45124</v>
      </c>
      <c r="B1338" s="237"/>
      <c r="C1338" s="238"/>
      <c r="D1338" s="239"/>
      <c r="E1338" s="237">
        <v>50</v>
      </c>
      <c r="F1338" s="242" t="s">
        <v>50</v>
      </c>
      <c r="G1338" s="239" t="s">
        <v>931</v>
      </c>
      <c r="H1338" s="240">
        <f t="shared" si="20"/>
        <v>60141</v>
      </c>
      <c r="I1338" s="241"/>
      <c r="J1338" s="221" t="b">
        <f>EXACT(E1339,[1]Main!E1339)</f>
        <v>1</v>
      </c>
    </row>
    <row r="1339" spans="1:10" x14ac:dyDescent="0.25">
      <c r="A1339" s="249">
        <v>45124</v>
      </c>
      <c r="B1339" s="237"/>
      <c r="C1339" s="238"/>
      <c r="D1339" s="239"/>
      <c r="E1339" s="237">
        <v>290</v>
      </c>
      <c r="F1339" s="242" t="s">
        <v>709</v>
      </c>
      <c r="G1339" s="239" t="s">
        <v>930</v>
      </c>
      <c r="H1339" s="240">
        <f t="shared" si="20"/>
        <v>59851</v>
      </c>
      <c r="I1339" s="241"/>
      <c r="J1339" s="221" t="b">
        <f>EXACT(E1340,[1]Main!E1340)</f>
        <v>1</v>
      </c>
    </row>
    <row r="1340" spans="1:10" x14ac:dyDescent="0.25">
      <c r="A1340" s="249">
        <v>45124</v>
      </c>
      <c r="B1340" s="237"/>
      <c r="C1340" s="238"/>
      <c r="D1340" s="239"/>
      <c r="E1340" s="57">
        <v>304</v>
      </c>
      <c r="F1340" s="242" t="s">
        <v>252</v>
      </c>
      <c r="G1340" s="239" t="s">
        <v>928</v>
      </c>
      <c r="H1340" s="240">
        <f t="shared" si="20"/>
        <v>59547</v>
      </c>
      <c r="I1340" s="241"/>
      <c r="J1340" s="221" t="b">
        <f>EXACT(E1341,[1]Main!E1341)</f>
        <v>1</v>
      </c>
    </row>
    <row r="1341" spans="1:10" x14ac:dyDescent="0.25">
      <c r="A1341" s="249">
        <v>45124</v>
      </c>
      <c r="B1341" s="237"/>
      <c r="C1341" s="238"/>
      <c r="D1341" s="239"/>
      <c r="E1341" s="237">
        <v>140</v>
      </c>
      <c r="F1341" s="242" t="s">
        <v>341</v>
      </c>
      <c r="G1341" s="239" t="s">
        <v>930</v>
      </c>
      <c r="H1341" s="240">
        <f t="shared" si="20"/>
        <v>59407</v>
      </c>
      <c r="I1341" s="241"/>
      <c r="J1341" s="221" t="b">
        <f>EXACT(E1342,[1]Main!E1342)</f>
        <v>1</v>
      </c>
    </row>
    <row r="1342" spans="1:10" x14ac:dyDescent="0.25">
      <c r="A1342" s="249">
        <v>45124</v>
      </c>
      <c r="B1342" s="237"/>
      <c r="C1342" s="238"/>
      <c r="D1342" s="239"/>
      <c r="E1342" s="237">
        <v>120</v>
      </c>
      <c r="F1342" s="242" t="s">
        <v>39</v>
      </c>
      <c r="G1342" s="239" t="s">
        <v>930</v>
      </c>
      <c r="H1342" s="240">
        <f t="shared" si="20"/>
        <v>59287</v>
      </c>
      <c r="I1342" s="241"/>
      <c r="J1342" s="221" t="b">
        <f>EXACT(E1343,[1]Main!E1343)</f>
        <v>1</v>
      </c>
    </row>
    <row r="1343" spans="1:10" x14ac:dyDescent="0.25">
      <c r="A1343" s="249">
        <v>45124</v>
      </c>
      <c r="B1343" s="237"/>
      <c r="C1343" s="238"/>
      <c r="D1343" s="239"/>
      <c r="E1343" s="57">
        <v>1715</v>
      </c>
      <c r="F1343" s="242" t="s">
        <v>12</v>
      </c>
      <c r="G1343" s="239" t="s">
        <v>928</v>
      </c>
      <c r="H1343" s="240">
        <f t="shared" si="20"/>
        <v>57572</v>
      </c>
      <c r="I1343" s="241"/>
      <c r="J1343" s="221" t="b">
        <f>EXACT(E1344,[1]Main!E1344)</f>
        <v>1</v>
      </c>
    </row>
    <row r="1344" spans="1:10" x14ac:dyDescent="0.25">
      <c r="A1344" s="249">
        <v>45124</v>
      </c>
      <c r="B1344" s="237"/>
      <c r="C1344" s="238"/>
      <c r="D1344" s="239"/>
      <c r="E1344" s="237">
        <v>1073</v>
      </c>
      <c r="F1344" s="242" t="s">
        <v>1122</v>
      </c>
      <c r="G1344" s="239" t="s">
        <v>928</v>
      </c>
      <c r="H1344" s="240">
        <f t="shared" si="20"/>
        <v>56499</v>
      </c>
      <c r="I1344" s="241"/>
      <c r="J1344" s="221" t="b">
        <f>EXACT(E1345,[1]Main!E1345)</f>
        <v>1</v>
      </c>
    </row>
    <row r="1345" spans="1:11" x14ac:dyDescent="0.25">
      <c r="A1345" s="249">
        <v>45124</v>
      </c>
      <c r="B1345" s="237"/>
      <c r="C1345" s="238"/>
      <c r="D1345" s="239"/>
      <c r="E1345" s="237">
        <v>390</v>
      </c>
      <c r="F1345" s="242" t="s">
        <v>312</v>
      </c>
      <c r="G1345" s="239" t="s">
        <v>935</v>
      </c>
      <c r="H1345" s="240">
        <f t="shared" si="20"/>
        <v>56109</v>
      </c>
      <c r="I1345" s="241"/>
      <c r="J1345" s="221" t="b">
        <f>EXACT(E1346,[1]Main!E1346)</f>
        <v>1</v>
      </c>
    </row>
    <row r="1346" spans="1:11" x14ac:dyDescent="0.25">
      <c r="A1346" s="249">
        <v>45124</v>
      </c>
      <c r="B1346" s="237"/>
      <c r="C1346" s="238"/>
      <c r="D1346" s="239"/>
      <c r="E1346" s="57">
        <v>140</v>
      </c>
      <c r="F1346" s="242" t="s">
        <v>656</v>
      </c>
      <c r="G1346" s="239" t="s">
        <v>929</v>
      </c>
      <c r="H1346" s="240">
        <f t="shared" si="20"/>
        <v>55969</v>
      </c>
      <c r="I1346" s="241"/>
      <c r="J1346" s="221" t="b">
        <f>EXACT(E1347,[1]Main!E1347)</f>
        <v>1</v>
      </c>
    </row>
    <row r="1347" spans="1:11" x14ac:dyDescent="0.25">
      <c r="A1347" s="249">
        <v>45124</v>
      </c>
      <c r="B1347" s="237"/>
      <c r="C1347" s="238"/>
      <c r="D1347" s="239"/>
      <c r="E1347" s="237">
        <v>2870</v>
      </c>
      <c r="F1347" s="242" t="s">
        <v>14</v>
      </c>
      <c r="G1347" s="239" t="s">
        <v>928</v>
      </c>
      <c r="H1347" s="240">
        <f t="shared" si="20"/>
        <v>53099</v>
      </c>
      <c r="I1347" s="241"/>
      <c r="J1347" s="221" t="b">
        <f>EXACT(E1348,[1]Main!E1348)</f>
        <v>1</v>
      </c>
    </row>
    <row r="1348" spans="1:11" x14ac:dyDescent="0.25">
      <c r="A1348" s="249">
        <v>45124</v>
      </c>
      <c r="B1348" s="237"/>
      <c r="C1348" s="238"/>
      <c r="D1348" s="239"/>
      <c r="E1348" s="237">
        <v>16</v>
      </c>
      <c r="F1348" s="242" t="s">
        <v>315</v>
      </c>
      <c r="G1348" s="239" t="s">
        <v>464</v>
      </c>
      <c r="H1348" s="240">
        <f t="shared" si="20"/>
        <v>53083</v>
      </c>
      <c r="I1348" s="241"/>
      <c r="J1348" s="221" t="b">
        <f>EXACT(E1349,[1]Main!E1349)</f>
        <v>1</v>
      </c>
    </row>
    <row r="1349" spans="1:11" x14ac:dyDescent="0.25">
      <c r="A1349" s="249">
        <v>45124</v>
      </c>
      <c r="B1349" s="237"/>
      <c r="C1349" s="238"/>
      <c r="D1349" s="239"/>
      <c r="E1349" s="57">
        <v>245</v>
      </c>
      <c r="F1349" s="242" t="s">
        <v>1121</v>
      </c>
      <c r="G1349" s="239" t="s">
        <v>930</v>
      </c>
      <c r="H1349" s="240">
        <f t="shared" si="20"/>
        <v>52838</v>
      </c>
      <c r="I1349" s="241"/>
      <c r="J1349" s="221" t="b">
        <f>EXACT(E1350,[1]Main!E1350)</f>
        <v>1</v>
      </c>
    </row>
    <row r="1350" spans="1:11" x14ac:dyDescent="0.25">
      <c r="A1350" s="249">
        <v>45124</v>
      </c>
      <c r="B1350" s="237"/>
      <c r="C1350" s="238"/>
      <c r="D1350" s="239"/>
      <c r="E1350" s="237">
        <v>130</v>
      </c>
      <c r="F1350" s="242" t="s">
        <v>1120</v>
      </c>
      <c r="G1350" s="239" t="s">
        <v>930</v>
      </c>
      <c r="H1350" s="240">
        <f t="shared" si="20"/>
        <v>52708</v>
      </c>
      <c r="I1350" s="241"/>
      <c r="J1350" s="221" t="b">
        <f>EXACT(E1351,[1]Main!E1351)</f>
        <v>1</v>
      </c>
    </row>
    <row r="1351" spans="1:11" s="306" customFormat="1" x14ac:dyDescent="0.25">
      <c r="A1351" s="299">
        <v>45124</v>
      </c>
      <c r="B1351" s="300"/>
      <c r="C1351" s="301"/>
      <c r="D1351" s="302"/>
      <c r="E1351" s="300">
        <v>145</v>
      </c>
      <c r="F1351" s="303" t="s">
        <v>73</v>
      </c>
      <c r="G1351" s="302" t="s">
        <v>945</v>
      </c>
      <c r="H1351" s="240">
        <f t="shared" ref="H1351:H1414" si="21">H1350+B1351-E1351</f>
        <v>52563</v>
      </c>
      <c r="I1351" s="304"/>
      <c r="J1351" s="221" t="b">
        <f>EXACT(E1352,[1]Main!E1352)</f>
        <v>1</v>
      </c>
      <c r="K1351" s="305"/>
    </row>
    <row r="1352" spans="1:11" x14ac:dyDescent="0.25">
      <c r="A1352" s="249">
        <v>45125</v>
      </c>
      <c r="B1352" s="237">
        <v>13260</v>
      </c>
      <c r="C1352" s="238" t="s">
        <v>300</v>
      </c>
      <c r="D1352" s="239" t="s">
        <v>763</v>
      </c>
      <c r="E1352" s="332">
        <f>5000+500+5000+500+475</f>
        <v>11475</v>
      </c>
      <c r="F1352" s="242" t="s">
        <v>565</v>
      </c>
      <c r="G1352" s="239" t="s">
        <v>928</v>
      </c>
      <c r="H1352" s="240">
        <f t="shared" si="21"/>
        <v>54348</v>
      </c>
      <c r="I1352" s="241"/>
      <c r="J1352" s="221" t="b">
        <f>EXACT(E1353,[1]Main!E1353)</f>
        <v>1</v>
      </c>
    </row>
    <row r="1353" spans="1:11" x14ac:dyDescent="0.25">
      <c r="A1353" s="249">
        <v>45125</v>
      </c>
      <c r="B1353" s="237">
        <v>810</v>
      </c>
      <c r="C1353" s="238" t="s">
        <v>1135</v>
      </c>
      <c r="D1353" s="239" t="s">
        <v>765</v>
      </c>
      <c r="E1353" s="332">
        <v>28</v>
      </c>
      <c r="F1353" s="242" t="s">
        <v>451</v>
      </c>
      <c r="G1353" s="239" t="s">
        <v>931</v>
      </c>
      <c r="H1353" s="240">
        <f t="shared" si="21"/>
        <v>55130</v>
      </c>
      <c r="I1353" s="241"/>
      <c r="J1353" s="221" t="b">
        <f>EXACT(E1354,[1]Main!E1354)</f>
        <v>1</v>
      </c>
    </row>
    <row r="1354" spans="1:11" x14ac:dyDescent="0.25">
      <c r="A1354" s="249">
        <v>45125</v>
      </c>
      <c r="B1354" s="237">
        <v>3485</v>
      </c>
      <c r="C1354" s="238" t="s">
        <v>27</v>
      </c>
      <c r="D1354" s="239" t="s">
        <v>772</v>
      </c>
      <c r="E1354" s="332">
        <v>3135</v>
      </c>
      <c r="F1354" s="242" t="s">
        <v>1136</v>
      </c>
      <c r="G1354" s="239" t="s">
        <v>928</v>
      </c>
      <c r="H1354" s="240">
        <f t="shared" si="21"/>
        <v>55480</v>
      </c>
      <c r="I1354" s="241" t="s">
        <v>1137</v>
      </c>
      <c r="J1354" s="221" t="b">
        <f>EXACT(E1355,[1]Main!E1355)</f>
        <v>1</v>
      </c>
    </row>
    <row r="1355" spans="1:11" x14ac:dyDescent="0.25">
      <c r="A1355" s="249">
        <v>45125</v>
      </c>
      <c r="B1355" s="237">
        <v>14090</v>
      </c>
      <c r="C1355" s="238" t="s">
        <v>80</v>
      </c>
      <c r="D1355" s="239" t="s">
        <v>763</v>
      </c>
      <c r="E1355" s="332">
        <v>130</v>
      </c>
      <c r="F1355" s="242" t="s">
        <v>7</v>
      </c>
      <c r="G1355" s="239" t="s">
        <v>930</v>
      </c>
      <c r="H1355" s="240">
        <f t="shared" si="21"/>
        <v>69440</v>
      </c>
      <c r="J1355" s="221" t="b">
        <f>EXACT(E1356,[1]Main!E1356)</f>
        <v>1</v>
      </c>
    </row>
    <row r="1356" spans="1:11" x14ac:dyDescent="0.25">
      <c r="A1356" s="249">
        <v>45125</v>
      </c>
      <c r="B1356" s="237">
        <v>1763</v>
      </c>
      <c r="C1356" s="238" t="s">
        <v>979</v>
      </c>
      <c r="D1356" s="239" t="s">
        <v>765</v>
      </c>
      <c r="E1356" s="332">
        <v>300</v>
      </c>
      <c r="F1356" s="242" t="s">
        <v>8</v>
      </c>
      <c r="G1356" s="239" t="s">
        <v>930</v>
      </c>
      <c r="H1356" s="240">
        <f t="shared" si="21"/>
        <v>70903</v>
      </c>
      <c r="I1356" s="241"/>
      <c r="J1356" s="221" t="b">
        <f>EXACT(E1357,[1]Main!E1357)</f>
        <v>1</v>
      </c>
    </row>
    <row r="1357" spans="1:11" x14ac:dyDescent="0.25">
      <c r="A1357" s="249">
        <v>45125</v>
      </c>
      <c r="B1357" s="237">
        <v>355</v>
      </c>
      <c r="C1357" s="238" t="s">
        <v>27</v>
      </c>
      <c r="D1357" s="239" t="s">
        <v>772</v>
      </c>
      <c r="E1357" s="332">
        <v>2410</v>
      </c>
      <c r="F1357" s="242" t="s">
        <v>737</v>
      </c>
      <c r="G1357" s="239" t="s">
        <v>928</v>
      </c>
      <c r="H1357" s="240">
        <f t="shared" si="21"/>
        <v>68848</v>
      </c>
      <c r="I1357" s="241" t="s">
        <v>1145</v>
      </c>
      <c r="J1357" s="221" t="b">
        <f>EXACT(E1358,[1]Main!E1358)</f>
        <v>1</v>
      </c>
    </row>
    <row r="1358" spans="1:11" x14ac:dyDescent="0.25">
      <c r="A1358" s="249">
        <v>45125</v>
      </c>
      <c r="B1358" s="237">
        <v>955</v>
      </c>
      <c r="C1358" s="238" t="s">
        <v>27</v>
      </c>
      <c r="D1358" s="239" t="s">
        <v>772</v>
      </c>
      <c r="E1358" s="332">
        <v>15</v>
      </c>
      <c r="F1358" s="242" t="s">
        <v>1134</v>
      </c>
      <c r="G1358" s="239" t="s">
        <v>464</v>
      </c>
      <c r="H1358" s="240">
        <f t="shared" si="21"/>
        <v>69788</v>
      </c>
      <c r="I1358" s="241"/>
      <c r="J1358" s="221" t="b">
        <f>EXACT(E1359,[1]Main!E1359)</f>
        <v>1</v>
      </c>
    </row>
    <row r="1359" spans="1:11" x14ac:dyDescent="0.25">
      <c r="A1359" s="249">
        <v>45125</v>
      </c>
      <c r="B1359" s="237">
        <v>15476</v>
      </c>
      <c r="C1359" s="238" t="s">
        <v>363</v>
      </c>
      <c r="D1359" s="239" t="s">
        <v>763</v>
      </c>
      <c r="E1359" s="332">
        <v>100</v>
      </c>
      <c r="F1359" s="242" t="s">
        <v>373</v>
      </c>
      <c r="G1359" s="239" t="s">
        <v>930</v>
      </c>
      <c r="H1359" s="240">
        <f t="shared" si="21"/>
        <v>85164</v>
      </c>
      <c r="I1359" s="241"/>
      <c r="J1359" s="221" t="b">
        <f>EXACT(E1360,[1]Main!E1360)</f>
        <v>1</v>
      </c>
    </row>
    <row r="1360" spans="1:11" x14ac:dyDescent="0.25">
      <c r="A1360" s="249">
        <v>45125</v>
      </c>
      <c r="B1360" s="237">
        <v>1780</v>
      </c>
      <c r="C1360" s="238" t="s">
        <v>913</v>
      </c>
      <c r="D1360" s="239" t="s">
        <v>765</v>
      </c>
      <c r="E1360" s="332">
        <v>1185</v>
      </c>
      <c r="F1360" s="242" t="s">
        <v>505</v>
      </c>
      <c r="G1360" s="239" t="s">
        <v>928</v>
      </c>
      <c r="H1360" s="240">
        <f t="shared" si="21"/>
        <v>85759</v>
      </c>
      <c r="I1360" s="241"/>
      <c r="J1360" s="221" t="b">
        <f>EXACT(E1361,[1]Main!E1361)</f>
        <v>1</v>
      </c>
    </row>
    <row r="1361" spans="1:10" x14ac:dyDescent="0.25">
      <c r="A1361" s="249">
        <v>45125</v>
      </c>
      <c r="B1361" s="237">
        <v>510</v>
      </c>
      <c r="C1361" s="238" t="s">
        <v>27</v>
      </c>
      <c r="D1361" s="239" t="s">
        <v>772</v>
      </c>
      <c r="E1361" s="332">
        <v>700</v>
      </c>
      <c r="F1361" s="242" t="s">
        <v>1138</v>
      </c>
      <c r="G1361" s="239" t="s">
        <v>928</v>
      </c>
      <c r="H1361" s="240">
        <f t="shared" si="21"/>
        <v>85569</v>
      </c>
      <c r="I1361" s="241"/>
      <c r="J1361" s="221" t="b">
        <f>EXACT(E1362,[1]Main!E1362)</f>
        <v>1</v>
      </c>
    </row>
    <row r="1362" spans="1:10" x14ac:dyDescent="0.25">
      <c r="A1362" s="249">
        <v>45125</v>
      </c>
      <c r="B1362" s="237">
        <v>17262</v>
      </c>
      <c r="C1362" s="238" t="s">
        <v>88</v>
      </c>
      <c r="D1362" s="239" t="s">
        <v>766</v>
      </c>
      <c r="E1362" s="332">
        <v>786</v>
      </c>
      <c r="F1362" s="242" t="s">
        <v>37</v>
      </c>
      <c r="G1362" s="239" t="s">
        <v>928</v>
      </c>
      <c r="H1362" s="240">
        <f t="shared" si="21"/>
        <v>102045</v>
      </c>
      <c r="I1362" s="241"/>
      <c r="J1362" s="221" t="b">
        <f>EXACT(E1363,[1]Main!E1363)</f>
        <v>1</v>
      </c>
    </row>
    <row r="1363" spans="1:10" x14ac:dyDescent="0.25">
      <c r="A1363" s="249">
        <v>45125</v>
      </c>
      <c r="B1363" s="237">
        <v>1850</v>
      </c>
      <c r="C1363" s="238" t="s">
        <v>1180</v>
      </c>
      <c r="D1363" s="239" t="s">
        <v>768</v>
      </c>
      <c r="E1363" s="332">
        <v>530</v>
      </c>
      <c r="F1363" s="242" t="s">
        <v>1139</v>
      </c>
      <c r="G1363" s="239" t="s">
        <v>928</v>
      </c>
      <c r="H1363" s="240">
        <f t="shared" si="21"/>
        <v>103365</v>
      </c>
      <c r="I1363" s="241"/>
      <c r="J1363" s="221" t="b">
        <f>EXACT(E1364,[1]Main!E1364)</f>
        <v>1</v>
      </c>
    </row>
    <row r="1364" spans="1:10" x14ac:dyDescent="0.25">
      <c r="A1364" s="249">
        <v>45125</v>
      </c>
      <c r="B1364" s="237">
        <v>100</v>
      </c>
      <c r="C1364" s="238" t="s">
        <v>1061</v>
      </c>
      <c r="D1364" s="239" t="s">
        <v>931</v>
      </c>
      <c r="E1364" s="332">
        <v>1910</v>
      </c>
      <c r="F1364" s="242" t="s">
        <v>155</v>
      </c>
      <c r="G1364" s="239" t="s">
        <v>928</v>
      </c>
      <c r="H1364" s="240">
        <f t="shared" si="21"/>
        <v>101555</v>
      </c>
      <c r="I1364" s="241"/>
      <c r="J1364" s="221" t="b">
        <f>EXACT(E1365,[1]Main!E1365)</f>
        <v>1</v>
      </c>
    </row>
    <row r="1365" spans="1:10" x14ac:dyDescent="0.25">
      <c r="A1365" s="249">
        <v>45125</v>
      </c>
      <c r="B1365" s="237">
        <v>420</v>
      </c>
      <c r="C1365" s="238" t="s">
        <v>27</v>
      </c>
      <c r="D1365" s="239" t="s">
        <v>772</v>
      </c>
      <c r="E1365" s="332">
        <v>1000</v>
      </c>
      <c r="F1365" s="242" t="s">
        <v>505</v>
      </c>
      <c r="G1365" s="239" t="s">
        <v>928</v>
      </c>
      <c r="H1365" s="240">
        <f t="shared" si="21"/>
        <v>100975</v>
      </c>
      <c r="I1365" s="241" t="s">
        <v>791</v>
      </c>
      <c r="J1365" s="221" t="b">
        <f>EXACT(E1366,[1]Main!E1366)</f>
        <v>1</v>
      </c>
    </row>
    <row r="1366" spans="1:10" x14ac:dyDescent="0.25">
      <c r="A1366" s="249">
        <v>45125</v>
      </c>
      <c r="B1366" s="237">
        <v>10632</v>
      </c>
      <c r="C1366" s="238" t="s">
        <v>1162</v>
      </c>
      <c r="D1366" s="239" t="s">
        <v>763</v>
      </c>
      <c r="E1366" s="332">
        <f>155+1768</f>
        <v>1923</v>
      </c>
      <c r="F1366" s="242" t="s">
        <v>270</v>
      </c>
      <c r="G1366" s="239" t="s">
        <v>928</v>
      </c>
      <c r="H1366" s="240">
        <f t="shared" si="21"/>
        <v>109684</v>
      </c>
      <c r="I1366" s="241"/>
      <c r="J1366" s="221" t="b">
        <f>EXACT(E1367,[1]Main!E1367)</f>
        <v>1</v>
      </c>
    </row>
    <row r="1367" spans="1:10" x14ac:dyDescent="0.25">
      <c r="A1367" s="249">
        <v>45125</v>
      </c>
      <c r="B1367" s="237">
        <v>22945</v>
      </c>
      <c r="C1367" s="238" t="s">
        <v>15</v>
      </c>
      <c r="D1367" s="239" t="s">
        <v>766</v>
      </c>
      <c r="E1367" s="332">
        <v>1655</v>
      </c>
      <c r="F1367" s="242" t="s">
        <v>336</v>
      </c>
      <c r="G1367" s="239" t="s">
        <v>928</v>
      </c>
      <c r="H1367" s="240">
        <f t="shared" si="21"/>
        <v>130974</v>
      </c>
      <c r="I1367" s="241" t="s">
        <v>1143</v>
      </c>
      <c r="J1367" s="221" t="b">
        <f>EXACT(E1368,[1]Main!E1368)</f>
        <v>1</v>
      </c>
    </row>
    <row r="1368" spans="1:10" x14ac:dyDescent="0.25">
      <c r="A1368" s="249">
        <v>45125</v>
      </c>
      <c r="B1368" s="237">
        <v>597</v>
      </c>
      <c r="C1368" s="238" t="s">
        <v>916</v>
      </c>
      <c r="D1368" s="239" t="s">
        <v>768</v>
      </c>
      <c r="E1368" s="332">
        <v>495</v>
      </c>
      <c r="F1368" s="242" t="s">
        <v>27</v>
      </c>
      <c r="G1368" s="239" t="s">
        <v>943</v>
      </c>
      <c r="H1368" s="240">
        <f t="shared" si="21"/>
        <v>131076</v>
      </c>
      <c r="I1368" s="241"/>
      <c r="J1368" s="221" t="b">
        <f>EXACT(E1369,[1]Main!E1369)</f>
        <v>1</v>
      </c>
    </row>
    <row r="1369" spans="1:10" x14ac:dyDescent="0.25">
      <c r="A1369" s="249">
        <v>45125</v>
      </c>
      <c r="B1369" s="237">
        <v>5020</v>
      </c>
      <c r="C1369" s="238" t="s">
        <v>24</v>
      </c>
      <c r="D1369" s="239" t="s">
        <v>766</v>
      </c>
      <c r="E1369" s="332">
        <v>430</v>
      </c>
      <c r="F1369" s="242" t="s">
        <v>1151</v>
      </c>
      <c r="G1369" s="239" t="s">
        <v>930</v>
      </c>
      <c r="H1369" s="240">
        <f t="shared" si="21"/>
        <v>135666</v>
      </c>
      <c r="I1369" s="241"/>
      <c r="J1369" s="221" t="b">
        <f>EXACT(E1370,[1]Main!E1370)</f>
        <v>1</v>
      </c>
    </row>
    <row r="1370" spans="1:10" x14ac:dyDescent="0.25">
      <c r="A1370" s="249">
        <v>45125</v>
      </c>
      <c r="B1370" s="237">
        <v>7160</v>
      </c>
      <c r="C1370" s="238" t="s">
        <v>121</v>
      </c>
      <c r="D1370" s="239" t="s">
        <v>766</v>
      </c>
      <c r="E1370" s="332">
        <v>50</v>
      </c>
      <c r="F1370" s="242" t="s">
        <v>13</v>
      </c>
      <c r="G1370" s="239" t="s">
        <v>930</v>
      </c>
      <c r="H1370" s="240">
        <f t="shared" si="21"/>
        <v>142776</v>
      </c>
      <c r="I1370" s="241"/>
      <c r="J1370" s="221" t="b">
        <f>EXACT(E1371,[1]Main!E1371)</f>
        <v>1</v>
      </c>
    </row>
    <row r="1371" spans="1:10" x14ac:dyDescent="0.25">
      <c r="A1371" s="249">
        <v>45125</v>
      </c>
      <c r="B1371" s="237">
        <v>455</v>
      </c>
      <c r="C1371" s="238" t="s">
        <v>911</v>
      </c>
      <c r="D1371" s="239" t="s">
        <v>768</v>
      </c>
      <c r="E1371" s="332">
        <v>120</v>
      </c>
      <c r="F1371" s="242" t="s">
        <v>38</v>
      </c>
      <c r="G1371" s="239" t="s">
        <v>930</v>
      </c>
      <c r="H1371" s="240">
        <f t="shared" si="21"/>
        <v>143111</v>
      </c>
      <c r="I1371" s="241"/>
      <c r="J1371" s="221" t="b">
        <f>EXACT(E1372,[1]Main!E1372)</f>
        <v>1</v>
      </c>
    </row>
    <row r="1372" spans="1:10" x14ac:dyDescent="0.25">
      <c r="A1372" s="249">
        <v>45125</v>
      </c>
      <c r="B1372" s="237"/>
      <c r="C1372" s="238"/>
      <c r="D1372" s="239"/>
      <c r="E1372" s="332">
        <v>180</v>
      </c>
      <c r="F1372" s="242" t="s">
        <v>399</v>
      </c>
      <c r="G1372" s="239" t="s">
        <v>930</v>
      </c>
      <c r="H1372" s="240">
        <f t="shared" si="21"/>
        <v>142931</v>
      </c>
      <c r="I1372" s="241"/>
      <c r="J1372" s="221" t="b">
        <f>EXACT(E1373,[1]Main!E1373)</f>
        <v>1</v>
      </c>
    </row>
    <row r="1373" spans="1:10" x14ac:dyDescent="0.25">
      <c r="A1373" s="249">
        <v>45125</v>
      </c>
      <c r="B1373" s="237"/>
      <c r="C1373" s="238"/>
      <c r="D1373" s="239"/>
      <c r="E1373" s="332">
        <v>120</v>
      </c>
      <c r="F1373" s="242" t="s">
        <v>393</v>
      </c>
      <c r="G1373" s="239" t="s">
        <v>930</v>
      </c>
      <c r="H1373" s="240">
        <f t="shared" si="21"/>
        <v>142811</v>
      </c>
      <c r="I1373" s="241"/>
      <c r="J1373" s="221" t="b">
        <f>EXACT(E1374,[1]Main!E1374)</f>
        <v>1</v>
      </c>
    </row>
    <row r="1374" spans="1:10" x14ac:dyDescent="0.25">
      <c r="A1374" s="249">
        <v>45125</v>
      </c>
      <c r="B1374" s="237"/>
      <c r="C1374" s="238"/>
      <c r="D1374" s="239"/>
      <c r="E1374" s="332">
        <v>115</v>
      </c>
      <c r="F1374" s="242" t="s">
        <v>19</v>
      </c>
      <c r="G1374" s="239" t="s">
        <v>930</v>
      </c>
      <c r="H1374" s="240">
        <f t="shared" si="21"/>
        <v>142696</v>
      </c>
      <c r="I1374" s="241"/>
      <c r="J1374" s="221" t="b">
        <f>EXACT(E1375,[1]Main!E1375)</f>
        <v>1</v>
      </c>
    </row>
    <row r="1375" spans="1:10" x14ac:dyDescent="0.25">
      <c r="A1375" s="249">
        <v>45125</v>
      </c>
      <c r="B1375" s="237"/>
      <c r="C1375" s="238"/>
      <c r="D1375" s="239"/>
      <c r="E1375" s="332">
        <v>75</v>
      </c>
      <c r="F1375" s="242" t="s">
        <v>741</v>
      </c>
      <c r="G1375" s="239" t="s">
        <v>930</v>
      </c>
      <c r="H1375" s="240">
        <f t="shared" si="21"/>
        <v>142621</v>
      </c>
      <c r="I1375" s="241"/>
      <c r="J1375" s="221" t="b">
        <f>EXACT(E1376,[1]Main!E1376)</f>
        <v>1</v>
      </c>
    </row>
    <row r="1376" spans="1:10" x14ac:dyDescent="0.25">
      <c r="A1376" s="249">
        <v>45125</v>
      </c>
      <c r="B1376" s="237"/>
      <c r="C1376" s="238"/>
      <c r="D1376" s="239"/>
      <c r="E1376" s="332">
        <v>420</v>
      </c>
      <c r="F1376" s="242" t="s">
        <v>61</v>
      </c>
      <c r="G1376" s="239" t="s">
        <v>928</v>
      </c>
      <c r="H1376" s="240">
        <f t="shared" si="21"/>
        <v>142201</v>
      </c>
      <c r="I1376" s="241"/>
      <c r="J1376" s="221" t="b">
        <f>EXACT(E1377,[1]Main!E1377)</f>
        <v>1</v>
      </c>
    </row>
    <row r="1377" spans="1:10" x14ac:dyDescent="0.25">
      <c r="A1377" s="249">
        <v>45125</v>
      </c>
      <c r="B1377" s="237"/>
      <c r="C1377" s="238"/>
      <c r="D1377" s="239"/>
      <c r="E1377" s="332">
        <v>1540</v>
      </c>
      <c r="F1377" s="242" t="s">
        <v>12</v>
      </c>
      <c r="G1377" s="239" t="s">
        <v>928</v>
      </c>
      <c r="H1377" s="240">
        <f t="shared" si="21"/>
        <v>140661</v>
      </c>
      <c r="I1377" s="241"/>
      <c r="J1377" s="221" t="b">
        <f>EXACT(E1378,[1]Main!E1378)</f>
        <v>1</v>
      </c>
    </row>
    <row r="1378" spans="1:10" x14ac:dyDescent="0.25">
      <c r="A1378" s="249">
        <v>45125</v>
      </c>
      <c r="B1378" s="237"/>
      <c r="C1378" s="238"/>
      <c r="D1378" s="239"/>
      <c r="E1378" s="332">
        <v>2500</v>
      </c>
      <c r="F1378" s="242" t="s">
        <v>1159</v>
      </c>
      <c r="G1378" s="239" t="s">
        <v>464</v>
      </c>
      <c r="H1378" s="240">
        <f t="shared" si="21"/>
        <v>138161</v>
      </c>
      <c r="I1378" s="241" t="s">
        <v>1161</v>
      </c>
      <c r="J1378" s="221" t="b">
        <f>EXACT(E1379,[1]Main!E1379)</f>
        <v>1</v>
      </c>
    </row>
    <row r="1379" spans="1:10" x14ac:dyDescent="0.25">
      <c r="A1379" s="249">
        <v>45125</v>
      </c>
      <c r="B1379" s="237"/>
      <c r="C1379" s="238"/>
      <c r="D1379" s="239"/>
      <c r="E1379" s="332">
        <v>250</v>
      </c>
      <c r="F1379" s="242" t="s">
        <v>34</v>
      </c>
      <c r="G1379" s="239" t="s">
        <v>935</v>
      </c>
      <c r="H1379" s="240">
        <f t="shared" si="21"/>
        <v>137911</v>
      </c>
      <c r="I1379" s="241"/>
      <c r="J1379" s="221" t="b">
        <f>EXACT(E1380,[1]Main!E1380)</f>
        <v>1</v>
      </c>
    </row>
    <row r="1380" spans="1:10" x14ac:dyDescent="0.25">
      <c r="A1380" s="249">
        <v>45125</v>
      </c>
      <c r="B1380" s="237"/>
      <c r="C1380" s="238"/>
      <c r="D1380" s="239"/>
      <c r="E1380" s="332">
        <v>2850</v>
      </c>
      <c r="F1380" s="242" t="s">
        <v>1147</v>
      </c>
      <c r="G1380" s="239" t="s">
        <v>928</v>
      </c>
      <c r="H1380" s="240">
        <f t="shared" si="21"/>
        <v>135061</v>
      </c>
      <c r="I1380" s="241"/>
      <c r="J1380" s="221" t="b">
        <f>EXACT(E1381,[1]Main!E1381)</f>
        <v>1</v>
      </c>
    </row>
    <row r="1381" spans="1:10" x14ac:dyDescent="0.25">
      <c r="A1381" s="249">
        <v>45125</v>
      </c>
      <c r="B1381" s="237"/>
      <c r="C1381" s="238"/>
      <c r="D1381" s="239"/>
      <c r="E1381" s="332">
        <v>95</v>
      </c>
      <c r="F1381" s="242" t="s">
        <v>27</v>
      </c>
      <c r="G1381" s="239" t="s">
        <v>943</v>
      </c>
      <c r="H1381" s="240">
        <f t="shared" si="21"/>
        <v>134966</v>
      </c>
      <c r="I1381" s="241"/>
      <c r="J1381" s="221" t="b">
        <f>EXACT(E1382,[1]Main!E1382)</f>
        <v>1</v>
      </c>
    </row>
    <row r="1382" spans="1:10" x14ac:dyDescent="0.25">
      <c r="A1382" s="249">
        <v>45125</v>
      </c>
      <c r="B1382" s="237"/>
      <c r="C1382" s="238"/>
      <c r="D1382" s="239"/>
      <c r="E1382" s="332">
        <v>15</v>
      </c>
      <c r="F1382" s="242" t="s">
        <v>1148</v>
      </c>
      <c r="G1382" s="239" t="s">
        <v>464</v>
      </c>
      <c r="H1382" s="240">
        <f t="shared" si="21"/>
        <v>134951</v>
      </c>
      <c r="I1382" s="241"/>
      <c r="J1382" s="221" t="b">
        <f>EXACT(E1383,[1]Main!E1383)</f>
        <v>1</v>
      </c>
    </row>
    <row r="1383" spans="1:10" x14ac:dyDescent="0.25">
      <c r="A1383" s="249">
        <v>45125</v>
      </c>
      <c r="B1383" s="237"/>
      <c r="C1383" s="238"/>
      <c r="D1383" s="239"/>
      <c r="E1383" s="332">
        <v>20</v>
      </c>
      <c r="F1383" s="242" t="s">
        <v>1149</v>
      </c>
      <c r="G1383" s="239" t="s">
        <v>464</v>
      </c>
      <c r="H1383" s="240">
        <f t="shared" si="21"/>
        <v>134931</v>
      </c>
      <c r="I1383" s="241"/>
      <c r="J1383" s="221" t="b">
        <f>EXACT(E1384,[1]Main!E1384)</f>
        <v>1</v>
      </c>
    </row>
    <row r="1384" spans="1:10" x14ac:dyDescent="0.25">
      <c r="A1384" s="249">
        <v>45125</v>
      </c>
      <c r="B1384" s="237"/>
      <c r="C1384" s="238"/>
      <c r="D1384" s="239"/>
      <c r="E1384" s="332">
        <v>10</v>
      </c>
      <c r="F1384" s="242" t="s">
        <v>1150</v>
      </c>
      <c r="G1384" s="239" t="s">
        <v>464</v>
      </c>
      <c r="H1384" s="240">
        <f t="shared" si="21"/>
        <v>134921</v>
      </c>
      <c r="I1384" s="241"/>
      <c r="J1384" s="221" t="b">
        <f>EXACT(E1385,[1]Main!E1385)</f>
        <v>1</v>
      </c>
    </row>
    <row r="1385" spans="1:10" x14ac:dyDescent="0.25">
      <c r="A1385" s="249">
        <v>45125</v>
      </c>
      <c r="B1385" s="237"/>
      <c r="C1385" s="238"/>
      <c r="D1385" s="239"/>
      <c r="E1385" s="332">
        <v>2000</v>
      </c>
      <c r="F1385" s="242" t="s">
        <v>816</v>
      </c>
      <c r="G1385" s="239" t="s">
        <v>928</v>
      </c>
      <c r="H1385" s="240">
        <f t="shared" si="21"/>
        <v>132921</v>
      </c>
      <c r="I1385" s="241" t="s">
        <v>1157</v>
      </c>
      <c r="J1385" s="221" t="b">
        <f>EXACT(E1386,[1]Main!E1386)</f>
        <v>1</v>
      </c>
    </row>
    <row r="1386" spans="1:10" x14ac:dyDescent="0.25">
      <c r="A1386" s="249">
        <v>45125</v>
      </c>
      <c r="B1386" s="237"/>
      <c r="C1386" s="238"/>
      <c r="D1386" s="239"/>
      <c r="E1386" s="332">
        <v>500</v>
      </c>
      <c r="F1386" s="242" t="s">
        <v>1160</v>
      </c>
      <c r="G1386" s="239" t="s">
        <v>464</v>
      </c>
      <c r="H1386" s="240">
        <f t="shared" si="21"/>
        <v>132421</v>
      </c>
      <c r="I1386" s="241"/>
      <c r="J1386" s="221" t="b">
        <f>EXACT(E1387,[1]Main!E1387)</f>
        <v>1</v>
      </c>
    </row>
    <row r="1387" spans="1:10" x14ac:dyDescent="0.25">
      <c r="A1387" s="249">
        <v>45125</v>
      </c>
      <c r="B1387" s="237"/>
      <c r="C1387" s="238"/>
      <c r="D1387" s="239"/>
      <c r="E1387" s="332">
        <v>1650</v>
      </c>
      <c r="F1387" s="242" t="s">
        <v>1174</v>
      </c>
      <c r="G1387" s="239" t="s">
        <v>928</v>
      </c>
      <c r="H1387" s="240">
        <f t="shared" si="21"/>
        <v>130771</v>
      </c>
      <c r="I1387" s="241" t="s">
        <v>1163</v>
      </c>
      <c r="J1387" s="221" t="b">
        <f>EXACT(E1388,[1]Main!E1388)</f>
        <v>1</v>
      </c>
    </row>
    <row r="1388" spans="1:10" x14ac:dyDescent="0.25">
      <c r="A1388" s="249">
        <v>45125</v>
      </c>
      <c r="B1388" s="237"/>
      <c r="C1388" s="238"/>
      <c r="D1388" s="239"/>
      <c r="E1388" s="332">
        <v>5</v>
      </c>
      <c r="F1388" s="242" t="s">
        <v>13</v>
      </c>
      <c r="G1388" s="239" t="s">
        <v>930</v>
      </c>
      <c r="H1388" s="240">
        <f t="shared" si="21"/>
        <v>130766</v>
      </c>
      <c r="I1388" s="241"/>
      <c r="J1388" s="221" t="b">
        <f>EXACT(E1389,[1]Main!E1389)</f>
        <v>1</v>
      </c>
    </row>
    <row r="1389" spans="1:10" x14ac:dyDescent="0.25">
      <c r="A1389" s="249">
        <v>45125</v>
      </c>
      <c r="B1389" s="237"/>
      <c r="C1389" s="238"/>
      <c r="D1389" s="239"/>
      <c r="E1389" s="332">
        <v>10000</v>
      </c>
      <c r="F1389" s="242" t="s">
        <v>1094</v>
      </c>
      <c r="G1389" s="239" t="s">
        <v>928</v>
      </c>
      <c r="H1389" s="240">
        <f t="shared" si="21"/>
        <v>120766</v>
      </c>
      <c r="I1389" s="241" t="s">
        <v>796</v>
      </c>
      <c r="J1389" s="221" t="b">
        <f>EXACT(E1390,[1]Main!E1390)</f>
        <v>1</v>
      </c>
    </row>
    <row r="1390" spans="1:10" x14ac:dyDescent="0.25">
      <c r="A1390" s="249">
        <v>45125</v>
      </c>
      <c r="B1390" s="237"/>
      <c r="C1390" s="238"/>
      <c r="D1390" s="239"/>
      <c r="E1390" s="332">
        <v>7290</v>
      </c>
      <c r="F1390" s="242" t="s">
        <v>737</v>
      </c>
      <c r="G1390" s="239" t="s">
        <v>928</v>
      </c>
      <c r="H1390" s="240">
        <f t="shared" si="21"/>
        <v>113476</v>
      </c>
      <c r="I1390" s="241" t="s">
        <v>1165</v>
      </c>
      <c r="J1390" s="221" t="b">
        <f>EXACT(E1391,[1]Main!E1391)</f>
        <v>1</v>
      </c>
    </row>
    <row r="1391" spans="1:10" x14ac:dyDescent="0.25">
      <c r="A1391" s="249">
        <v>45125</v>
      </c>
      <c r="B1391" s="237"/>
      <c r="C1391" s="238"/>
      <c r="D1391" s="239"/>
      <c r="E1391" s="332">
        <v>90</v>
      </c>
      <c r="F1391" s="242" t="s">
        <v>223</v>
      </c>
      <c r="G1391" s="239" t="s">
        <v>930</v>
      </c>
      <c r="H1391" s="240">
        <f t="shared" si="21"/>
        <v>113386</v>
      </c>
      <c r="I1391" s="241"/>
      <c r="J1391" s="221" t="b">
        <f>EXACT(E1392,[1]Main!E1392)</f>
        <v>1</v>
      </c>
    </row>
    <row r="1392" spans="1:10" x14ac:dyDescent="0.25">
      <c r="A1392" s="249">
        <v>45125</v>
      </c>
      <c r="B1392" s="237"/>
      <c r="C1392" s="238"/>
      <c r="D1392" s="239"/>
      <c r="E1392" s="332">
        <v>5000</v>
      </c>
      <c r="F1392" s="242" t="s">
        <v>43</v>
      </c>
      <c r="G1392" s="239" t="s">
        <v>941</v>
      </c>
      <c r="H1392" s="240">
        <f t="shared" si="21"/>
        <v>108386</v>
      </c>
      <c r="I1392" s="241"/>
      <c r="J1392" s="221" t="b">
        <f>EXACT(E1393,[1]Main!E1393)</f>
        <v>1</v>
      </c>
    </row>
    <row r="1393" spans="1:10" x14ac:dyDescent="0.25">
      <c r="A1393" s="249">
        <v>45125</v>
      </c>
      <c r="B1393" s="237"/>
      <c r="C1393" s="238"/>
      <c r="D1393" s="239"/>
      <c r="E1393" s="332">
        <v>1825</v>
      </c>
      <c r="F1393" s="242" t="s">
        <v>14</v>
      </c>
      <c r="G1393" s="239" t="s">
        <v>935</v>
      </c>
      <c r="H1393" s="240">
        <f t="shared" si="21"/>
        <v>106561</v>
      </c>
      <c r="I1393" s="241"/>
      <c r="J1393" s="221" t="b">
        <f>EXACT(E1394,[1]Main!E1394)</f>
        <v>1</v>
      </c>
    </row>
    <row r="1394" spans="1:10" x14ac:dyDescent="0.25">
      <c r="A1394" s="249">
        <v>45125</v>
      </c>
      <c r="B1394" s="237"/>
      <c r="C1394" s="238"/>
      <c r="D1394" s="239"/>
      <c r="E1394" s="332">
        <v>695</v>
      </c>
      <c r="F1394" s="242" t="s">
        <v>27</v>
      </c>
      <c r="G1394" s="239" t="s">
        <v>943</v>
      </c>
      <c r="H1394" s="240">
        <f t="shared" si="21"/>
        <v>105866</v>
      </c>
      <c r="I1394" s="241"/>
      <c r="J1394" s="221" t="b">
        <f>EXACT(E1395,[1]Main!E1395)</f>
        <v>1</v>
      </c>
    </row>
    <row r="1395" spans="1:10" x14ac:dyDescent="0.25">
      <c r="A1395" s="249">
        <v>45125</v>
      </c>
      <c r="B1395" s="237"/>
      <c r="C1395" s="238"/>
      <c r="D1395" s="239"/>
      <c r="E1395" s="332">
        <v>150</v>
      </c>
      <c r="F1395" s="242" t="s">
        <v>914</v>
      </c>
      <c r="G1395" s="239" t="s">
        <v>930</v>
      </c>
      <c r="H1395" s="240">
        <f t="shared" si="21"/>
        <v>105716</v>
      </c>
      <c r="I1395" s="241"/>
      <c r="J1395" s="221" t="b">
        <f>EXACT(E1396,[1]Main!E1396)</f>
        <v>1</v>
      </c>
    </row>
    <row r="1396" spans="1:10" x14ac:dyDescent="0.25">
      <c r="A1396" s="249">
        <v>45125</v>
      </c>
      <c r="B1396" s="237"/>
      <c r="C1396" s="238"/>
      <c r="D1396" s="239"/>
      <c r="E1396" s="332">
        <v>14</v>
      </c>
      <c r="F1396" s="242" t="s">
        <v>1202</v>
      </c>
      <c r="G1396" s="239" t="s">
        <v>464</v>
      </c>
      <c r="H1396" s="240">
        <f t="shared" si="21"/>
        <v>105702</v>
      </c>
      <c r="I1396" s="241"/>
      <c r="J1396" s="221" t="b">
        <f>EXACT(E1397,[1]Main!E1397)</f>
        <v>1</v>
      </c>
    </row>
    <row r="1397" spans="1:10" x14ac:dyDescent="0.25">
      <c r="A1397" s="249">
        <v>45125</v>
      </c>
      <c r="B1397" s="237"/>
      <c r="C1397" s="238"/>
      <c r="D1397" s="239"/>
      <c r="E1397" s="332">
        <v>150</v>
      </c>
      <c r="F1397" s="242" t="s">
        <v>1167</v>
      </c>
      <c r="G1397" s="239" t="s">
        <v>938</v>
      </c>
      <c r="H1397" s="240">
        <f t="shared" si="21"/>
        <v>105552</v>
      </c>
      <c r="I1397" s="241"/>
      <c r="J1397" s="221" t="b">
        <f>EXACT(E1398,[1]Main!E1398)</f>
        <v>1</v>
      </c>
    </row>
    <row r="1398" spans="1:10" x14ac:dyDescent="0.25">
      <c r="A1398" s="249">
        <v>45125</v>
      </c>
      <c r="B1398" s="237"/>
      <c r="C1398" s="238"/>
      <c r="D1398" s="239"/>
      <c r="E1398" s="332">
        <v>50</v>
      </c>
      <c r="F1398" s="242" t="s">
        <v>10</v>
      </c>
      <c r="G1398" s="239" t="s">
        <v>931</v>
      </c>
      <c r="H1398" s="240">
        <f t="shared" si="21"/>
        <v>105502</v>
      </c>
      <c r="I1398" s="241"/>
      <c r="J1398" s="221" t="b">
        <f>EXACT(E1399,[1]Main!E1399)</f>
        <v>1</v>
      </c>
    </row>
    <row r="1399" spans="1:10" x14ac:dyDescent="0.25">
      <c r="A1399" s="249">
        <v>45125</v>
      </c>
      <c r="B1399" s="237"/>
      <c r="C1399" s="238"/>
      <c r="D1399" s="239"/>
      <c r="E1399" s="332">
        <v>35</v>
      </c>
      <c r="F1399" s="242" t="s">
        <v>1168</v>
      </c>
      <c r="G1399" s="239" t="s">
        <v>464</v>
      </c>
      <c r="H1399" s="240">
        <f t="shared" si="21"/>
        <v>105467</v>
      </c>
      <c r="I1399" s="241"/>
      <c r="J1399" s="221" t="b">
        <f>EXACT(E1400,[1]Main!E1400)</f>
        <v>1</v>
      </c>
    </row>
    <row r="1400" spans="1:10" x14ac:dyDescent="0.25">
      <c r="A1400" s="249">
        <v>45125</v>
      </c>
      <c r="B1400" s="237"/>
      <c r="C1400" s="238"/>
      <c r="D1400" s="239"/>
      <c r="E1400" s="332">
        <v>4000</v>
      </c>
      <c r="F1400" s="242" t="s">
        <v>1169</v>
      </c>
      <c r="G1400" s="239" t="s">
        <v>928</v>
      </c>
      <c r="H1400" s="240">
        <f t="shared" si="21"/>
        <v>101467</v>
      </c>
      <c r="I1400" s="241" t="s">
        <v>1173</v>
      </c>
      <c r="J1400" s="221" t="b">
        <f>EXACT(E1401,[1]Main!E1401)</f>
        <v>1</v>
      </c>
    </row>
    <row r="1401" spans="1:10" x14ac:dyDescent="0.25">
      <c r="A1401" s="249">
        <v>45125</v>
      </c>
      <c r="B1401" s="237"/>
      <c r="C1401" s="238"/>
      <c r="D1401" s="239"/>
      <c r="E1401" s="332">
        <v>37</v>
      </c>
      <c r="F1401" s="242" t="s">
        <v>1170</v>
      </c>
      <c r="G1401" s="239" t="s">
        <v>931</v>
      </c>
      <c r="H1401" s="240">
        <f t="shared" si="21"/>
        <v>101430</v>
      </c>
      <c r="I1401" s="241"/>
      <c r="J1401" s="221" t="b">
        <f>EXACT(E1402,[1]Main!E1402)</f>
        <v>1</v>
      </c>
    </row>
    <row r="1402" spans="1:10" x14ac:dyDescent="0.25">
      <c r="A1402" s="249">
        <v>45125</v>
      </c>
      <c r="B1402" s="237"/>
      <c r="C1402" s="238"/>
      <c r="D1402" s="239"/>
      <c r="E1402" s="332">
        <v>10</v>
      </c>
      <c r="F1402" s="242" t="s">
        <v>1172</v>
      </c>
      <c r="G1402" s="239" t="s">
        <v>931</v>
      </c>
      <c r="H1402" s="240">
        <f t="shared" si="21"/>
        <v>101420</v>
      </c>
      <c r="I1402" s="241"/>
      <c r="J1402" s="221" t="b">
        <f>EXACT(E1403,[1]Main!E1403)</f>
        <v>1</v>
      </c>
    </row>
    <row r="1403" spans="1:10" x14ac:dyDescent="0.25">
      <c r="A1403" s="249">
        <v>45125</v>
      </c>
      <c r="B1403" s="237"/>
      <c r="C1403" s="238"/>
      <c r="D1403" s="239"/>
      <c r="E1403" s="332">
        <v>2000</v>
      </c>
      <c r="F1403" s="242" t="s">
        <v>785</v>
      </c>
      <c r="G1403" s="239" t="s">
        <v>928</v>
      </c>
      <c r="H1403" s="240">
        <f t="shared" si="21"/>
        <v>99420</v>
      </c>
      <c r="I1403" s="241" t="s">
        <v>1175</v>
      </c>
      <c r="J1403" s="221" t="b">
        <f>EXACT(E1404,[1]Main!E1404)</f>
        <v>1</v>
      </c>
    </row>
    <row r="1404" spans="1:10" x14ac:dyDescent="0.25">
      <c r="A1404" s="249">
        <v>45125</v>
      </c>
      <c r="B1404" s="237"/>
      <c r="C1404" s="238"/>
      <c r="D1404" s="239"/>
      <c r="E1404" s="332">
        <v>195</v>
      </c>
      <c r="F1404" s="242" t="s">
        <v>255</v>
      </c>
      <c r="G1404" s="239" t="s">
        <v>930</v>
      </c>
      <c r="H1404" s="240">
        <f t="shared" si="21"/>
        <v>99225</v>
      </c>
      <c r="I1404" s="241"/>
      <c r="J1404" s="221" t="b">
        <f>EXACT(E1405,[1]Main!E1405)</f>
        <v>1</v>
      </c>
    </row>
    <row r="1405" spans="1:10" x14ac:dyDescent="0.25">
      <c r="A1405" s="249">
        <v>45125</v>
      </c>
      <c r="B1405" s="237"/>
      <c r="C1405" s="238"/>
      <c r="D1405" s="239"/>
      <c r="E1405" s="332">
        <v>95</v>
      </c>
      <c r="F1405" s="242" t="s">
        <v>9</v>
      </c>
      <c r="G1405" s="239" t="s">
        <v>930</v>
      </c>
      <c r="H1405" s="240">
        <f t="shared" si="21"/>
        <v>99130</v>
      </c>
      <c r="I1405" s="241"/>
      <c r="J1405" s="221" t="b">
        <f>EXACT(E1406,[1]Main!E1406)</f>
        <v>1</v>
      </c>
    </row>
    <row r="1406" spans="1:10" x14ac:dyDescent="0.25">
      <c r="A1406" s="249">
        <v>45125</v>
      </c>
      <c r="B1406" s="237"/>
      <c r="C1406" s="238"/>
      <c r="D1406" s="239"/>
      <c r="E1406" s="332">
        <v>400</v>
      </c>
      <c r="F1406" s="242" t="s">
        <v>27</v>
      </c>
      <c r="G1406" s="239" t="s">
        <v>943</v>
      </c>
      <c r="H1406" s="240">
        <f t="shared" si="21"/>
        <v>98730</v>
      </c>
      <c r="I1406" s="241"/>
      <c r="J1406" s="221" t="b">
        <f>EXACT(E1407,[1]Main!E1407)</f>
        <v>1</v>
      </c>
    </row>
    <row r="1407" spans="1:10" x14ac:dyDescent="0.25">
      <c r="A1407" s="249">
        <v>45125</v>
      </c>
      <c r="B1407" s="237"/>
      <c r="C1407" s="238"/>
      <c r="D1407" s="239"/>
      <c r="E1407" s="332">
        <v>45</v>
      </c>
      <c r="F1407" s="242" t="s">
        <v>1176</v>
      </c>
      <c r="G1407" s="239" t="s">
        <v>464</v>
      </c>
      <c r="H1407" s="240">
        <f t="shared" si="21"/>
        <v>98685</v>
      </c>
      <c r="I1407" s="241"/>
      <c r="J1407" s="221" t="b">
        <f>EXACT(E1408,[1]Main!E1408)</f>
        <v>1</v>
      </c>
    </row>
    <row r="1408" spans="1:10" x14ac:dyDescent="0.25">
      <c r="A1408" s="249">
        <v>45125</v>
      </c>
      <c r="B1408" s="237"/>
      <c r="C1408" s="238"/>
      <c r="D1408" s="239"/>
      <c r="E1408" s="332">
        <v>27</v>
      </c>
      <c r="F1408" s="242" t="s">
        <v>1177</v>
      </c>
      <c r="G1408" s="239" t="s">
        <v>464</v>
      </c>
      <c r="H1408" s="240">
        <f t="shared" si="21"/>
        <v>98658</v>
      </c>
      <c r="I1408" s="241"/>
      <c r="J1408" s="221" t="b">
        <f>EXACT(E1409,[1]Main!E1409)</f>
        <v>1</v>
      </c>
    </row>
    <row r="1409" spans="1:10" x14ac:dyDescent="0.25">
      <c r="A1409" s="249">
        <v>45125</v>
      </c>
      <c r="B1409" s="237"/>
      <c r="C1409" s="238"/>
      <c r="D1409" s="239"/>
      <c r="E1409" s="332">
        <v>320</v>
      </c>
      <c r="F1409" s="242" t="s">
        <v>709</v>
      </c>
      <c r="G1409" s="239" t="s">
        <v>930</v>
      </c>
      <c r="H1409" s="240">
        <f t="shared" si="21"/>
        <v>98338</v>
      </c>
      <c r="I1409" s="241"/>
      <c r="J1409" s="221" t="b">
        <f>EXACT(E1410,[1]Main!E1410)</f>
        <v>1</v>
      </c>
    </row>
    <row r="1410" spans="1:10" x14ac:dyDescent="0.25">
      <c r="A1410" s="249">
        <v>45125</v>
      </c>
      <c r="B1410" s="237"/>
      <c r="C1410" s="238"/>
      <c r="D1410" s="239"/>
      <c r="E1410" s="332">
        <v>45</v>
      </c>
      <c r="F1410" s="242" t="s">
        <v>339</v>
      </c>
      <c r="G1410" s="239" t="s">
        <v>935</v>
      </c>
      <c r="H1410" s="240">
        <f t="shared" si="21"/>
        <v>98293</v>
      </c>
      <c r="I1410" s="241"/>
      <c r="J1410" s="221" t="b">
        <f>EXACT(E1411,[1]Main!E1411)</f>
        <v>1</v>
      </c>
    </row>
    <row r="1411" spans="1:10" x14ac:dyDescent="0.25">
      <c r="A1411" s="249">
        <v>45125</v>
      </c>
      <c r="B1411" s="237"/>
      <c r="C1411" s="238"/>
      <c r="D1411" s="239"/>
      <c r="E1411" s="332">
        <v>45</v>
      </c>
      <c r="F1411" s="242" t="s">
        <v>642</v>
      </c>
      <c r="G1411" s="239" t="s">
        <v>930</v>
      </c>
      <c r="H1411" s="240">
        <f t="shared" si="21"/>
        <v>98248</v>
      </c>
      <c r="I1411" s="241"/>
      <c r="J1411" s="221" t="b">
        <f>EXACT(E1412,[1]Main!E1412)</f>
        <v>1</v>
      </c>
    </row>
    <row r="1412" spans="1:10" x14ac:dyDescent="0.25">
      <c r="A1412" s="249">
        <v>45125</v>
      </c>
      <c r="B1412" s="237"/>
      <c r="C1412" s="238"/>
      <c r="D1412" s="239"/>
      <c r="E1412" s="332">
        <v>140</v>
      </c>
      <c r="F1412" s="242" t="s">
        <v>341</v>
      </c>
      <c r="G1412" s="239" t="s">
        <v>930</v>
      </c>
      <c r="H1412" s="240">
        <f t="shared" si="21"/>
        <v>98108</v>
      </c>
      <c r="I1412" s="241"/>
      <c r="J1412" s="221" t="b">
        <f>EXACT(E1413,[1]Main!E1413)</f>
        <v>1</v>
      </c>
    </row>
    <row r="1413" spans="1:10" x14ac:dyDescent="0.25">
      <c r="A1413" s="249">
        <v>45125</v>
      </c>
      <c r="B1413" s="237"/>
      <c r="C1413" s="238"/>
      <c r="D1413" s="239"/>
      <c r="E1413" s="332">
        <v>145</v>
      </c>
      <c r="F1413" s="242" t="s">
        <v>39</v>
      </c>
      <c r="G1413" s="239" t="s">
        <v>930</v>
      </c>
      <c r="H1413" s="240">
        <f t="shared" si="21"/>
        <v>97963</v>
      </c>
      <c r="I1413" s="241"/>
      <c r="J1413" s="221" t="b">
        <f>EXACT(E1414,[1]Main!E1414)</f>
        <v>1</v>
      </c>
    </row>
    <row r="1414" spans="1:10" x14ac:dyDescent="0.25">
      <c r="A1414" s="249">
        <v>45125</v>
      </c>
      <c r="B1414" s="237"/>
      <c r="C1414" s="238"/>
      <c r="D1414" s="239"/>
      <c r="E1414" s="332">
        <v>50</v>
      </c>
      <c r="F1414" s="242" t="s">
        <v>34</v>
      </c>
      <c r="G1414" s="239" t="s">
        <v>930</v>
      </c>
      <c r="H1414" s="240">
        <f t="shared" si="21"/>
        <v>97913</v>
      </c>
      <c r="I1414" s="241"/>
      <c r="J1414" s="221" t="b">
        <f>EXACT(E1415,[1]Main!E1415)</f>
        <v>1</v>
      </c>
    </row>
    <row r="1415" spans="1:10" x14ac:dyDescent="0.25">
      <c r="A1415" s="249">
        <v>45125</v>
      </c>
      <c r="B1415" s="237"/>
      <c r="C1415" s="238"/>
      <c r="D1415" s="239"/>
      <c r="E1415" s="332">
        <v>2780</v>
      </c>
      <c r="F1415" s="242" t="s">
        <v>12</v>
      </c>
      <c r="G1415" s="239" t="s">
        <v>928</v>
      </c>
      <c r="H1415" s="240">
        <f t="shared" ref="H1415:H1478" si="22">H1414+B1415-E1415</f>
        <v>95133</v>
      </c>
      <c r="I1415" s="241"/>
      <c r="J1415" s="221" t="b">
        <f>EXACT(E1416,[1]Main!E1416)</f>
        <v>1</v>
      </c>
    </row>
    <row r="1416" spans="1:10" x14ac:dyDescent="0.25">
      <c r="A1416" s="249">
        <v>45125</v>
      </c>
      <c r="B1416" s="237"/>
      <c r="C1416" s="238"/>
      <c r="D1416" s="239"/>
      <c r="E1416" s="332">
        <v>30</v>
      </c>
      <c r="F1416" s="242" t="s">
        <v>1178</v>
      </c>
      <c r="G1416" s="239" t="s">
        <v>937</v>
      </c>
      <c r="H1416" s="240">
        <f t="shared" si="22"/>
        <v>95103</v>
      </c>
      <c r="I1416" s="241"/>
      <c r="J1416" s="221" t="b">
        <f>EXACT(E1417,[1]Main!E1417)</f>
        <v>1</v>
      </c>
    </row>
    <row r="1417" spans="1:10" x14ac:dyDescent="0.25">
      <c r="A1417" s="249">
        <v>45125</v>
      </c>
      <c r="B1417" s="237"/>
      <c r="C1417" s="238"/>
      <c r="D1417" s="239"/>
      <c r="E1417" s="332">
        <v>730</v>
      </c>
      <c r="F1417" s="242" t="s">
        <v>1139</v>
      </c>
      <c r="G1417" s="239" t="s">
        <v>928</v>
      </c>
      <c r="H1417" s="240">
        <f t="shared" si="22"/>
        <v>94373</v>
      </c>
      <c r="I1417" s="241"/>
      <c r="J1417" s="221" t="b">
        <f>EXACT(E1418,[1]Main!E1418)</f>
        <v>1</v>
      </c>
    </row>
    <row r="1418" spans="1:10" x14ac:dyDescent="0.25">
      <c r="A1418" s="249">
        <v>45125</v>
      </c>
      <c r="B1418" s="237"/>
      <c r="C1418" s="238"/>
      <c r="D1418" s="239"/>
      <c r="E1418" s="332">
        <v>2400</v>
      </c>
      <c r="F1418" s="242" t="s">
        <v>1179</v>
      </c>
      <c r="G1418" s="239" t="s">
        <v>928</v>
      </c>
      <c r="H1418" s="240">
        <f t="shared" si="22"/>
        <v>91973</v>
      </c>
      <c r="I1418" s="241"/>
      <c r="J1418" s="221" t="b">
        <f>EXACT(E1419,[1]Main!E1419)</f>
        <v>1</v>
      </c>
    </row>
    <row r="1419" spans="1:10" x14ac:dyDescent="0.25">
      <c r="A1419" s="249">
        <v>45125</v>
      </c>
      <c r="B1419" s="237"/>
      <c r="C1419" s="238"/>
      <c r="D1419" s="239"/>
      <c r="E1419" s="332">
        <v>1785</v>
      </c>
      <c r="F1419" s="242" t="s">
        <v>580</v>
      </c>
      <c r="G1419" s="239" t="s">
        <v>928</v>
      </c>
      <c r="H1419" s="240">
        <f t="shared" si="22"/>
        <v>90188</v>
      </c>
      <c r="I1419" s="241"/>
      <c r="J1419" s="221" t="b">
        <f>EXACT(E1420,[1]Main!E1420)</f>
        <v>1</v>
      </c>
    </row>
    <row r="1420" spans="1:10" x14ac:dyDescent="0.25">
      <c r="A1420" s="249">
        <v>45125</v>
      </c>
      <c r="B1420" s="237"/>
      <c r="C1420" s="238"/>
      <c r="D1420" s="239"/>
      <c r="E1420" s="332">
        <v>1418</v>
      </c>
      <c r="F1420" s="242" t="s">
        <v>45</v>
      </c>
      <c r="G1420" s="239" t="s">
        <v>928</v>
      </c>
      <c r="H1420" s="240">
        <f t="shared" si="22"/>
        <v>88770</v>
      </c>
      <c r="I1420" s="241"/>
      <c r="J1420" s="221" t="b">
        <f>EXACT(E1421,[1]Main!E1421)</f>
        <v>1</v>
      </c>
    </row>
    <row r="1421" spans="1:10" x14ac:dyDescent="0.25">
      <c r="A1421" s="249">
        <v>45125</v>
      </c>
      <c r="B1421" s="237"/>
      <c r="C1421" s="238"/>
      <c r="D1421" s="239"/>
      <c r="E1421" s="332">
        <v>5928</v>
      </c>
      <c r="F1421" s="242" t="s">
        <v>47</v>
      </c>
      <c r="G1421" s="239" t="s">
        <v>928</v>
      </c>
      <c r="H1421" s="240">
        <f t="shared" si="22"/>
        <v>82842</v>
      </c>
      <c r="I1421" s="241"/>
      <c r="J1421" s="221" t="b">
        <f>EXACT(E1422,[1]Main!E1422)</f>
        <v>1</v>
      </c>
    </row>
    <row r="1422" spans="1:10" x14ac:dyDescent="0.25">
      <c r="A1422" s="249">
        <v>45125</v>
      </c>
      <c r="B1422" s="237"/>
      <c r="C1422" s="238"/>
      <c r="D1422" s="239"/>
      <c r="E1422" s="332">
        <v>100</v>
      </c>
      <c r="F1422" s="242" t="s">
        <v>741</v>
      </c>
      <c r="G1422" s="239" t="s">
        <v>930</v>
      </c>
      <c r="H1422" s="240">
        <f t="shared" si="22"/>
        <v>82742</v>
      </c>
      <c r="I1422" s="241"/>
      <c r="J1422" s="221" t="b">
        <f>EXACT(E1423,[1]Main!E1423)</f>
        <v>1</v>
      </c>
    </row>
    <row r="1423" spans="1:10" x14ac:dyDescent="0.25">
      <c r="A1423" s="249">
        <v>45125</v>
      </c>
      <c r="B1423" s="237"/>
      <c r="C1423" s="238"/>
      <c r="D1423" s="239"/>
      <c r="E1423" s="332">
        <v>5900</v>
      </c>
      <c r="F1423" s="242" t="s">
        <v>16</v>
      </c>
      <c r="G1423" s="239" t="s">
        <v>936</v>
      </c>
      <c r="H1423" s="240">
        <f t="shared" si="22"/>
        <v>76842</v>
      </c>
      <c r="I1423" s="241"/>
      <c r="J1423" s="221" t="b">
        <f>EXACT(E1424,[1]Main!E1424)</f>
        <v>1</v>
      </c>
    </row>
    <row r="1424" spans="1:10" x14ac:dyDescent="0.25">
      <c r="A1424" s="249">
        <v>45125</v>
      </c>
      <c r="B1424" s="237"/>
      <c r="C1424" s="238"/>
      <c r="D1424" s="239"/>
      <c r="E1424" s="332">
        <v>170</v>
      </c>
      <c r="F1424" s="242" t="s">
        <v>498</v>
      </c>
      <c r="G1424" s="239" t="s">
        <v>930</v>
      </c>
      <c r="H1424" s="240">
        <f t="shared" si="22"/>
        <v>76672</v>
      </c>
      <c r="I1424" s="241"/>
      <c r="J1424" s="221" t="b">
        <f>EXACT(E1425,[1]Main!E1425)</f>
        <v>1</v>
      </c>
    </row>
    <row r="1425" spans="1:10" x14ac:dyDescent="0.25">
      <c r="A1425" s="249">
        <v>45125</v>
      </c>
      <c r="B1425" s="237"/>
      <c r="C1425" s="238"/>
      <c r="D1425" s="239"/>
      <c r="E1425" s="332">
        <v>200</v>
      </c>
      <c r="F1425" s="242" t="s">
        <v>978</v>
      </c>
      <c r="G1425" s="239" t="s">
        <v>930</v>
      </c>
      <c r="H1425" s="240">
        <f t="shared" si="22"/>
        <v>76472</v>
      </c>
      <c r="I1425" s="241"/>
      <c r="J1425" s="221" t="b">
        <f>EXACT(E1426,[1]Main!E1426)</f>
        <v>1</v>
      </c>
    </row>
    <row r="1426" spans="1:10" x14ac:dyDescent="0.25">
      <c r="A1426" s="249">
        <v>45125</v>
      </c>
      <c r="B1426" s="237"/>
      <c r="C1426" s="238"/>
      <c r="D1426" s="239"/>
      <c r="E1426" s="332">
        <v>180</v>
      </c>
      <c r="F1426" s="242" t="s">
        <v>341</v>
      </c>
      <c r="G1426" s="239" t="s">
        <v>930</v>
      </c>
      <c r="H1426" s="240">
        <f t="shared" si="22"/>
        <v>76292</v>
      </c>
      <c r="I1426" s="241"/>
      <c r="J1426" s="221" t="b">
        <f>EXACT(E1427,[1]Main!E1427)</f>
        <v>1</v>
      </c>
    </row>
    <row r="1427" spans="1:10" x14ac:dyDescent="0.25">
      <c r="A1427" s="249">
        <v>45125</v>
      </c>
      <c r="B1427" s="237"/>
      <c r="C1427" s="238"/>
      <c r="D1427" s="239"/>
      <c r="E1427" s="332">
        <v>5</v>
      </c>
      <c r="F1427" s="242" t="s">
        <v>1181</v>
      </c>
      <c r="G1427" s="239" t="s">
        <v>930</v>
      </c>
      <c r="H1427" s="240">
        <f t="shared" si="22"/>
        <v>76287</v>
      </c>
      <c r="I1427" s="241"/>
      <c r="J1427" s="221" t="b">
        <f>EXACT(E1428,[1]Main!E1428)</f>
        <v>1</v>
      </c>
    </row>
    <row r="1428" spans="1:10" x14ac:dyDescent="0.25">
      <c r="A1428" s="249">
        <v>45125</v>
      </c>
      <c r="B1428" s="237"/>
      <c r="C1428" s="238"/>
      <c r="D1428" s="239"/>
      <c r="E1428" s="332">
        <v>4140</v>
      </c>
      <c r="F1428" s="242" t="s">
        <v>718</v>
      </c>
      <c r="G1428" s="239" t="s">
        <v>928</v>
      </c>
      <c r="H1428" s="240">
        <f t="shared" si="22"/>
        <v>72147</v>
      </c>
      <c r="I1428" s="241"/>
      <c r="J1428" s="221" t="b">
        <f>EXACT(E1429,[1]Main!E1429)</f>
        <v>1</v>
      </c>
    </row>
    <row r="1429" spans="1:10" x14ac:dyDescent="0.25">
      <c r="A1429" s="249">
        <v>45125</v>
      </c>
      <c r="B1429" s="237"/>
      <c r="C1429" s="238"/>
      <c r="D1429" s="239"/>
      <c r="E1429" s="332">
        <v>12000</v>
      </c>
      <c r="F1429" s="242" t="s">
        <v>1182</v>
      </c>
      <c r="G1429" s="239" t="s">
        <v>464</v>
      </c>
      <c r="H1429" s="240">
        <f t="shared" si="22"/>
        <v>60147</v>
      </c>
      <c r="I1429" s="241"/>
      <c r="J1429" s="221" t="b">
        <f>EXACT(E1430,[1]Main!E1430)</f>
        <v>1</v>
      </c>
    </row>
    <row r="1430" spans="1:10" x14ac:dyDescent="0.25">
      <c r="A1430" s="249">
        <v>45125</v>
      </c>
      <c r="B1430" s="237"/>
      <c r="C1430" s="238"/>
      <c r="D1430" s="239"/>
      <c r="E1430" s="332">
        <v>45</v>
      </c>
      <c r="F1430" s="242" t="s">
        <v>339</v>
      </c>
      <c r="G1430" s="239" t="s">
        <v>935</v>
      </c>
      <c r="H1430" s="240">
        <f t="shared" si="22"/>
        <v>60102</v>
      </c>
      <c r="I1430" s="241"/>
      <c r="J1430" s="221" t="b">
        <f>EXACT(E1431,[1]Main!E1431)</f>
        <v>1</v>
      </c>
    </row>
    <row r="1431" spans="1:10" x14ac:dyDescent="0.25">
      <c r="A1431" s="249">
        <v>45125</v>
      </c>
      <c r="B1431" s="237"/>
      <c r="C1431" s="238"/>
      <c r="D1431" s="239"/>
      <c r="E1431" s="332">
        <v>100</v>
      </c>
      <c r="F1431" s="242" t="s">
        <v>32</v>
      </c>
      <c r="G1431" s="239" t="s">
        <v>930</v>
      </c>
      <c r="H1431" s="240">
        <f t="shared" si="22"/>
        <v>60002</v>
      </c>
      <c r="I1431" s="241"/>
      <c r="J1431" s="221" t="b">
        <f>EXACT(E1432,[1]Main!E1432)</f>
        <v>1</v>
      </c>
    </row>
    <row r="1432" spans="1:10" x14ac:dyDescent="0.25">
      <c r="A1432" s="249">
        <v>45125</v>
      </c>
      <c r="B1432" s="237"/>
      <c r="C1432" s="238"/>
      <c r="D1432" s="239"/>
      <c r="E1432" s="332">
        <v>165</v>
      </c>
      <c r="F1432" s="242" t="s">
        <v>15</v>
      </c>
      <c r="G1432" s="239" t="s">
        <v>930</v>
      </c>
      <c r="H1432" s="240">
        <f t="shared" si="22"/>
        <v>59837</v>
      </c>
      <c r="I1432" s="241"/>
      <c r="J1432" s="221" t="b">
        <f>EXACT(E1433,[1]Main!E1433)</f>
        <v>1</v>
      </c>
    </row>
    <row r="1433" spans="1:10" x14ac:dyDescent="0.25">
      <c r="A1433" s="249">
        <v>45125</v>
      </c>
      <c r="B1433" s="237"/>
      <c r="C1433" s="238"/>
      <c r="D1433" s="239"/>
      <c r="E1433" s="332">
        <v>90</v>
      </c>
      <c r="F1433" s="242" t="s">
        <v>29</v>
      </c>
      <c r="G1433" s="239" t="s">
        <v>930</v>
      </c>
      <c r="H1433" s="240">
        <f t="shared" si="22"/>
        <v>59747</v>
      </c>
      <c r="I1433" s="241"/>
      <c r="J1433" s="221" t="b">
        <f>EXACT(E1434,[1]Main!E1434)</f>
        <v>1</v>
      </c>
    </row>
    <row r="1434" spans="1:10" x14ac:dyDescent="0.25">
      <c r="A1434" s="249">
        <v>45125</v>
      </c>
      <c r="B1434" s="237"/>
      <c r="C1434" s="238"/>
      <c r="D1434" s="239"/>
      <c r="E1434" s="332">
        <v>20</v>
      </c>
      <c r="F1434" s="242" t="s">
        <v>1183</v>
      </c>
      <c r="G1434" s="239" t="s">
        <v>464</v>
      </c>
      <c r="H1434" s="240">
        <f t="shared" si="22"/>
        <v>59727</v>
      </c>
      <c r="I1434" s="241"/>
      <c r="J1434" s="221" t="b">
        <f>EXACT(E1435,[1]Main!E1435)</f>
        <v>1</v>
      </c>
    </row>
    <row r="1435" spans="1:10" x14ac:dyDescent="0.25">
      <c r="A1435" s="249">
        <v>45125</v>
      </c>
      <c r="B1435" s="237"/>
      <c r="C1435" s="238"/>
      <c r="D1435" s="239"/>
      <c r="E1435" s="332">
        <v>80</v>
      </c>
      <c r="F1435" s="242" t="s">
        <v>552</v>
      </c>
      <c r="G1435" s="239" t="s">
        <v>930</v>
      </c>
      <c r="H1435" s="240">
        <f t="shared" si="22"/>
        <v>59647</v>
      </c>
      <c r="I1435" s="241"/>
      <c r="J1435" s="221" t="b">
        <f>EXACT(E1436,[1]Main!E1436)</f>
        <v>1</v>
      </c>
    </row>
    <row r="1436" spans="1:10" x14ac:dyDescent="0.25">
      <c r="A1436" s="249">
        <v>45125</v>
      </c>
      <c r="B1436" s="237"/>
      <c r="C1436" s="238"/>
      <c r="D1436" s="239"/>
      <c r="E1436" s="332">
        <v>80</v>
      </c>
      <c r="F1436" s="242" t="s">
        <v>510</v>
      </c>
      <c r="G1436" s="239" t="s">
        <v>930</v>
      </c>
      <c r="H1436" s="240">
        <f t="shared" si="22"/>
        <v>59567</v>
      </c>
      <c r="I1436" s="241"/>
      <c r="J1436" s="221" t="b">
        <f>EXACT(E1437,[1]Main!E1437)</f>
        <v>1</v>
      </c>
    </row>
    <row r="1437" spans="1:10" x14ac:dyDescent="0.25">
      <c r="A1437" s="249">
        <v>45125</v>
      </c>
      <c r="B1437" s="237"/>
      <c r="C1437" s="238"/>
      <c r="D1437" s="239"/>
      <c r="E1437" s="332">
        <v>100</v>
      </c>
      <c r="F1437" s="242" t="s">
        <v>494</v>
      </c>
      <c r="G1437" s="239" t="s">
        <v>930</v>
      </c>
      <c r="H1437" s="240">
        <f t="shared" si="22"/>
        <v>59467</v>
      </c>
      <c r="I1437" s="241"/>
      <c r="J1437" s="221" t="b">
        <f>EXACT(E1438,[1]Main!E1438)</f>
        <v>1</v>
      </c>
    </row>
    <row r="1438" spans="1:10" x14ac:dyDescent="0.25">
      <c r="A1438" s="249">
        <v>45125</v>
      </c>
      <c r="B1438" s="237"/>
      <c r="C1438" s="238"/>
      <c r="D1438" s="239"/>
      <c r="E1438" s="332">
        <v>15</v>
      </c>
      <c r="F1438" s="242" t="s">
        <v>1184</v>
      </c>
      <c r="G1438" s="239" t="s">
        <v>930</v>
      </c>
      <c r="H1438" s="240">
        <f t="shared" si="22"/>
        <v>59452</v>
      </c>
      <c r="I1438" s="241"/>
      <c r="J1438" s="221" t="b">
        <f>EXACT(E1439,[1]Main!E1439)</f>
        <v>1</v>
      </c>
    </row>
    <row r="1439" spans="1:10" x14ac:dyDescent="0.25">
      <c r="A1439" s="249">
        <v>45125</v>
      </c>
      <c r="B1439" s="237"/>
      <c r="C1439" s="238"/>
      <c r="D1439" s="239"/>
      <c r="E1439" s="332">
        <v>220</v>
      </c>
      <c r="F1439" s="242" t="s">
        <v>1185</v>
      </c>
      <c r="G1439" s="239" t="s">
        <v>928</v>
      </c>
      <c r="H1439" s="240">
        <f t="shared" si="22"/>
        <v>59232</v>
      </c>
      <c r="I1439" s="241"/>
      <c r="J1439" s="221" t="b">
        <f>EXACT(E1440,[1]Main!E1440)</f>
        <v>1</v>
      </c>
    </row>
    <row r="1440" spans="1:10" x14ac:dyDescent="0.25">
      <c r="A1440" s="249">
        <v>45125</v>
      </c>
      <c r="B1440" s="237"/>
      <c r="C1440" s="238"/>
      <c r="D1440" s="239"/>
      <c r="E1440" s="332">
        <v>975</v>
      </c>
      <c r="F1440" s="242" t="s">
        <v>1336</v>
      </c>
      <c r="G1440" s="239" t="s">
        <v>928</v>
      </c>
      <c r="H1440" s="240">
        <f t="shared" si="22"/>
        <v>58257</v>
      </c>
      <c r="I1440" s="241" t="s">
        <v>828</v>
      </c>
      <c r="J1440" s="221" t="b">
        <f>EXACT(E1441,[1]Main!E1441)</f>
        <v>1</v>
      </c>
    </row>
    <row r="1441" spans="1:10" x14ac:dyDescent="0.25">
      <c r="A1441" s="249">
        <v>45125</v>
      </c>
      <c r="B1441" s="237"/>
      <c r="C1441" s="238"/>
      <c r="D1441" s="239"/>
      <c r="E1441" s="332">
        <v>2103</v>
      </c>
      <c r="F1441" s="242" t="s">
        <v>1186</v>
      </c>
      <c r="G1441" s="239" t="s">
        <v>928</v>
      </c>
      <c r="H1441" s="240">
        <f t="shared" si="22"/>
        <v>56154</v>
      </c>
      <c r="I1441" s="241"/>
      <c r="J1441" s="221" t="b">
        <f>EXACT(E1442,[1]Main!E1442)</f>
        <v>1</v>
      </c>
    </row>
    <row r="1442" spans="1:10" x14ac:dyDescent="0.25">
      <c r="A1442" s="244">
        <v>45125</v>
      </c>
      <c r="B1442" s="245"/>
      <c r="C1442" s="246"/>
      <c r="D1442" s="247"/>
      <c r="E1442" s="245">
        <v>110</v>
      </c>
      <c r="F1442" s="248" t="s">
        <v>376</v>
      </c>
      <c r="G1442" s="239" t="s">
        <v>930</v>
      </c>
      <c r="H1442" s="240">
        <f t="shared" si="22"/>
        <v>56044</v>
      </c>
      <c r="I1442" s="241"/>
      <c r="J1442" s="221" t="b">
        <f>EXACT(E1443,[1]Main!E1443)</f>
        <v>1</v>
      </c>
    </row>
    <row r="1443" spans="1:10" x14ac:dyDescent="0.25">
      <c r="A1443" s="249">
        <v>45126</v>
      </c>
      <c r="B1443" s="237">
        <v>14812</v>
      </c>
      <c r="C1443" s="238" t="s">
        <v>80</v>
      </c>
      <c r="D1443" s="239" t="s">
        <v>763</v>
      </c>
      <c r="E1443" s="237">
        <v>1855</v>
      </c>
      <c r="F1443" s="242" t="s">
        <v>1187</v>
      </c>
      <c r="G1443" s="239" t="s">
        <v>930</v>
      </c>
      <c r="H1443" s="240">
        <f t="shared" si="22"/>
        <v>69001</v>
      </c>
      <c r="I1443" s="241"/>
      <c r="J1443" s="221" t="b">
        <f>EXACT(E1444,[1]Main!E1444)</f>
        <v>1</v>
      </c>
    </row>
    <row r="1444" spans="1:10" x14ac:dyDescent="0.25">
      <c r="A1444" s="249">
        <v>45126</v>
      </c>
      <c r="B1444" s="237">
        <v>520</v>
      </c>
      <c r="C1444" s="238" t="s">
        <v>979</v>
      </c>
      <c r="D1444" s="239" t="s">
        <v>765</v>
      </c>
      <c r="E1444" s="237">
        <v>6500</v>
      </c>
      <c r="F1444" s="242" t="s">
        <v>1196</v>
      </c>
      <c r="G1444" s="239" t="s">
        <v>928</v>
      </c>
      <c r="H1444" s="240">
        <f t="shared" si="22"/>
        <v>63021</v>
      </c>
      <c r="I1444" s="241"/>
      <c r="J1444" s="221" t="b">
        <f>EXACT(E1445,[1]Main!E1445)</f>
        <v>1</v>
      </c>
    </row>
    <row r="1445" spans="1:10" x14ac:dyDescent="0.25">
      <c r="A1445" s="249">
        <v>45126</v>
      </c>
      <c r="B1445" s="237">
        <v>15080</v>
      </c>
      <c r="C1445" s="238" t="s">
        <v>300</v>
      </c>
      <c r="D1445" s="239" t="s">
        <v>763</v>
      </c>
      <c r="E1445" s="373">
        <v>320</v>
      </c>
      <c r="F1445" s="374" t="s">
        <v>1195</v>
      </c>
      <c r="G1445" s="239" t="s">
        <v>464</v>
      </c>
      <c r="H1445" s="240">
        <f t="shared" si="22"/>
        <v>77781</v>
      </c>
      <c r="I1445" s="241"/>
      <c r="J1445" s="221" t="b">
        <f>EXACT(E1446,[1]Main!E1446)</f>
        <v>1</v>
      </c>
    </row>
    <row r="1446" spans="1:10" x14ac:dyDescent="0.25">
      <c r="A1446" s="249">
        <v>45126</v>
      </c>
      <c r="B1446" s="237">
        <v>1763</v>
      </c>
      <c r="C1446" s="238" t="s">
        <v>989</v>
      </c>
      <c r="D1446" s="239" t="s">
        <v>765</v>
      </c>
      <c r="E1446" s="375">
        <v>255</v>
      </c>
      <c r="F1446" s="374" t="s">
        <v>1189</v>
      </c>
      <c r="G1446" s="239" t="s">
        <v>931</v>
      </c>
      <c r="H1446" s="240">
        <f t="shared" si="22"/>
        <v>79289</v>
      </c>
      <c r="I1446" s="241"/>
      <c r="J1446" s="221" t="b">
        <f>EXACT(E1447,[1]Main!E1447)</f>
        <v>1</v>
      </c>
    </row>
    <row r="1447" spans="1:10" x14ac:dyDescent="0.25">
      <c r="A1447" s="249">
        <v>45126</v>
      </c>
      <c r="B1447" s="237">
        <v>20625</v>
      </c>
      <c r="C1447" s="238" t="s">
        <v>363</v>
      </c>
      <c r="D1447" s="239" t="s">
        <v>763</v>
      </c>
      <c r="E1447" s="375">
        <v>115</v>
      </c>
      <c r="F1447" s="374" t="s">
        <v>19</v>
      </c>
      <c r="G1447" s="239" t="s">
        <v>930</v>
      </c>
      <c r="H1447" s="240">
        <f t="shared" si="22"/>
        <v>99799</v>
      </c>
      <c r="I1447" s="241"/>
      <c r="J1447" s="221" t="b">
        <f>EXACT(E1448,[1]Main!E1448)</f>
        <v>1</v>
      </c>
    </row>
    <row r="1448" spans="1:10" x14ac:dyDescent="0.25">
      <c r="A1448" s="249">
        <v>45126</v>
      </c>
      <c r="B1448" s="237">
        <v>2174</v>
      </c>
      <c r="C1448" s="238" t="s">
        <v>913</v>
      </c>
      <c r="D1448" s="239" t="s">
        <v>765</v>
      </c>
      <c r="E1448" s="373">
        <v>120</v>
      </c>
      <c r="F1448" s="374" t="s">
        <v>393</v>
      </c>
      <c r="G1448" s="239" t="s">
        <v>930</v>
      </c>
      <c r="H1448" s="240">
        <f t="shared" si="22"/>
        <v>101853</v>
      </c>
      <c r="I1448" s="241"/>
      <c r="J1448" s="221" t="b">
        <f>EXACT(E1449,[1]Main!E1449)</f>
        <v>1</v>
      </c>
    </row>
    <row r="1449" spans="1:10" x14ac:dyDescent="0.25">
      <c r="A1449" s="249">
        <v>45126</v>
      </c>
      <c r="B1449" s="237">
        <v>7625</v>
      </c>
      <c r="C1449" s="238" t="s">
        <v>121</v>
      </c>
      <c r="D1449" s="239" t="s">
        <v>766</v>
      </c>
      <c r="E1449" s="375">
        <v>590</v>
      </c>
      <c r="F1449" s="374" t="s">
        <v>56</v>
      </c>
      <c r="G1449" s="239" t="s">
        <v>928</v>
      </c>
      <c r="H1449" s="240">
        <f t="shared" si="22"/>
        <v>108888</v>
      </c>
      <c r="I1449" s="241"/>
      <c r="J1449" s="221" t="b">
        <f>EXACT(E1450,[1]Main!E1450)</f>
        <v>1</v>
      </c>
    </row>
    <row r="1450" spans="1:10" x14ac:dyDescent="0.25">
      <c r="A1450" s="249">
        <v>45126</v>
      </c>
      <c r="B1450" s="237">
        <v>1770</v>
      </c>
      <c r="C1450" s="238" t="s">
        <v>1013</v>
      </c>
      <c r="D1450" s="239" t="s">
        <v>768</v>
      </c>
      <c r="E1450" s="375">
        <v>525</v>
      </c>
      <c r="F1450" s="374" t="s">
        <v>11</v>
      </c>
      <c r="G1450" s="239" t="s">
        <v>928</v>
      </c>
      <c r="H1450" s="240">
        <f t="shared" si="22"/>
        <v>110133</v>
      </c>
      <c r="I1450" s="241"/>
      <c r="J1450" s="221" t="b">
        <f>EXACT(E1451,[1]Main!E1451)</f>
        <v>1</v>
      </c>
    </row>
    <row r="1451" spans="1:10" x14ac:dyDescent="0.25">
      <c r="A1451" s="249">
        <v>45126</v>
      </c>
      <c r="B1451" s="237">
        <v>1955</v>
      </c>
      <c r="C1451" s="238" t="s">
        <v>1206</v>
      </c>
      <c r="D1451" s="239"/>
      <c r="E1451" s="373">
        <v>3540</v>
      </c>
      <c r="F1451" s="374" t="s">
        <v>1190</v>
      </c>
      <c r="G1451" s="239" t="s">
        <v>928</v>
      </c>
      <c r="H1451" s="240">
        <f t="shared" si="22"/>
        <v>108548</v>
      </c>
      <c r="I1451" s="241"/>
      <c r="J1451" s="221" t="b">
        <f>EXACT(E1452,[1]Main!E1452)</f>
        <v>1</v>
      </c>
    </row>
    <row r="1452" spans="1:10" x14ac:dyDescent="0.25">
      <c r="A1452" s="249">
        <v>45126</v>
      </c>
      <c r="B1452" s="237">
        <v>19328</v>
      </c>
      <c r="C1452" s="238" t="s">
        <v>88</v>
      </c>
      <c r="D1452" s="239" t="s">
        <v>766</v>
      </c>
      <c r="E1452" s="375">
        <v>440</v>
      </c>
      <c r="F1452" s="374" t="s">
        <v>1032</v>
      </c>
      <c r="G1452" s="239" t="s">
        <v>928</v>
      </c>
      <c r="H1452" s="240">
        <f t="shared" si="22"/>
        <v>127436</v>
      </c>
      <c r="I1452" s="241"/>
      <c r="J1452" s="221" t="b">
        <f>EXACT(E1453,[1]Main!E1453)</f>
        <v>1</v>
      </c>
    </row>
    <row r="1453" spans="1:10" x14ac:dyDescent="0.25">
      <c r="A1453" s="249">
        <v>45126</v>
      </c>
      <c r="B1453" s="237">
        <v>980</v>
      </c>
      <c r="C1453" s="238" t="s">
        <v>1062</v>
      </c>
      <c r="D1453" s="239" t="s">
        <v>768</v>
      </c>
      <c r="E1453" s="375">
        <v>1000</v>
      </c>
      <c r="F1453" s="242" t="s">
        <v>886</v>
      </c>
      <c r="G1453" s="239" t="s">
        <v>928</v>
      </c>
      <c r="H1453" s="240">
        <f t="shared" si="22"/>
        <v>127416</v>
      </c>
      <c r="I1453" s="241" t="s">
        <v>796</v>
      </c>
      <c r="J1453" s="221" t="b">
        <f>EXACT(E1454,[1]Main!E1454)</f>
        <v>1</v>
      </c>
    </row>
    <row r="1454" spans="1:10" x14ac:dyDescent="0.25">
      <c r="A1454" s="249">
        <v>45126</v>
      </c>
      <c r="B1454" s="237">
        <v>4782</v>
      </c>
      <c r="C1454" s="238" t="s">
        <v>60</v>
      </c>
      <c r="D1454" s="239" t="s">
        <v>763</v>
      </c>
      <c r="E1454" s="373">
        <v>320</v>
      </c>
      <c r="F1454" s="374" t="s">
        <v>61</v>
      </c>
      <c r="G1454" s="239" t="s">
        <v>928</v>
      </c>
      <c r="H1454" s="240">
        <f t="shared" si="22"/>
        <v>131878</v>
      </c>
      <c r="I1454" s="241"/>
      <c r="J1454" s="221" t="b">
        <f>EXACT(E1455,[1]Main!E1455)</f>
        <v>1</v>
      </c>
    </row>
    <row r="1455" spans="1:10" x14ac:dyDescent="0.25">
      <c r="A1455" s="249">
        <v>45126</v>
      </c>
      <c r="B1455" s="237"/>
      <c r="C1455" s="238"/>
      <c r="D1455" s="239"/>
      <c r="E1455" s="375">
        <v>625</v>
      </c>
      <c r="F1455" s="374" t="s">
        <v>1192</v>
      </c>
      <c r="G1455" s="239" t="s">
        <v>928</v>
      </c>
      <c r="H1455" s="240">
        <f t="shared" si="22"/>
        <v>131253</v>
      </c>
      <c r="I1455" s="241"/>
      <c r="J1455" s="221" t="b">
        <f>EXACT(E1456,[1]Main!E1456)</f>
        <v>1</v>
      </c>
    </row>
    <row r="1456" spans="1:10" x14ac:dyDescent="0.25">
      <c r="A1456" s="249">
        <v>45126</v>
      </c>
      <c r="B1456" s="237"/>
      <c r="C1456" s="238"/>
      <c r="D1456" s="239"/>
      <c r="E1456" s="375">
        <v>670</v>
      </c>
      <c r="F1456" s="374" t="s">
        <v>317</v>
      </c>
      <c r="G1456" s="239" t="s">
        <v>928</v>
      </c>
      <c r="H1456" s="240">
        <f t="shared" si="22"/>
        <v>130583</v>
      </c>
      <c r="I1456" s="241"/>
      <c r="J1456" s="221" t="b">
        <f>EXACT(E1457,[1]Main!E1457)</f>
        <v>1</v>
      </c>
    </row>
    <row r="1457" spans="1:10" x14ac:dyDescent="0.25">
      <c r="A1457" s="249">
        <v>45126</v>
      </c>
      <c r="B1457" s="237"/>
      <c r="C1457" s="238"/>
      <c r="D1457" s="239"/>
      <c r="E1457" s="373">
        <v>270</v>
      </c>
      <c r="F1457" s="374" t="s">
        <v>313</v>
      </c>
      <c r="G1457" s="239" t="s">
        <v>928</v>
      </c>
      <c r="H1457" s="240">
        <f t="shared" si="22"/>
        <v>130313</v>
      </c>
      <c r="I1457" s="241"/>
      <c r="J1457" s="221" t="b">
        <f>EXACT(E1458,[1]Main!E1458)</f>
        <v>1</v>
      </c>
    </row>
    <row r="1458" spans="1:10" x14ac:dyDescent="0.25">
      <c r="A1458" s="249">
        <v>45126</v>
      </c>
      <c r="B1458" s="237"/>
      <c r="C1458" s="238"/>
      <c r="D1458" s="239"/>
      <c r="E1458" s="375">
        <v>890</v>
      </c>
      <c r="F1458" s="374" t="s">
        <v>1336</v>
      </c>
      <c r="G1458" s="239" t="s">
        <v>928</v>
      </c>
      <c r="H1458" s="240">
        <f t="shared" si="22"/>
        <v>129423</v>
      </c>
      <c r="I1458" s="241" t="s">
        <v>828</v>
      </c>
      <c r="J1458" s="221" t="b">
        <f>EXACT(E1459,[1]Main!E1459)</f>
        <v>1</v>
      </c>
    </row>
    <row r="1459" spans="1:10" x14ac:dyDescent="0.25">
      <c r="A1459" s="249">
        <v>45126</v>
      </c>
      <c r="B1459" s="237"/>
      <c r="C1459" s="238"/>
      <c r="D1459" s="239"/>
      <c r="E1459" s="375">
        <v>1148</v>
      </c>
      <c r="F1459" s="374" t="s">
        <v>1193</v>
      </c>
      <c r="G1459" s="239" t="s">
        <v>928</v>
      </c>
      <c r="H1459" s="240">
        <f t="shared" si="22"/>
        <v>128275</v>
      </c>
      <c r="I1459" s="241"/>
      <c r="J1459" s="221" t="b">
        <f>EXACT(E1460,[1]Main!E1460)</f>
        <v>1</v>
      </c>
    </row>
    <row r="1460" spans="1:10" x14ac:dyDescent="0.25">
      <c r="A1460" s="249">
        <v>45126</v>
      </c>
      <c r="B1460" s="237"/>
      <c r="C1460" s="238"/>
      <c r="D1460" s="239"/>
      <c r="E1460" s="373">
        <v>1890</v>
      </c>
      <c r="F1460" s="374" t="s">
        <v>275</v>
      </c>
      <c r="G1460" s="239" t="s">
        <v>928</v>
      </c>
      <c r="H1460" s="240">
        <f t="shared" si="22"/>
        <v>126385</v>
      </c>
      <c r="I1460" s="241"/>
      <c r="J1460" s="221" t="b">
        <f>EXACT(E1461,[1]Main!E1461)</f>
        <v>1</v>
      </c>
    </row>
    <row r="1461" spans="1:10" x14ac:dyDescent="0.25">
      <c r="A1461" s="249">
        <v>45126</v>
      </c>
      <c r="B1461" s="237"/>
      <c r="C1461" s="238"/>
      <c r="D1461" s="239"/>
      <c r="E1461" s="375">
        <v>14</v>
      </c>
      <c r="F1461" s="374" t="s">
        <v>1194</v>
      </c>
      <c r="G1461" s="239" t="s">
        <v>464</v>
      </c>
      <c r="H1461" s="240">
        <f t="shared" si="22"/>
        <v>126371</v>
      </c>
      <c r="I1461" s="241"/>
      <c r="J1461" s="221" t="b">
        <f>EXACT(E1462,[1]Main!E1462)</f>
        <v>1</v>
      </c>
    </row>
    <row r="1462" spans="1:10" x14ac:dyDescent="0.25">
      <c r="A1462" s="249">
        <v>45126</v>
      </c>
      <c r="B1462" s="237"/>
      <c r="C1462" s="238"/>
      <c r="D1462" s="239"/>
      <c r="E1462" s="237">
        <v>800</v>
      </c>
      <c r="F1462" s="242" t="s">
        <v>27</v>
      </c>
      <c r="G1462" s="239" t="s">
        <v>943</v>
      </c>
      <c r="H1462" s="240">
        <f t="shared" si="22"/>
        <v>125571</v>
      </c>
      <c r="I1462" s="241"/>
      <c r="J1462" s="221" t="b">
        <f>EXACT(E1463,[1]Main!E1463)</f>
        <v>1</v>
      </c>
    </row>
    <row r="1463" spans="1:10" x14ac:dyDescent="0.25">
      <c r="A1463" s="249">
        <v>45126</v>
      </c>
      <c r="B1463" s="237"/>
      <c r="C1463" s="238"/>
      <c r="D1463" s="239"/>
      <c r="E1463" s="237">
        <v>1060</v>
      </c>
      <c r="F1463" s="242" t="s">
        <v>1197</v>
      </c>
      <c r="G1463" s="239" t="s">
        <v>928</v>
      </c>
      <c r="H1463" s="240">
        <f t="shared" si="22"/>
        <v>124511</v>
      </c>
      <c r="I1463" s="241"/>
      <c r="J1463" s="221" t="b">
        <f>EXACT(E1464,[1]Main!E1464)</f>
        <v>1</v>
      </c>
    </row>
    <row r="1464" spans="1:10" x14ac:dyDescent="0.25">
      <c r="A1464" s="249">
        <v>45126</v>
      </c>
      <c r="B1464" s="237"/>
      <c r="C1464" s="238"/>
      <c r="D1464" s="239"/>
      <c r="E1464" s="245">
        <v>1100</v>
      </c>
      <c r="F1464" s="248" t="s">
        <v>1188</v>
      </c>
      <c r="G1464" s="239" t="s">
        <v>928</v>
      </c>
      <c r="H1464" s="240">
        <f t="shared" si="22"/>
        <v>123411</v>
      </c>
      <c r="I1464" s="241"/>
      <c r="J1464" s="221" t="b">
        <f>EXACT(E1465,[1]Main!E1465)</f>
        <v>1</v>
      </c>
    </row>
    <row r="1465" spans="1:10" x14ac:dyDescent="0.25">
      <c r="A1465" s="249">
        <v>45126</v>
      </c>
      <c r="B1465" s="237"/>
      <c r="C1465" s="238"/>
      <c r="D1465" s="239"/>
      <c r="E1465" s="245">
        <v>1445</v>
      </c>
      <c r="F1465" s="248" t="s">
        <v>314</v>
      </c>
      <c r="G1465" s="239" t="s">
        <v>928</v>
      </c>
      <c r="H1465" s="240">
        <f t="shared" si="22"/>
        <v>121966</v>
      </c>
      <c r="I1465" s="241"/>
      <c r="J1465" s="221" t="b">
        <f>EXACT(E1466,[1]Main!E1466)</f>
        <v>1</v>
      </c>
    </row>
    <row r="1466" spans="1:10" x14ac:dyDescent="0.25">
      <c r="A1466" s="249">
        <v>45126</v>
      </c>
      <c r="B1466" s="237"/>
      <c r="C1466" s="238"/>
      <c r="D1466" s="239"/>
      <c r="E1466" s="245">
        <v>145</v>
      </c>
      <c r="F1466" s="248" t="s">
        <v>27</v>
      </c>
      <c r="G1466" s="239" t="s">
        <v>943</v>
      </c>
      <c r="H1466" s="240">
        <f t="shared" si="22"/>
        <v>121821</v>
      </c>
      <c r="I1466" s="241"/>
      <c r="J1466" s="221" t="b">
        <f>EXACT(E1467,[1]Main!E1467)</f>
        <v>1</v>
      </c>
    </row>
    <row r="1467" spans="1:10" x14ac:dyDescent="0.25">
      <c r="A1467" s="249">
        <v>45126</v>
      </c>
      <c r="B1467" s="237"/>
      <c r="C1467" s="238"/>
      <c r="D1467" s="239"/>
      <c r="E1467" s="245">
        <v>1510</v>
      </c>
      <c r="F1467" s="248" t="s">
        <v>12</v>
      </c>
      <c r="G1467" s="239" t="s">
        <v>928</v>
      </c>
      <c r="H1467" s="240">
        <f t="shared" si="22"/>
        <v>120311</v>
      </c>
      <c r="I1467" s="241"/>
      <c r="J1467" s="221" t="b">
        <f>EXACT(E1468,[1]Main!E1468)</f>
        <v>1</v>
      </c>
    </row>
    <row r="1468" spans="1:10" x14ac:dyDescent="0.25">
      <c r="A1468" s="249">
        <v>45126</v>
      </c>
      <c r="B1468" s="237"/>
      <c r="C1468" s="238"/>
      <c r="D1468" s="239"/>
      <c r="E1468" s="245">
        <v>3657</v>
      </c>
      <c r="F1468" s="248" t="s">
        <v>77</v>
      </c>
      <c r="G1468" s="239" t="s">
        <v>928</v>
      </c>
      <c r="H1468" s="240">
        <f t="shared" si="22"/>
        <v>116654</v>
      </c>
      <c r="I1468" s="241"/>
      <c r="J1468" s="221" t="b">
        <f>EXACT(E1469,[1]Main!E1469)</f>
        <v>1</v>
      </c>
    </row>
    <row r="1469" spans="1:10" x14ac:dyDescent="0.25">
      <c r="A1469" s="249">
        <v>45126</v>
      </c>
      <c r="B1469" s="237"/>
      <c r="C1469" s="238"/>
      <c r="D1469" s="239"/>
      <c r="E1469" s="245">
        <v>280</v>
      </c>
      <c r="F1469" s="248" t="s">
        <v>8</v>
      </c>
      <c r="G1469" s="239" t="s">
        <v>930</v>
      </c>
      <c r="H1469" s="240">
        <f t="shared" si="22"/>
        <v>116374</v>
      </c>
      <c r="I1469" s="241"/>
      <c r="J1469" s="221" t="b">
        <f>EXACT(E1470,[1]Main!E1470)</f>
        <v>1</v>
      </c>
    </row>
    <row r="1470" spans="1:10" x14ac:dyDescent="0.25">
      <c r="A1470" s="249">
        <v>45126</v>
      </c>
      <c r="B1470" s="237"/>
      <c r="C1470" s="238"/>
      <c r="D1470" s="239"/>
      <c r="E1470" s="245">
        <v>123</v>
      </c>
      <c r="F1470" s="248" t="s">
        <v>10</v>
      </c>
      <c r="G1470" s="239" t="s">
        <v>930</v>
      </c>
      <c r="H1470" s="240">
        <f t="shared" si="22"/>
        <v>116251</v>
      </c>
      <c r="I1470" s="241"/>
      <c r="J1470" s="221" t="b">
        <f>EXACT(E1471,[1]Main!E1471)</f>
        <v>1</v>
      </c>
    </row>
    <row r="1471" spans="1:10" x14ac:dyDescent="0.25">
      <c r="A1471" s="249">
        <v>45126</v>
      </c>
      <c r="B1471" s="237"/>
      <c r="C1471" s="238"/>
      <c r="D1471" s="239"/>
      <c r="E1471" s="245">
        <v>100</v>
      </c>
      <c r="F1471" s="248" t="s">
        <v>33</v>
      </c>
      <c r="G1471" s="239" t="s">
        <v>464</v>
      </c>
      <c r="H1471" s="240">
        <f t="shared" si="22"/>
        <v>116151</v>
      </c>
      <c r="I1471" s="241"/>
      <c r="J1471" s="221" t="b">
        <f>EXACT(E1472,[1]Main!E1472)</f>
        <v>1</v>
      </c>
    </row>
    <row r="1472" spans="1:10" x14ac:dyDescent="0.25">
      <c r="A1472" s="249">
        <v>45126</v>
      </c>
      <c r="B1472" s="237"/>
      <c r="C1472" s="238"/>
      <c r="D1472" s="239"/>
      <c r="E1472" s="237">
        <v>20</v>
      </c>
      <c r="F1472" s="242" t="s">
        <v>471</v>
      </c>
      <c r="G1472" s="239" t="s">
        <v>931</v>
      </c>
      <c r="H1472" s="240">
        <f t="shared" si="22"/>
        <v>116131</v>
      </c>
      <c r="I1472" s="241"/>
      <c r="J1472" s="221" t="b">
        <f>EXACT(E1473,[1]Main!E1473)</f>
        <v>1</v>
      </c>
    </row>
    <row r="1473" spans="1:10" x14ac:dyDescent="0.25">
      <c r="A1473" s="249">
        <v>45126</v>
      </c>
      <c r="B1473" s="237"/>
      <c r="C1473" s="238"/>
      <c r="D1473" s="239"/>
      <c r="E1473" s="237">
        <v>3000</v>
      </c>
      <c r="F1473" s="242" t="s">
        <v>1038</v>
      </c>
      <c r="G1473" s="239" t="s">
        <v>928</v>
      </c>
      <c r="H1473" s="240">
        <f t="shared" si="22"/>
        <v>113131</v>
      </c>
      <c r="I1473" s="241" t="s">
        <v>1137</v>
      </c>
      <c r="J1473" s="221" t="b">
        <f>EXACT(E1474,[1]Main!E1474)</f>
        <v>1</v>
      </c>
    </row>
    <row r="1474" spans="1:10" x14ac:dyDescent="0.25">
      <c r="A1474" s="249">
        <v>45126</v>
      </c>
      <c r="B1474" s="237"/>
      <c r="C1474" s="238"/>
      <c r="D1474" s="239"/>
      <c r="E1474" s="237">
        <v>1200</v>
      </c>
      <c r="F1474" s="242" t="s">
        <v>1199</v>
      </c>
      <c r="G1474" s="239" t="s">
        <v>464</v>
      </c>
      <c r="H1474" s="240">
        <f t="shared" si="22"/>
        <v>111931</v>
      </c>
      <c r="I1474" s="241"/>
      <c r="J1474" s="221" t="b">
        <f>EXACT(E1475,[1]Main!E1475)</f>
        <v>1</v>
      </c>
    </row>
    <row r="1475" spans="1:10" x14ac:dyDescent="0.25">
      <c r="A1475" s="249">
        <v>45126</v>
      </c>
      <c r="B1475" s="237"/>
      <c r="C1475" s="238"/>
      <c r="D1475" s="239"/>
      <c r="E1475" s="237">
        <f>2865+1180</f>
        <v>4045</v>
      </c>
      <c r="F1475" s="242" t="s">
        <v>1340</v>
      </c>
      <c r="G1475" s="239" t="s">
        <v>928</v>
      </c>
      <c r="H1475" s="240">
        <f t="shared" si="22"/>
        <v>107886</v>
      </c>
      <c r="I1475" s="241" t="s">
        <v>1339</v>
      </c>
      <c r="J1475" s="221" t="b">
        <f>EXACT(E1476,[1]Main!E1476)</f>
        <v>1</v>
      </c>
    </row>
    <row r="1476" spans="1:10" x14ac:dyDescent="0.25">
      <c r="A1476" s="249">
        <v>45126</v>
      </c>
      <c r="B1476" s="237"/>
      <c r="C1476" s="238"/>
      <c r="D1476" s="239"/>
      <c r="E1476" s="237">
        <f>55+25</f>
        <v>80</v>
      </c>
      <c r="F1476" s="242" t="s">
        <v>13</v>
      </c>
      <c r="G1476" s="239" t="s">
        <v>930</v>
      </c>
      <c r="H1476" s="240">
        <f t="shared" si="22"/>
        <v>107806</v>
      </c>
      <c r="I1476" s="241"/>
      <c r="J1476" s="221" t="b">
        <f>EXACT(E1477,[1]Main!E1477)</f>
        <v>1</v>
      </c>
    </row>
    <row r="1477" spans="1:10" x14ac:dyDescent="0.25">
      <c r="A1477" s="249">
        <v>45126</v>
      </c>
      <c r="B1477" s="237"/>
      <c r="C1477" s="238"/>
      <c r="D1477" s="239"/>
      <c r="E1477" s="237">
        <v>120</v>
      </c>
      <c r="F1477" s="242" t="s">
        <v>38</v>
      </c>
      <c r="G1477" s="239" t="s">
        <v>930</v>
      </c>
      <c r="H1477" s="240">
        <f t="shared" si="22"/>
        <v>107686</v>
      </c>
      <c r="I1477" s="241"/>
      <c r="J1477" s="221" t="b">
        <f>EXACT(E1478,[1]Main!E1478)</f>
        <v>1</v>
      </c>
    </row>
    <row r="1478" spans="1:10" x14ac:dyDescent="0.25">
      <c r="A1478" s="249">
        <v>45126</v>
      </c>
      <c r="B1478" s="237"/>
      <c r="C1478" s="238"/>
      <c r="D1478" s="239"/>
      <c r="E1478" s="237">
        <v>200</v>
      </c>
      <c r="F1478" s="242" t="s">
        <v>1200</v>
      </c>
      <c r="G1478" s="239" t="s">
        <v>464</v>
      </c>
      <c r="H1478" s="240">
        <f t="shared" si="22"/>
        <v>107486</v>
      </c>
      <c r="I1478" s="241"/>
      <c r="J1478" s="221" t="b">
        <f>EXACT(E1479,[1]Main!E1479)</f>
        <v>1</v>
      </c>
    </row>
    <row r="1479" spans="1:10" x14ac:dyDescent="0.25">
      <c r="A1479" s="249">
        <v>45126</v>
      </c>
      <c r="B1479" s="237"/>
      <c r="C1479" s="238"/>
      <c r="D1479" s="239"/>
      <c r="E1479" s="237">
        <v>1530</v>
      </c>
      <c r="F1479" s="242" t="s">
        <v>1201</v>
      </c>
      <c r="G1479" s="239" t="s">
        <v>928</v>
      </c>
      <c r="H1479" s="240">
        <f t="shared" ref="H1479:H1542" si="23">H1478+B1479-E1479</f>
        <v>105956</v>
      </c>
      <c r="I1479" s="241"/>
      <c r="J1479" s="221" t="b">
        <f>EXACT(E1480,[1]Main!E1480)</f>
        <v>1</v>
      </c>
    </row>
    <row r="1480" spans="1:10" x14ac:dyDescent="0.25">
      <c r="A1480" s="249">
        <v>45126</v>
      </c>
      <c r="B1480" s="237"/>
      <c r="C1480" s="238"/>
      <c r="D1480" s="239"/>
      <c r="E1480" s="237">
        <v>2150</v>
      </c>
      <c r="F1480" s="242" t="s">
        <v>888</v>
      </c>
      <c r="G1480" s="239" t="s">
        <v>928</v>
      </c>
      <c r="H1480" s="240">
        <f t="shared" si="23"/>
        <v>103806</v>
      </c>
      <c r="I1480" s="241"/>
      <c r="J1480" s="221" t="b">
        <f>EXACT(E1481,[1]Main!E1481)</f>
        <v>1</v>
      </c>
    </row>
    <row r="1481" spans="1:10" x14ac:dyDescent="0.25">
      <c r="A1481" s="249">
        <v>45126</v>
      </c>
      <c r="B1481" s="237"/>
      <c r="C1481" s="238"/>
      <c r="D1481" s="239"/>
      <c r="E1481" s="237">
        <v>2900</v>
      </c>
      <c r="F1481" s="242" t="s">
        <v>20</v>
      </c>
      <c r="G1481" s="239" t="s">
        <v>928</v>
      </c>
      <c r="H1481" s="240">
        <f t="shared" si="23"/>
        <v>100906</v>
      </c>
      <c r="I1481" s="241"/>
      <c r="J1481" s="221" t="b">
        <f>EXACT(E1482,[1]Main!E1482)</f>
        <v>1</v>
      </c>
    </row>
    <row r="1482" spans="1:10" x14ac:dyDescent="0.25">
      <c r="A1482" s="249">
        <v>45126</v>
      </c>
      <c r="B1482" s="237"/>
      <c r="C1482" s="238"/>
      <c r="D1482" s="239"/>
      <c r="E1482" s="237">
        <v>2000</v>
      </c>
      <c r="F1482" s="242" t="s">
        <v>1203</v>
      </c>
      <c r="G1482" s="239" t="s">
        <v>464</v>
      </c>
      <c r="H1482" s="240">
        <f t="shared" si="23"/>
        <v>98906</v>
      </c>
      <c r="I1482" s="241"/>
      <c r="J1482" s="221" t="b">
        <f>EXACT(E1483,[1]Main!E1483)</f>
        <v>1</v>
      </c>
    </row>
    <row r="1483" spans="1:10" x14ac:dyDescent="0.25">
      <c r="A1483" s="249">
        <v>45126</v>
      </c>
      <c r="B1483" s="237"/>
      <c r="C1483" s="238"/>
      <c r="D1483" s="239"/>
      <c r="E1483" s="237">
        <v>5240</v>
      </c>
      <c r="F1483" s="242" t="s">
        <v>1204</v>
      </c>
      <c r="G1483" s="239" t="s">
        <v>928</v>
      </c>
      <c r="H1483" s="240">
        <f t="shared" si="23"/>
        <v>93666</v>
      </c>
      <c r="I1483" s="241"/>
      <c r="J1483" s="221" t="b">
        <f>EXACT(E1484,[1]Main!E1484)</f>
        <v>1</v>
      </c>
    </row>
    <row r="1484" spans="1:10" x14ac:dyDescent="0.25">
      <c r="A1484" s="249">
        <v>45126</v>
      </c>
      <c r="B1484" s="237"/>
      <c r="C1484" s="238"/>
      <c r="D1484" s="239"/>
      <c r="E1484" s="237">
        <v>2000</v>
      </c>
      <c r="F1484" s="242" t="s">
        <v>1114</v>
      </c>
      <c r="G1484" s="239" t="s">
        <v>928</v>
      </c>
      <c r="H1484" s="240">
        <f t="shared" si="23"/>
        <v>91666</v>
      </c>
      <c r="I1484" s="241"/>
      <c r="J1484" s="221" t="b">
        <f>EXACT(E1485,[1]Main!E1485)</f>
        <v>1</v>
      </c>
    </row>
    <row r="1485" spans="1:10" x14ac:dyDescent="0.25">
      <c r="A1485" s="249">
        <v>45126</v>
      </c>
      <c r="B1485" s="237"/>
      <c r="C1485" s="238"/>
      <c r="D1485" s="239"/>
      <c r="E1485" s="237">
        <v>2000</v>
      </c>
      <c r="F1485" s="242" t="s">
        <v>881</v>
      </c>
      <c r="G1485" s="239" t="s">
        <v>928</v>
      </c>
      <c r="H1485" s="240">
        <f t="shared" si="23"/>
        <v>89666</v>
      </c>
      <c r="I1485" s="241"/>
      <c r="J1485" s="221" t="b">
        <f>EXACT(E1486,[1]Main!E1486)</f>
        <v>1</v>
      </c>
    </row>
    <row r="1486" spans="1:10" x14ac:dyDescent="0.25">
      <c r="A1486" s="249">
        <v>45126</v>
      </c>
      <c r="B1486" s="237"/>
      <c r="C1486" s="238"/>
      <c r="D1486" s="239"/>
      <c r="E1486" s="237">
        <v>2000</v>
      </c>
      <c r="F1486" s="242" t="s">
        <v>803</v>
      </c>
      <c r="G1486" s="239" t="s">
        <v>928</v>
      </c>
      <c r="H1486" s="240">
        <f t="shared" si="23"/>
        <v>87666</v>
      </c>
      <c r="I1486" s="241" t="s">
        <v>815</v>
      </c>
      <c r="J1486" s="221" t="b">
        <f>EXACT(E1487,[1]Main!E1487)</f>
        <v>1</v>
      </c>
    </row>
    <row r="1487" spans="1:10" x14ac:dyDescent="0.25">
      <c r="A1487" s="249">
        <v>45126</v>
      </c>
      <c r="B1487" s="237"/>
      <c r="C1487" s="238"/>
      <c r="D1487" s="239"/>
      <c r="E1487" s="237">
        <v>5990</v>
      </c>
      <c r="F1487" s="242" t="s">
        <v>16</v>
      </c>
      <c r="G1487" s="239" t="s">
        <v>936</v>
      </c>
      <c r="H1487" s="240">
        <f t="shared" si="23"/>
        <v>81676</v>
      </c>
      <c r="I1487" s="241" t="s">
        <v>829</v>
      </c>
      <c r="J1487" s="221" t="b">
        <f>EXACT(E1488,[1]Main!E1488)</f>
        <v>1</v>
      </c>
    </row>
    <row r="1488" spans="1:10" x14ac:dyDescent="0.25">
      <c r="A1488" s="249">
        <v>45126</v>
      </c>
      <c r="B1488" s="237"/>
      <c r="C1488" s="238"/>
      <c r="D1488" s="239"/>
      <c r="E1488" s="237">
        <v>1980</v>
      </c>
      <c r="F1488" s="242" t="s">
        <v>1205</v>
      </c>
      <c r="G1488" s="239" t="s">
        <v>943</v>
      </c>
      <c r="H1488" s="240">
        <f t="shared" si="23"/>
        <v>79696</v>
      </c>
      <c r="I1488" s="241"/>
      <c r="J1488" s="221" t="b">
        <f>EXACT(E1489,[1]Main!E1489)</f>
        <v>1</v>
      </c>
    </row>
    <row r="1489" spans="1:10" x14ac:dyDescent="0.25">
      <c r="A1489" s="249">
        <v>45126</v>
      </c>
      <c r="B1489" s="237"/>
      <c r="C1489" s="238"/>
      <c r="D1489" s="239"/>
      <c r="E1489" s="237">
        <v>2000</v>
      </c>
      <c r="F1489" s="242" t="s">
        <v>785</v>
      </c>
      <c r="G1489" s="239" t="s">
        <v>928</v>
      </c>
      <c r="H1489" s="240">
        <f t="shared" si="23"/>
        <v>77696</v>
      </c>
      <c r="I1489" s="241" t="s">
        <v>786</v>
      </c>
      <c r="J1489" s="221" t="b">
        <f>EXACT(E1490,[1]Main!E1490)</f>
        <v>1</v>
      </c>
    </row>
    <row r="1490" spans="1:10" x14ac:dyDescent="0.25">
      <c r="A1490" s="249">
        <v>45126</v>
      </c>
      <c r="B1490" s="237"/>
      <c r="C1490" s="238"/>
      <c r="D1490" s="239"/>
      <c r="E1490" s="237">
        <v>2000</v>
      </c>
      <c r="F1490" s="242" t="s">
        <v>737</v>
      </c>
      <c r="G1490" s="239" t="s">
        <v>928</v>
      </c>
      <c r="H1490" s="240">
        <f t="shared" si="23"/>
        <v>75696</v>
      </c>
      <c r="I1490" s="241" t="s">
        <v>1207</v>
      </c>
      <c r="J1490" s="221" t="b">
        <f>EXACT(E1491,[1]Main!E1491)</f>
        <v>1</v>
      </c>
    </row>
    <row r="1491" spans="1:10" x14ac:dyDescent="0.25">
      <c r="A1491" s="249">
        <v>45126</v>
      </c>
      <c r="B1491" s="237"/>
      <c r="C1491" s="238"/>
      <c r="D1491" s="239"/>
      <c r="E1491" s="237">
        <v>3040</v>
      </c>
      <c r="F1491" s="242" t="s">
        <v>975</v>
      </c>
      <c r="G1491" s="239" t="s">
        <v>928</v>
      </c>
      <c r="H1491" s="240">
        <f t="shared" si="23"/>
        <v>72656</v>
      </c>
      <c r="I1491" s="241" t="s">
        <v>1208</v>
      </c>
      <c r="J1491" s="221" t="b">
        <f>EXACT(E1492,[1]Main!E1492)</f>
        <v>1</v>
      </c>
    </row>
    <row r="1492" spans="1:10" x14ac:dyDescent="0.25">
      <c r="A1492" s="249">
        <v>45126</v>
      </c>
      <c r="B1492" s="237"/>
      <c r="C1492" s="238"/>
      <c r="D1492" s="239"/>
      <c r="E1492" s="237">
        <v>2330</v>
      </c>
      <c r="F1492" s="242" t="s">
        <v>1209</v>
      </c>
      <c r="G1492" s="239" t="s">
        <v>928</v>
      </c>
      <c r="H1492" s="240">
        <f t="shared" si="23"/>
        <v>70326</v>
      </c>
      <c r="I1492" s="241" t="s">
        <v>1210</v>
      </c>
      <c r="J1492" s="221" t="b">
        <f>EXACT(E1493,[1]Main!E1493)</f>
        <v>1</v>
      </c>
    </row>
    <row r="1493" spans="1:10" x14ac:dyDescent="0.25">
      <c r="A1493" s="249">
        <v>45126</v>
      </c>
      <c r="B1493" s="237"/>
      <c r="C1493" s="238"/>
      <c r="D1493" s="239"/>
      <c r="E1493" s="237">
        <v>1280</v>
      </c>
      <c r="F1493" s="242" t="s">
        <v>14</v>
      </c>
      <c r="G1493" s="239" t="s">
        <v>935</v>
      </c>
      <c r="H1493" s="240">
        <f t="shared" si="23"/>
        <v>69046</v>
      </c>
      <c r="I1493" s="241"/>
      <c r="J1493" s="221" t="b">
        <f>EXACT(E1494,[1]Main!E1494)</f>
        <v>1</v>
      </c>
    </row>
    <row r="1494" spans="1:10" x14ac:dyDescent="0.25">
      <c r="A1494" s="249">
        <v>45126</v>
      </c>
      <c r="B1494" s="237"/>
      <c r="C1494" s="238"/>
      <c r="D1494" s="239"/>
      <c r="E1494" s="237">
        <v>2945</v>
      </c>
      <c r="F1494" s="242" t="s">
        <v>1211</v>
      </c>
      <c r="G1494" s="239" t="s">
        <v>928</v>
      </c>
      <c r="H1494" s="240">
        <f t="shared" si="23"/>
        <v>66101</v>
      </c>
      <c r="I1494" s="241"/>
      <c r="J1494" s="221" t="b">
        <f>EXACT(E1495,[1]Main!E1495)</f>
        <v>1</v>
      </c>
    </row>
    <row r="1495" spans="1:10" x14ac:dyDescent="0.25">
      <c r="A1495" s="249">
        <v>45126</v>
      </c>
      <c r="B1495" s="237"/>
      <c r="C1495" s="238"/>
      <c r="D1495" s="239"/>
      <c r="E1495" s="237">
        <v>480</v>
      </c>
      <c r="F1495" s="242" t="s">
        <v>230</v>
      </c>
      <c r="G1495" s="239" t="s">
        <v>928</v>
      </c>
      <c r="H1495" s="240">
        <f t="shared" si="23"/>
        <v>65621</v>
      </c>
      <c r="I1495" s="241" t="s">
        <v>1212</v>
      </c>
      <c r="J1495" s="221" t="b">
        <f>EXACT(E1496,[1]Main!E1496)</f>
        <v>1</v>
      </c>
    </row>
    <row r="1496" spans="1:10" x14ac:dyDescent="0.25">
      <c r="A1496" s="249">
        <v>45126</v>
      </c>
      <c r="B1496" s="237"/>
      <c r="C1496" s="238"/>
      <c r="D1496" s="239"/>
      <c r="E1496" s="237">
        <v>78</v>
      </c>
      <c r="F1496" s="242" t="s">
        <v>26</v>
      </c>
      <c r="G1496" s="239" t="s">
        <v>930</v>
      </c>
      <c r="H1496" s="240">
        <f t="shared" si="23"/>
        <v>65543</v>
      </c>
      <c r="I1496" s="241"/>
      <c r="J1496" s="221" t="b">
        <f>EXACT(E1497,[1]Main!E1497)</f>
        <v>1</v>
      </c>
    </row>
    <row r="1497" spans="1:10" x14ac:dyDescent="0.25">
      <c r="A1497" s="249">
        <v>45126</v>
      </c>
      <c r="B1497" s="237"/>
      <c r="C1497" s="238"/>
      <c r="D1497" s="239"/>
      <c r="E1497" s="237">
        <v>1950</v>
      </c>
      <c r="F1497" s="242" t="s">
        <v>228</v>
      </c>
      <c r="G1497" s="239" t="s">
        <v>928</v>
      </c>
      <c r="H1497" s="240">
        <f t="shared" si="23"/>
        <v>63593</v>
      </c>
      <c r="I1497" s="241"/>
      <c r="J1497" s="221" t="b">
        <f>EXACT(E1498,[1]Main!E1498)</f>
        <v>1</v>
      </c>
    </row>
    <row r="1498" spans="1:10" x14ac:dyDescent="0.25">
      <c r="A1498" s="249">
        <v>45126</v>
      </c>
      <c r="B1498" s="237"/>
      <c r="C1498" s="238"/>
      <c r="D1498" s="239"/>
      <c r="E1498" s="237">
        <v>495</v>
      </c>
      <c r="F1498" s="242" t="s">
        <v>27</v>
      </c>
      <c r="G1498" s="239" t="s">
        <v>943</v>
      </c>
      <c r="H1498" s="240">
        <f t="shared" si="23"/>
        <v>63098</v>
      </c>
      <c r="I1498" s="241"/>
      <c r="J1498" s="221" t="b">
        <f>EXACT(E1499,[1]Main!E1499)</f>
        <v>1</v>
      </c>
    </row>
    <row r="1499" spans="1:10" x14ac:dyDescent="0.25">
      <c r="A1499" s="249">
        <v>45126</v>
      </c>
      <c r="B1499" s="237"/>
      <c r="C1499" s="238"/>
      <c r="D1499" s="239"/>
      <c r="E1499" s="237">
        <v>4635</v>
      </c>
      <c r="F1499" s="242" t="s">
        <v>848</v>
      </c>
      <c r="G1499" s="239" t="s">
        <v>928</v>
      </c>
      <c r="H1499" s="240">
        <f t="shared" si="23"/>
        <v>58463</v>
      </c>
      <c r="I1499" s="241"/>
      <c r="J1499" s="221" t="b">
        <f>EXACT(E1500,[1]Main!E1500)</f>
        <v>1</v>
      </c>
    </row>
    <row r="1500" spans="1:10" x14ac:dyDescent="0.25">
      <c r="A1500" s="249">
        <v>45126</v>
      </c>
      <c r="B1500" s="237"/>
      <c r="C1500" s="238"/>
      <c r="D1500" s="239"/>
      <c r="E1500" s="237">
        <v>1150</v>
      </c>
      <c r="F1500" s="242" t="s">
        <v>946</v>
      </c>
      <c r="G1500" s="239" t="s">
        <v>930</v>
      </c>
      <c r="H1500" s="240">
        <f t="shared" si="23"/>
        <v>57313</v>
      </c>
      <c r="I1500" s="241"/>
      <c r="J1500" s="221" t="b">
        <f>EXACT(E1501,[1]Main!E1501)</f>
        <v>1</v>
      </c>
    </row>
    <row r="1501" spans="1:10" x14ac:dyDescent="0.25">
      <c r="A1501" s="249">
        <v>45126</v>
      </c>
      <c r="B1501" s="237"/>
      <c r="C1501" s="238"/>
      <c r="D1501" s="239"/>
      <c r="E1501" s="245">
        <v>115</v>
      </c>
      <c r="F1501" s="248" t="s">
        <v>708</v>
      </c>
      <c r="G1501" s="239" t="s">
        <v>930</v>
      </c>
      <c r="H1501" s="240">
        <f t="shared" si="23"/>
        <v>57198</v>
      </c>
      <c r="I1501" s="241"/>
      <c r="J1501" s="221" t="b">
        <f>EXACT(E1502,[1]Main!E1502)</f>
        <v>1</v>
      </c>
    </row>
    <row r="1502" spans="1:10" x14ac:dyDescent="0.25">
      <c r="A1502" s="249">
        <v>45126</v>
      </c>
      <c r="B1502" s="237"/>
      <c r="C1502" s="238"/>
      <c r="D1502" s="239"/>
      <c r="E1502" s="245">
        <v>970</v>
      </c>
      <c r="F1502" s="248" t="s">
        <v>27</v>
      </c>
      <c r="G1502" s="239" t="s">
        <v>943</v>
      </c>
      <c r="H1502" s="240">
        <f t="shared" si="23"/>
        <v>56228</v>
      </c>
      <c r="I1502" s="241"/>
      <c r="J1502" s="221" t="b">
        <f>EXACT(E1503,[1]Main!E1503)</f>
        <v>1</v>
      </c>
    </row>
    <row r="1503" spans="1:10" x14ac:dyDescent="0.25">
      <c r="A1503" s="249">
        <v>45126</v>
      </c>
      <c r="B1503" s="237"/>
      <c r="C1503" s="238"/>
      <c r="D1503" s="239"/>
      <c r="E1503" s="245">
        <v>75</v>
      </c>
      <c r="F1503" s="248" t="s">
        <v>1213</v>
      </c>
      <c r="G1503" s="239" t="s">
        <v>464</v>
      </c>
      <c r="H1503" s="240">
        <f t="shared" si="23"/>
        <v>56153</v>
      </c>
      <c r="I1503" s="241"/>
      <c r="J1503" s="221" t="b">
        <f>EXACT(E1504,[1]Main!E1504)</f>
        <v>1</v>
      </c>
    </row>
    <row r="1504" spans="1:10" x14ac:dyDescent="0.25">
      <c r="A1504" s="249">
        <v>45126</v>
      </c>
      <c r="B1504" s="237"/>
      <c r="C1504" s="238"/>
      <c r="D1504" s="239"/>
      <c r="E1504" s="237">
        <v>214</v>
      </c>
      <c r="F1504" s="242" t="s">
        <v>54</v>
      </c>
      <c r="G1504" s="239" t="s">
        <v>938</v>
      </c>
      <c r="H1504" s="240">
        <f t="shared" si="23"/>
        <v>55939</v>
      </c>
      <c r="I1504" s="241"/>
      <c r="J1504" s="221" t="b">
        <f>EXACT(E1505,[1]Main!E1505)</f>
        <v>1</v>
      </c>
    </row>
    <row r="1505" spans="1:10" x14ac:dyDescent="0.25">
      <c r="A1505" s="249">
        <v>45126</v>
      </c>
      <c r="B1505" s="237"/>
      <c r="C1505" s="238"/>
      <c r="D1505" s="239"/>
      <c r="E1505" s="237">
        <v>20</v>
      </c>
      <c r="F1505" s="242" t="s">
        <v>234</v>
      </c>
      <c r="G1505" s="239" t="s">
        <v>931</v>
      </c>
      <c r="H1505" s="240">
        <f t="shared" si="23"/>
        <v>55919</v>
      </c>
      <c r="I1505" s="241"/>
      <c r="J1505" s="221" t="b">
        <f>EXACT(E1506,[1]Main!E1506)</f>
        <v>1</v>
      </c>
    </row>
    <row r="1506" spans="1:10" x14ac:dyDescent="0.25">
      <c r="A1506" s="249">
        <v>45126</v>
      </c>
      <c r="B1506" s="237"/>
      <c r="C1506" s="238"/>
      <c r="D1506" s="239"/>
      <c r="E1506" s="237">
        <v>10</v>
      </c>
      <c r="F1506" s="242" t="s">
        <v>1214</v>
      </c>
      <c r="G1506" s="239" t="s">
        <v>464</v>
      </c>
      <c r="H1506" s="240">
        <f t="shared" si="23"/>
        <v>55909</v>
      </c>
      <c r="I1506" s="241"/>
      <c r="J1506" s="221" t="b">
        <f>EXACT(E1507,[1]Main!E1507)</f>
        <v>1</v>
      </c>
    </row>
    <row r="1507" spans="1:10" x14ac:dyDescent="0.25">
      <c r="A1507" s="249">
        <v>45126</v>
      </c>
      <c r="B1507" s="237"/>
      <c r="C1507" s="238"/>
      <c r="D1507" s="239"/>
      <c r="E1507" s="376">
        <v>180</v>
      </c>
      <c r="F1507" s="377" t="s">
        <v>255</v>
      </c>
      <c r="G1507" s="239" t="s">
        <v>930</v>
      </c>
      <c r="H1507" s="240">
        <f t="shared" si="23"/>
        <v>55729</v>
      </c>
      <c r="I1507" s="241"/>
      <c r="J1507" s="221" t="b">
        <f>EXACT(E1508,[1]Main!E1508)</f>
        <v>1</v>
      </c>
    </row>
    <row r="1508" spans="1:10" x14ac:dyDescent="0.25">
      <c r="A1508" s="249">
        <v>45126</v>
      </c>
      <c r="B1508" s="237"/>
      <c r="C1508" s="238"/>
      <c r="D1508" s="239"/>
      <c r="E1508" s="376">
        <v>85</v>
      </c>
      <c r="F1508" s="377" t="s">
        <v>9</v>
      </c>
      <c r="G1508" s="239" t="s">
        <v>930</v>
      </c>
      <c r="H1508" s="240">
        <f t="shared" si="23"/>
        <v>55644</v>
      </c>
      <c r="I1508" s="241"/>
      <c r="J1508" s="221" t="b">
        <f>EXACT(E1509,[1]Main!E1509)</f>
        <v>1</v>
      </c>
    </row>
    <row r="1509" spans="1:10" x14ac:dyDescent="0.25">
      <c r="A1509" s="249">
        <v>45126</v>
      </c>
      <c r="B1509" s="237"/>
      <c r="C1509" s="238"/>
      <c r="D1509" s="239"/>
      <c r="E1509" s="376">
        <v>41</v>
      </c>
      <c r="F1509" s="377" t="s">
        <v>1215</v>
      </c>
      <c r="G1509" s="239" t="s">
        <v>464</v>
      </c>
      <c r="H1509" s="240">
        <f t="shared" si="23"/>
        <v>55603</v>
      </c>
      <c r="I1509" s="241"/>
      <c r="J1509" s="221" t="b">
        <f>EXACT(E1510,[1]Main!E1510)</f>
        <v>1</v>
      </c>
    </row>
    <row r="1510" spans="1:10" x14ac:dyDescent="0.25">
      <c r="A1510" s="249">
        <v>45126</v>
      </c>
      <c r="B1510" s="237"/>
      <c r="C1510" s="238"/>
      <c r="D1510" s="239"/>
      <c r="E1510" s="376">
        <v>15</v>
      </c>
      <c r="F1510" s="377" t="s">
        <v>1184</v>
      </c>
      <c r="G1510" s="239" t="s">
        <v>464</v>
      </c>
      <c r="H1510" s="240">
        <f t="shared" si="23"/>
        <v>55588</v>
      </c>
      <c r="I1510" s="241"/>
      <c r="J1510" s="221" t="b">
        <f>EXACT(E1511,[1]Main!E1511)</f>
        <v>1</v>
      </c>
    </row>
    <row r="1511" spans="1:10" x14ac:dyDescent="0.25">
      <c r="A1511" s="249">
        <v>45126</v>
      </c>
      <c r="B1511" s="237"/>
      <c r="C1511" s="238"/>
      <c r="D1511" s="239"/>
      <c r="E1511" s="376">
        <v>170</v>
      </c>
      <c r="F1511" s="377" t="s">
        <v>86</v>
      </c>
      <c r="G1511" s="239" t="s">
        <v>930</v>
      </c>
      <c r="H1511" s="240">
        <f t="shared" si="23"/>
        <v>55418</v>
      </c>
      <c r="I1511" s="241"/>
      <c r="J1511" s="221" t="b">
        <f>EXACT(E1512,[1]Main!E1512)</f>
        <v>1</v>
      </c>
    </row>
    <row r="1512" spans="1:10" x14ac:dyDescent="0.25">
      <c r="A1512" s="249">
        <v>45126</v>
      </c>
      <c r="B1512" s="237"/>
      <c r="C1512" s="238"/>
      <c r="D1512" s="239"/>
      <c r="E1512" s="376">
        <v>400</v>
      </c>
      <c r="F1512" s="377" t="s">
        <v>39</v>
      </c>
      <c r="G1512" s="239" t="s">
        <v>930</v>
      </c>
      <c r="H1512" s="240">
        <f t="shared" si="23"/>
        <v>55018</v>
      </c>
      <c r="I1512" s="241"/>
      <c r="J1512" s="221" t="b">
        <f>EXACT(E1513,[1]Main!E1513)</f>
        <v>1</v>
      </c>
    </row>
    <row r="1513" spans="1:10" x14ac:dyDescent="0.25">
      <c r="A1513" s="249">
        <v>45126</v>
      </c>
      <c r="B1513" s="237"/>
      <c r="C1513" s="238"/>
      <c r="D1513" s="239"/>
      <c r="E1513" s="376">
        <v>7</v>
      </c>
      <c r="F1513" s="377" t="s">
        <v>1216</v>
      </c>
      <c r="G1513" s="239" t="s">
        <v>464</v>
      </c>
      <c r="H1513" s="240">
        <f t="shared" si="23"/>
        <v>55011</v>
      </c>
      <c r="I1513" s="241"/>
      <c r="J1513" s="221" t="b">
        <f>EXACT(E1514,[1]Main!E1514)</f>
        <v>1</v>
      </c>
    </row>
    <row r="1514" spans="1:10" x14ac:dyDescent="0.25">
      <c r="A1514" s="249">
        <v>45126</v>
      </c>
      <c r="B1514" s="237"/>
      <c r="C1514" s="238"/>
      <c r="D1514" s="239"/>
      <c r="E1514" s="376">
        <v>125</v>
      </c>
      <c r="F1514" s="377" t="s">
        <v>89</v>
      </c>
      <c r="G1514" s="239" t="s">
        <v>930</v>
      </c>
      <c r="H1514" s="240">
        <f t="shared" si="23"/>
        <v>54886</v>
      </c>
      <c r="I1514" s="241"/>
      <c r="J1514" s="221" t="b">
        <f>EXACT(E1515,[1]Main!E1515)</f>
        <v>1</v>
      </c>
    </row>
    <row r="1515" spans="1:10" x14ac:dyDescent="0.25">
      <c r="A1515" s="249">
        <v>45126</v>
      </c>
      <c r="B1515" s="237"/>
      <c r="C1515" s="238"/>
      <c r="D1515" s="239"/>
      <c r="E1515" s="376">
        <v>300</v>
      </c>
      <c r="F1515" s="377" t="s">
        <v>744</v>
      </c>
      <c r="G1515" s="239" t="s">
        <v>930</v>
      </c>
      <c r="H1515" s="240">
        <f t="shared" si="23"/>
        <v>54586</v>
      </c>
      <c r="I1515" s="241"/>
      <c r="J1515" s="221" t="b">
        <f>EXACT(E1516,[1]Main!E1516)</f>
        <v>1</v>
      </c>
    </row>
    <row r="1516" spans="1:10" x14ac:dyDescent="0.25">
      <c r="A1516" s="249">
        <v>45126</v>
      </c>
      <c r="B1516" s="237"/>
      <c r="C1516" s="238"/>
      <c r="D1516" s="239"/>
      <c r="E1516" s="376">
        <v>2545</v>
      </c>
      <c r="F1516" s="377" t="s">
        <v>12</v>
      </c>
      <c r="G1516" s="239" t="s">
        <v>928</v>
      </c>
      <c r="H1516" s="240">
        <f t="shared" si="23"/>
        <v>52041</v>
      </c>
      <c r="I1516" s="241"/>
      <c r="J1516" s="221" t="b">
        <f>EXACT(E1517,[1]Main!E1517)</f>
        <v>1</v>
      </c>
    </row>
    <row r="1517" spans="1:10" x14ac:dyDescent="0.25">
      <c r="A1517" s="249">
        <v>45126</v>
      </c>
      <c r="B1517" s="237"/>
      <c r="C1517" s="238"/>
      <c r="D1517" s="239"/>
      <c r="E1517" s="376">
        <v>3700</v>
      </c>
      <c r="F1517" s="377" t="s">
        <v>285</v>
      </c>
      <c r="G1517" s="239" t="s">
        <v>928</v>
      </c>
      <c r="H1517" s="240">
        <f t="shared" si="23"/>
        <v>48341</v>
      </c>
      <c r="I1517" s="241"/>
      <c r="J1517" s="221" t="b">
        <f>EXACT(E1518,[1]Main!E1518)</f>
        <v>1</v>
      </c>
    </row>
    <row r="1518" spans="1:10" x14ac:dyDescent="0.25">
      <c r="A1518" s="249">
        <v>45126</v>
      </c>
      <c r="B1518" s="237"/>
      <c r="C1518" s="238"/>
      <c r="D1518" s="239"/>
      <c r="E1518" s="376">
        <v>45</v>
      </c>
      <c r="F1518" s="377" t="s">
        <v>1217</v>
      </c>
      <c r="G1518" s="239" t="s">
        <v>928</v>
      </c>
      <c r="H1518" s="240">
        <f t="shared" si="23"/>
        <v>48296</v>
      </c>
      <c r="I1518" s="241"/>
      <c r="J1518" s="221" t="b">
        <f>EXACT(E1519,[1]Main!E1519)</f>
        <v>1</v>
      </c>
    </row>
    <row r="1519" spans="1:10" x14ac:dyDescent="0.25">
      <c r="A1519" s="249">
        <v>45126</v>
      </c>
      <c r="B1519" s="237"/>
      <c r="C1519" s="238"/>
      <c r="D1519" s="239"/>
      <c r="E1519" s="378">
        <v>150</v>
      </c>
      <c r="F1519" s="377" t="s">
        <v>341</v>
      </c>
      <c r="G1519" s="239" t="s">
        <v>930</v>
      </c>
      <c r="H1519" s="240">
        <f t="shared" si="23"/>
        <v>48146</v>
      </c>
      <c r="I1519" s="241"/>
      <c r="J1519" s="221" t="b">
        <f>EXACT(E1520,[1]Main!E1520)</f>
        <v>1</v>
      </c>
    </row>
    <row r="1520" spans="1:10" x14ac:dyDescent="0.25">
      <c r="A1520" s="249">
        <v>45126</v>
      </c>
      <c r="B1520" s="237"/>
      <c r="C1520" s="238"/>
      <c r="D1520" s="239"/>
      <c r="E1520" s="376">
        <v>135</v>
      </c>
      <c r="F1520" s="377" t="s">
        <v>39</v>
      </c>
      <c r="G1520" s="239" t="s">
        <v>930</v>
      </c>
      <c r="H1520" s="240">
        <f t="shared" si="23"/>
        <v>48011</v>
      </c>
      <c r="I1520" s="241"/>
      <c r="J1520" s="221" t="b">
        <f>EXACT(E1521,[1]Main!E1521)</f>
        <v>1</v>
      </c>
    </row>
    <row r="1521" spans="1:10" x14ac:dyDescent="0.25">
      <c r="A1521" s="249">
        <v>45126</v>
      </c>
      <c r="B1521" s="237"/>
      <c r="C1521" s="238"/>
      <c r="D1521" s="239"/>
      <c r="E1521" s="376">
        <v>140</v>
      </c>
      <c r="F1521" s="377" t="s">
        <v>265</v>
      </c>
      <c r="G1521" s="239" t="s">
        <v>928</v>
      </c>
      <c r="H1521" s="240">
        <f t="shared" si="23"/>
        <v>47871</v>
      </c>
      <c r="I1521" s="241"/>
      <c r="J1521" s="221" t="b">
        <f>EXACT(E1522,[1]Main!E1522)</f>
        <v>1</v>
      </c>
    </row>
    <row r="1522" spans="1:10" x14ac:dyDescent="0.25">
      <c r="A1522" s="249">
        <v>45126</v>
      </c>
      <c r="B1522" s="237"/>
      <c r="C1522" s="238"/>
      <c r="D1522" s="239"/>
      <c r="E1522" s="376">
        <v>190</v>
      </c>
      <c r="F1522" s="377" t="s">
        <v>34</v>
      </c>
      <c r="G1522" s="239" t="s">
        <v>928</v>
      </c>
      <c r="H1522" s="240">
        <f t="shared" si="23"/>
        <v>47681</v>
      </c>
      <c r="I1522" s="241"/>
      <c r="J1522" s="221" t="b">
        <f>EXACT(E1523,[1]Main!E1523)</f>
        <v>1</v>
      </c>
    </row>
    <row r="1523" spans="1:10" x14ac:dyDescent="0.25">
      <c r="A1523" s="249">
        <v>45126</v>
      </c>
      <c r="B1523" s="237"/>
      <c r="C1523" s="238"/>
      <c r="D1523" s="239"/>
      <c r="E1523" s="376">
        <v>680</v>
      </c>
      <c r="F1523" s="377" t="s">
        <v>155</v>
      </c>
      <c r="G1523" s="239" t="s">
        <v>928</v>
      </c>
      <c r="H1523" s="240">
        <f t="shared" si="23"/>
        <v>47001</v>
      </c>
      <c r="I1523" s="241"/>
      <c r="J1523" s="221" t="b">
        <f>EXACT(E1524,[1]Main!E1524)</f>
        <v>1</v>
      </c>
    </row>
    <row r="1524" spans="1:10" x14ac:dyDescent="0.25">
      <c r="A1524" s="249">
        <v>45126</v>
      </c>
      <c r="B1524" s="237"/>
      <c r="C1524" s="238"/>
      <c r="D1524" s="239"/>
      <c r="E1524" s="376">
        <v>2270</v>
      </c>
      <c r="F1524" s="377" t="s">
        <v>270</v>
      </c>
      <c r="G1524" s="239" t="s">
        <v>928</v>
      </c>
      <c r="H1524" s="240">
        <f t="shared" si="23"/>
        <v>44731</v>
      </c>
      <c r="I1524" s="241"/>
      <c r="J1524" s="221" t="b">
        <f>EXACT(E1525,[1]Main!E1525)</f>
        <v>1</v>
      </c>
    </row>
    <row r="1525" spans="1:10" x14ac:dyDescent="0.25">
      <c r="A1525" s="249">
        <v>45126</v>
      </c>
      <c r="B1525" s="237"/>
      <c r="C1525" s="238"/>
      <c r="D1525" s="239"/>
      <c r="E1525" s="376">
        <v>255</v>
      </c>
      <c r="F1525" s="377" t="s">
        <v>1218</v>
      </c>
      <c r="G1525" s="239" t="s">
        <v>928</v>
      </c>
      <c r="H1525" s="240">
        <f t="shared" si="23"/>
        <v>44476</v>
      </c>
      <c r="I1525" s="241"/>
      <c r="J1525" s="221" t="b">
        <f>EXACT(E1526,[1]Main!E1526)</f>
        <v>1</v>
      </c>
    </row>
    <row r="1526" spans="1:10" x14ac:dyDescent="0.25">
      <c r="A1526" s="249">
        <v>45126</v>
      </c>
      <c r="B1526" s="237"/>
      <c r="C1526" s="238"/>
      <c r="D1526" s="239"/>
      <c r="E1526" s="376">
        <v>125</v>
      </c>
      <c r="F1526" s="377" t="s">
        <v>1219</v>
      </c>
      <c r="G1526" s="239" t="s">
        <v>930</v>
      </c>
      <c r="H1526" s="240">
        <f t="shared" si="23"/>
        <v>44351</v>
      </c>
      <c r="I1526" s="241"/>
      <c r="J1526" s="221" t="b">
        <f>EXACT(E1527,[1]Main!E1527)</f>
        <v>1</v>
      </c>
    </row>
    <row r="1527" spans="1:10" x14ac:dyDescent="0.25">
      <c r="A1527" s="249">
        <v>45126</v>
      </c>
      <c r="B1527" s="237"/>
      <c r="C1527" s="238"/>
      <c r="D1527" s="239"/>
      <c r="E1527" s="376">
        <v>90</v>
      </c>
      <c r="F1527" s="377" t="s">
        <v>223</v>
      </c>
      <c r="G1527" s="239" t="s">
        <v>930</v>
      </c>
      <c r="H1527" s="240">
        <f t="shared" si="23"/>
        <v>44261</v>
      </c>
      <c r="I1527" s="241"/>
      <c r="J1527" s="221" t="b">
        <f>EXACT(E1528,[1]Main!E1528)</f>
        <v>1</v>
      </c>
    </row>
    <row r="1528" spans="1:10" x14ac:dyDescent="0.25">
      <c r="A1528" s="249">
        <v>45126</v>
      </c>
      <c r="B1528" s="237"/>
      <c r="C1528" s="238"/>
      <c r="D1528" s="239"/>
      <c r="E1528" s="376">
        <v>107</v>
      </c>
      <c r="F1528" s="377" t="s">
        <v>376</v>
      </c>
      <c r="G1528" s="239" t="s">
        <v>930</v>
      </c>
      <c r="H1528" s="240">
        <f t="shared" si="23"/>
        <v>44154</v>
      </c>
      <c r="I1528" s="241"/>
      <c r="J1528" s="221" t="b">
        <f>EXACT(E1529,[1]Main!E1529)</f>
        <v>1</v>
      </c>
    </row>
    <row r="1529" spans="1:10" x14ac:dyDescent="0.25">
      <c r="A1529" s="249">
        <v>45126</v>
      </c>
      <c r="B1529" s="237"/>
      <c r="C1529" s="238"/>
      <c r="D1529" s="239"/>
      <c r="E1529" s="376">
        <v>190</v>
      </c>
      <c r="F1529" s="377" t="s">
        <v>341</v>
      </c>
      <c r="G1529" s="239" t="s">
        <v>930</v>
      </c>
      <c r="H1529" s="240">
        <f t="shared" si="23"/>
        <v>43964</v>
      </c>
      <c r="I1529" s="241"/>
      <c r="J1529" s="221" t="b">
        <f>EXACT(E1530,[1]Main!E1530)</f>
        <v>1</v>
      </c>
    </row>
    <row r="1530" spans="1:10" x14ac:dyDescent="0.25">
      <c r="A1530" s="249">
        <v>45126</v>
      </c>
      <c r="B1530" s="237"/>
      <c r="C1530" s="238"/>
      <c r="D1530" s="239"/>
      <c r="E1530" s="376">
        <v>35000</v>
      </c>
      <c r="F1530" s="377" t="s">
        <v>52</v>
      </c>
      <c r="G1530" s="239" t="s">
        <v>938</v>
      </c>
      <c r="H1530" s="240">
        <f t="shared" si="23"/>
        <v>8964</v>
      </c>
      <c r="I1530" s="241"/>
      <c r="J1530" s="221" t="b">
        <f>EXACT(E1531,[1]Main!E1531)</f>
        <v>1</v>
      </c>
    </row>
    <row r="1531" spans="1:10" x14ac:dyDescent="0.25">
      <c r="A1531" s="324">
        <v>45126</v>
      </c>
      <c r="B1531" s="325"/>
      <c r="C1531" s="326"/>
      <c r="D1531" s="327"/>
      <c r="E1531" s="325">
        <v>5000</v>
      </c>
      <c r="F1531" s="328" t="s">
        <v>1220</v>
      </c>
      <c r="G1531" s="327" t="s">
        <v>928</v>
      </c>
      <c r="H1531" s="240">
        <f t="shared" si="23"/>
        <v>3964</v>
      </c>
      <c r="I1531" s="329"/>
      <c r="J1531" s="221" t="b">
        <f>EXACT(E1532,[1]Main!E1532)</f>
        <v>1</v>
      </c>
    </row>
    <row r="1532" spans="1:10" x14ac:dyDescent="0.25">
      <c r="A1532" s="249">
        <v>45127</v>
      </c>
      <c r="B1532" s="380">
        <v>16966</v>
      </c>
      <c r="C1532" s="381" t="s">
        <v>300</v>
      </c>
      <c r="D1532" s="382" t="s">
        <v>763</v>
      </c>
      <c r="E1532" s="237">
        <v>377</v>
      </c>
      <c r="F1532" s="242" t="s">
        <v>937</v>
      </c>
      <c r="G1532" s="239" t="s">
        <v>937</v>
      </c>
      <c r="H1532" s="240">
        <f t="shared" si="23"/>
        <v>20553</v>
      </c>
      <c r="I1532" s="241"/>
      <c r="J1532" s="221" t="b">
        <f>EXACT(E1533,[1]Main!E1533)</f>
        <v>1</v>
      </c>
    </row>
    <row r="1533" spans="1:10" x14ac:dyDescent="0.25">
      <c r="A1533" s="249">
        <v>45127</v>
      </c>
      <c r="B1533" s="380">
        <v>640</v>
      </c>
      <c r="C1533" s="381" t="s">
        <v>989</v>
      </c>
      <c r="D1533" s="382" t="s">
        <v>765</v>
      </c>
      <c r="E1533" s="237">
        <v>1470</v>
      </c>
      <c r="F1533" s="242" t="s">
        <v>263</v>
      </c>
      <c r="G1533" s="239" t="s">
        <v>928</v>
      </c>
      <c r="H1533" s="240">
        <f t="shared" si="23"/>
        <v>19723</v>
      </c>
      <c r="I1533" s="241" t="s">
        <v>869</v>
      </c>
      <c r="J1533" s="221" t="b">
        <f>EXACT(E1534,[1]Main!E1534)</f>
        <v>1</v>
      </c>
    </row>
    <row r="1534" spans="1:10" x14ac:dyDescent="0.25">
      <c r="A1534" s="249">
        <v>45127</v>
      </c>
      <c r="B1534" s="237">
        <v>205</v>
      </c>
      <c r="C1534" s="238" t="s">
        <v>27</v>
      </c>
      <c r="D1534" s="239" t="s">
        <v>772</v>
      </c>
      <c r="E1534" s="380">
        <v>12</v>
      </c>
      <c r="F1534" s="383" t="s">
        <v>73</v>
      </c>
      <c r="G1534" s="239" t="s">
        <v>464</v>
      </c>
      <c r="H1534" s="240">
        <f t="shared" si="23"/>
        <v>19916</v>
      </c>
      <c r="I1534" s="241"/>
      <c r="J1534" s="221" t="b">
        <f>EXACT(E1535,[1]Main!E1535)</f>
        <v>1</v>
      </c>
    </row>
    <row r="1535" spans="1:10" x14ac:dyDescent="0.25">
      <c r="A1535" s="249">
        <v>45127</v>
      </c>
      <c r="B1535" s="384">
        <v>13997</v>
      </c>
      <c r="C1535" s="385" t="s">
        <v>1221</v>
      </c>
      <c r="D1535" s="386" t="s">
        <v>766</v>
      </c>
      <c r="E1535" s="380">
        <v>125</v>
      </c>
      <c r="F1535" s="383" t="s">
        <v>373</v>
      </c>
      <c r="G1535" s="239" t="s">
        <v>930</v>
      </c>
      <c r="H1535" s="240">
        <f t="shared" si="23"/>
        <v>33788</v>
      </c>
      <c r="I1535" s="241"/>
      <c r="J1535" s="221" t="b">
        <f>EXACT(E1536,[1]Main!E1536)</f>
        <v>1</v>
      </c>
    </row>
    <row r="1536" spans="1:10" x14ac:dyDescent="0.25">
      <c r="A1536" s="249">
        <v>45127</v>
      </c>
      <c r="B1536" s="387">
        <v>10753</v>
      </c>
      <c r="C1536" s="388" t="s">
        <v>80</v>
      </c>
      <c r="D1536" s="389" t="s">
        <v>763</v>
      </c>
      <c r="E1536" s="380">
        <v>280</v>
      </c>
      <c r="F1536" s="383" t="s">
        <v>8</v>
      </c>
      <c r="G1536" s="239" t="s">
        <v>930</v>
      </c>
      <c r="H1536" s="240">
        <f t="shared" si="23"/>
        <v>44261</v>
      </c>
      <c r="I1536" s="241"/>
      <c r="J1536" s="221" t="b">
        <f>EXACT(E1537,[1]Main!E1537)</f>
        <v>1</v>
      </c>
    </row>
    <row r="1537" spans="1:10" x14ac:dyDescent="0.25">
      <c r="A1537" s="249">
        <v>45127</v>
      </c>
      <c r="B1537" s="387">
        <v>1510</v>
      </c>
      <c r="C1537" s="388" t="s">
        <v>979</v>
      </c>
      <c r="D1537" s="389" t="s">
        <v>765</v>
      </c>
      <c r="E1537" s="380">
        <v>10</v>
      </c>
      <c r="F1537" s="383" t="s">
        <v>33</v>
      </c>
      <c r="G1537" s="239" t="s">
        <v>464</v>
      </c>
      <c r="H1537" s="240">
        <f t="shared" si="23"/>
        <v>45761</v>
      </c>
      <c r="I1537" s="241"/>
      <c r="J1537" s="221" t="b">
        <f>EXACT(E1538,[1]Main!E1538)</f>
        <v>1</v>
      </c>
    </row>
    <row r="1538" spans="1:10" x14ac:dyDescent="0.25">
      <c r="A1538" s="249">
        <v>45127</v>
      </c>
      <c r="B1538" s="390">
        <v>20497</v>
      </c>
      <c r="C1538" s="391" t="s">
        <v>1222</v>
      </c>
      <c r="D1538" s="392" t="s">
        <v>766</v>
      </c>
      <c r="E1538" s="380">
        <v>200</v>
      </c>
      <c r="F1538" s="383" t="s">
        <v>27</v>
      </c>
      <c r="G1538" s="239" t="s">
        <v>943</v>
      </c>
      <c r="H1538" s="240">
        <f t="shared" si="23"/>
        <v>66058</v>
      </c>
      <c r="I1538" s="241"/>
      <c r="J1538" s="221" t="b">
        <f>EXACT(E1539,[1]Main!E1539)</f>
        <v>1</v>
      </c>
    </row>
    <row r="1539" spans="1:10" x14ac:dyDescent="0.25">
      <c r="A1539" s="249">
        <v>45127</v>
      </c>
      <c r="B1539" s="390">
        <v>585</v>
      </c>
      <c r="C1539" s="391" t="s">
        <v>916</v>
      </c>
      <c r="D1539" s="392" t="s">
        <v>768</v>
      </c>
      <c r="E1539" s="380">
        <v>11655</v>
      </c>
      <c r="F1539" s="383" t="s">
        <v>281</v>
      </c>
      <c r="G1539" s="239" t="s">
        <v>928</v>
      </c>
      <c r="H1539" s="240">
        <f t="shared" si="23"/>
        <v>54988</v>
      </c>
      <c r="I1539" s="241"/>
      <c r="J1539" s="221" t="b">
        <f>EXACT(E1540,[1]Main!E1540)</f>
        <v>1</v>
      </c>
    </row>
    <row r="1540" spans="1:10" x14ac:dyDescent="0.25">
      <c r="A1540" s="249">
        <v>45127</v>
      </c>
      <c r="B1540" s="393">
        <v>10130</v>
      </c>
      <c r="C1540" s="394" t="s">
        <v>121</v>
      </c>
      <c r="D1540" s="395" t="s">
        <v>766</v>
      </c>
      <c r="E1540" s="380">
        <v>211</v>
      </c>
      <c r="F1540" s="383" t="s">
        <v>127</v>
      </c>
      <c r="G1540" s="239" t="s">
        <v>938</v>
      </c>
      <c r="H1540" s="240">
        <f t="shared" si="23"/>
        <v>64907</v>
      </c>
      <c r="I1540" s="241" t="s">
        <v>773</v>
      </c>
      <c r="J1540" s="221" t="b">
        <f>EXACT(E1541,[1]Main!E1541)</f>
        <v>1</v>
      </c>
    </row>
    <row r="1541" spans="1:10" x14ac:dyDescent="0.25">
      <c r="A1541" s="249">
        <v>45127</v>
      </c>
      <c r="B1541" s="393">
        <v>580</v>
      </c>
      <c r="C1541" s="394" t="s">
        <v>1223</v>
      </c>
      <c r="D1541" s="395" t="s">
        <v>768</v>
      </c>
      <c r="E1541" s="380">
        <v>50</v>
      </c>
      <c r="F1541" s="383" t="s">
        <v>377</v>
      </c>
      <c r="G1541" s="239" t="s">
        <v>931</v>
      </c>
      <c r="H1541" s="240">
        <f t="shared" si="23"/>
        <v>65437</v>
      </c>
      <c r="I1541" s="241"/>
      <c r="J1541" s="221" t="b">
        <f>EXACT(E1542,[1]Main!E1542)</f>
        <v>1</v>
      </c>
    </row>
    <row r="1542" spans="1:10" x14ac:dyDescent="0.25">
      <c r="A1542" s="249">
        <v>45127</v>
      </c>
      <c r="B1542" s="237">
        <v>100</v>
      </c>
      <c r="C1542" s="238" t="s">
        <v>1061</v>
      </c>
      <c r="D1542" s="239" t="s">
        <v>931</v>
      </c>
      <c r="E1542" s="237">
        <v>1090</v>
      </c>
      <c r="F1542" s="242" t="s">
        <v>69</v>
      </c>
      <c r="G1542" s="239" t="s">
        <v>928</v>
      </c>
      <c r="H1542" s="240">
        <f t="shared" si="23"/>
        <v>64447</v>
      </c>
      <c r="I1542" s="241"/>
      <c r="J1542" s="221" t="b">
        <f>EXACT(E1543,[1]Main!E1543)</f>
        <v>1</v>
      </c>
    </row>
    <row r="1543" spans="1:10" x14ac:dyDescent="0.25">
      <c r="A1543" s="249">
        <v>45127</v>
      </c>
      <c r="B1543" s="396">
        <v>14142</v>
      </c>
      <c r="C1543" s="397" t="s">
        <v>88</v>
      </c>
      <c r="D1543" s="398" t="s">
        <v>766</v>
      </c>
      <c r="E1543" s="237">
        <v>30</v>
      </c>
      <c r="F1543" s="242" t="s">
        <v>1224</v>
      </c>
      <c r="G1543" s="239" t="s">
        <v>464</v>
      </c>
      <c r="H1543" s="240">
        <f t="shared" ref="H1543:H1606" si="24">H1542+B1543-E1543</f>
        <v>78559</v>
      </c>
      <c r="I1543" s="241"/>
      <c r="J1543" s="221" t="b">
        <f>EXACT(E1544,[1]Main!E1544)</f>
        <v>1</v>
      </c>
    </row>
    <row r="1544" spans="1:10" x14ac:dyDescent="0.25">
      <c r="A1544" s="249">
        <v>45127</v>
      </c>
      <c r="B1544" s="396">
        <v>480</v>
      </c>
      <c r="C1544" s="397" t="s">
        <v>1062</v>
      </c>
      <c r="D1544" s="398" t="s">
        <v>768</v>
      </c>
      <c r="E1544" s="384">
        <v>175</v>
      </c>
      <c r="F1544" s="399" t="s">
        <v>706</v>
      </c>
      <c r="G1544" s="386" t="s">
        <v>928</v>
      </c>
      <c r="H1544" s="240">
        <f t="shared" si="24"/>
        <v>78864</v>
      </c>
      <c r="I1544" s="241"/>
      <c r="J1544" s="221" t="b">
        <f>EXACT(E1545,[1]Main!E1545)</f>
        <v>1</v>
      </c>
    </row>
    <row r="1545" spans="1:10" x14ac:dyDescent="0.25">
      <c r="A1545" s="249">
        <v>45127</v>
      </c>
      <c r="B1545" s="237">
        <v>505</v>
      </c>
      <c r="C1545" s="238" t="s">
        <v>27</v>
      </c>
      <c r="D1545" s="239" t="s">
        <v>772</v>
      </c>
      <c r="E1545" s="384">
        <v>170</v>
      </c>
      <c r="F1545" s="399" t="s">
        <v>359</v>
      </c>
      <c r="G1545" s="239" t="s">
        <v>930</v>
      </c>
      <c r="H1545" s="240">
        <f t="shared" si="24"/>
        <v>79199</v>
      </c>
      <c r="I1545" s="241"/>
      <c r="J1545" s="221" t="b">
        <f>EXACT(E1546,[1]Main!E1546)</f>
        <v>1</v>
      </c>
    </row>
    <row r="1546" spans="1:10" x14ac:dyDescent="0.25">
      <c r="A1546" s="249">
        <v>45127</v>
      </c>
      <c r="B1546" s="237">
        <v>505</v>
      </c>
      <c r="C1546" s="238" t="s">
        <v>27</v>
      </c>
      <c r="D1546" s="239" t="s">
        <v>772</v>
      </c>
      <c r="E1546" s="384">
        <v>1320</v>
      </c>
      <c r="F1546" s="399" t="s">
        <v>1225</v>
      </c>
      <c r="G1546" s="386" t="s">
        <v>928</v>
      </c>
      <c r="H1546" s="240">
        <f t="shared" si="24"/>
        <v>78384</v>
      </c>
      <c r="I1546" s="241"/>
      <c r="J1546" s="221" t="b">
        <f>EXACT(E1547,[1]Main!E1547)</f>
        <v>1</v>
      </c>
    </row>
    <row r="1547" spans="1:10" x14ac:dyDescent="0.25">
      <c r="A1547" s="249">
        <v>45127</v>
      </c>
      <c r="B1547" s="400">
        <v>26355</v>
      </c>
      <c r="C1547" s="401" t="s">
        <v>363</v>
      </c>
      <c r="D1547" s="382" t="s">
        <v>763</v>
      </c>
      <c r="E1547" s="384">
        <v>436</v>
      </c>
      <c r="F1547" s="399" t="s">
        <v>97</v>
      </c>
      <c r="G1547" s="386" t="s">
        <v>931</v>
      </c>
      <c r="H1547" s="240">
        <f t="shared" si="24"/>
        <v>104303</v>
      </c>
      <c r="I1547" s="241"/>
      <c r="J1547" s="221" t="b">
        <f>EXACT(E1548,[1]Main!E1548)</f>
        <v>1</v>
      </c>
    </row>
    <row r="1548" spans="1:10" x14ac:dyDescent="0.25">
      <c r="A1548" s="249">
        <v>45127</v>
      </c>
      <c r="B1548" s="400">
        <v>1045</v>
      </c>
      <c r="C1548" s="401" t="s">
        <v>913</v>
      </c>
      <c r="D1548" s="389" t="s">
        <v>765</v>
      </c>
      <c r="E1548" s="384">
        <v>546</v>
      </c>
      <c r="F1548" s="399" t="s">
        <v>1226</v>
      </c>
      <c r="G1548" s="386" t="s">
        <v>931</v>
      </c>
      <c r="H1548" s="240">
        <f t="shared" si="24"/>
        <v>104802</v>
      </c>
      <c r="I1548" s="241"/>
      <c r="J1548" s="221" t="b">
        <f>EXACT(E1549,[1]Main!E1549)</f>
        <v>1</v>
      </c>
    </row>
    <row r="1549" spans="1:10" x14ac:dyDescent="0.25">
      <c r="A1549" s="249">
        <v>45127</v>
      </c>
      <c r="B1549" s="237">
        <v>180</v>
      </c>
      <c r="C1549" s="238" t="s">
        <v>1227</v>
      </c>
      <c r="D1549" s="382" t="s">
        <v>763</v>
      </c>
      <c r="E1549" s="387">
        <v>120</v>
      </c>
      <c r="F1549" s="402" t="s">
        <v>393</v>
      </c>
      <c r="G1549" s="239" t="s">
        <v>930</v>
      </c>
      <c r="H1549" s="240">
        <f t="shared" si="24"/>
        <v>104862</v>
      </c>
      <c r="I1549" s="241"/>
      <c r="J1549" s="221" t="b">
        <f>EXACT(E1550,[1]Main!E1550)</f>
        <v>1</v>
      </c>
    </row>
    <row r="1550" spans="1:10" x14ac:dyDescent="0.25">
      <c r="A1550" s="249">
        <v>45127</v>
      </c>
      <c r="B1550" s="237">
        <v>100</v>
      </c>
      <c r="C1550" s="238" t="s">
        <v>1228</v>
      </c>
      <c r="D1550" s="398" t="s">
        <v>766</v>
      </c>
      <c r="E1550" s="387">
        <v>165</v>
      </c>
      <c r="F1550" s="402" t="s">
        <v>399</v>
      </c>
      <c r="G1550" s="239" t="s">
        <v>930</v>
      </c>
      <c r="H1550" s="240">
        <f t="shared" si="24"/>
        <v>104797</v>
      </c>
      <c r="I1550" s="241"/>
      <c r="J1550" s="221" t="b">
        <f>EXACT(E1551,[1]Main!E1551)</f>
        <v>1</v>
      </c>
    </row>
    <row r="1551" spans="1:10" x14ac:dyDescent="0.25">
      <c r="A1551" s="249">
        <v>45127</v>
      </c>
      <c r="B1551" s="325">
        <v>11713</v>
      </c>
      <c r="C1551" s="326" t="s">
        <v>915</v>
      </c>
      <c r="D1551" s="398" t="s">
        <v>766</v>
      </c>
      <c r="E1551" s="387">
        <v>120</v>
      </c>
      <c r="F1551" s="402" t="s">
        <v>19</v>
      </c>
      <c r="G1551" s="239" t="s">
        <v>930</v>
      </c>
      <c r="H1551" s="240">
        <f t="shared" si="24"/>
        <v>116390</v>
      </c>
      <c r="I1551" s="241"/>
      <c r="J1551" s="221" t="b">
        <f>EXACT(E1552,[1]Main!E1552)</f>
        <v>1</v>
      </c>
    </row>
    <row r="1552" spans="1:10" x14ac:dyDescent="0.25">
      <c r="A1552" s="249">
        <v>45127</v>
      </c>
      <c r="B1552" s="237">
        <v>600</v>
      </c>
      <c r="C1552" s="238" t="s">
        <v>1229</v>
      </c>
      <c r="D1552" s="382" t="s">
        <v>763</v>
      </c>
      <c r="E1552" s="387">
        <v>665</v>
      </c>
      <c r="F1552" s="402" t="s">
        <v>11</v>
      </c>
      <c r="G1552" s="239" t="s">
        <v>928</v>
      </c>
      <c r="H1552" s="240">
        <f t="shared" si="24"/>
        <v>116325</v>
      </c>
      <c r="I1552" s="241"/>
      <c r="J1552" s="221" t="b">
        <f>EXACT(E1553,[1]Main!E1553)</f>
        <v>1</v>
      </c>
    </row>
    <row r="1553" spans="1:10" x14ac:dyDescent="0.25">
      <c r="A1553" s="249">
        <v>45127</v>
      </c>
      <c r="B1553" s="237">
        <v>2525</v>
      </c>
      <c r="C1553" s="238" t="s">
        <v>27</v>
      </c>
      <c r="D1553" s="239" t="s">
        <v>772</v>
      </c>
      <c r="E1553" s="387">
        <v>440</v>
      </c>
      <c r="F1553" s="402" t="s">
        <v>61</v>
      </c>
      <c r="G1553" s="239" t="s">
        <v>928</v>
      </c>
      <c r="H1553" s="240">
        <f t="shared" si="24"/>
        <v>118410</v>
      </c>
      <c r="I1553" s="241"/>
      <c r="J1553" s="221" t="b">
        <f>EXACT(E1554,[1]Main!E1554)</f>
        <v>1</v>
      </c>
    </row>
    <row r="1554" spans="1:10" x14ac:dyDescent="0.25">
      <c r="A1554" s="249">
        <v>45127</v>
      </c>
      <c r="B1554" s="237">
        <v>82</v>
      </c>
      <c r="C1554" s="238" t="s">
        <v>916</v>
      </c>
      <c r="D1554" s="398" t="s">
        <v>768</v>
      </c>
      <c r="E1554" s="387">
        <v>15</v>
      </c>
      <c r="F1554" s="402" t="s">
        <v>1148</v>
      </c>
      <c r="G1554" s="239" t="s">
        <v>464</v>
      </c>
      <c r="H1554" s="240">
        <f t="shared" si="24"/>
        <v>118477</v>
      </c>
      <c r="I1554" s="241"/>
      <c r="J1554" s="221" t="b">
        <f>EXACT(E1555,[1]Main!E1555)</f>
        <v>1</v>
      </c>
    </row>
    <row r="1555" spans="1:10" x14ac:dyDescent="0.25">
      <c r="A1555" s="249">
        <v>45127</v>
      </c>
      <c r="B1555" s="237">
        <f>12618-1000</f>
        <v>11618</v>
      </c>
      <c r="C1555" s="238" t="s">
        <v>85</v>
      </c>
      <c r="D1555" s="398" t="s">
        <v>766</v>
      </c>
      <c r="E1555" s="387">
        <v>580</v>
      </c>
      <c r="F1555" s="242" t="s">
        <v>252</v>
      </c>
      <c r="G1555" s="239" t="s">
        <v>928</v>
      </c>
      <c r="H1555" s="240">
        <f t="shared" si="24"/>
        <v>129515</v>
      </c>
      <c r="I1555" s="241"/>
      <c r="J1555" s="221" t="b">
        <f>EXACT(E1556,[1]Main!E1556)</f>
        <v>1</v>
      </c>
    </row>
    <row r="1556" spans="1:10" x14ac:dyDescent="0.25">
      <c r="A1556" s="249">
        <v>45127</v>
      </c>
      <c r="B1556" s="237">
        <v>1000</v>
      </c>
      <c r="C1556" s="238" t="s">
        <v>1230</v>
      </c>
      <c r="D1556" s="349" t="s">
        <v>940</v>
      </c>
      <c r="E1556" s="387">
        <v>2125</v>
      </c>
      <c r="F1556" s="402" t="s">
        <v>12</v>
      </c>
      <c r="G1556" s="239" t="s">
        <v>928</v>
      </c>
      <c r="H1556" s="240">
        <f t="shared" si="24"/>
        <v>128390</v>
      </c>
      <c r="I1556" s="241"/>
      <c r="J1556" s="221" t="b">
        <f>EXACT(E1557,[1]Main!E1557)</f>
        <v>1</v>
      </c>
    </row>
    <row r="1557" spans="1:10" x14ac:dyDescent="0.25">
      <c r="A1557" s="249">
        <v>45127</v>
      </c>
      <c r="B1557" s="237"/>
      <c r="C1557" s="238"/>
      <c r="D1557" s="349"/>
      <c r="E1557" s="387">
        <v>18</v>
      </c>
      <c r="F1557" s="402" t="s">
        <v>1231</v>
      </c>
      <c r="G1557" s="239" t="s">
        <v>931</v>
      </c>
      <c r="H1557" s="240">
        <f t="shared" si="24"/>
        <v>128372</v>
      </c>
      <c r="I1557" s="241"/>
      <c r="J1557" s="221" t="b">
        <f>EXACT(E1558,[1]Main!E1558)</f>
        <v>1</v>
      </c>
    </row>
    <row r="1558" spans="1:10" x14ac:dyDescent="0.25">
      <c r="A1558" s="249">
        <v>45127</v>
      </c>
      <c r="B1558" s="237"/>
      <c r="C1558" s="238"/>
      <c r="D1558" s="349"/>
      <c r="E1558" s="237">
        <v>200</v>
      </c>
      <c r="F1558" s="242" t="s">
        <v>27</v>
      </c>
      <c r="G1558" s="239" t="s">
        <v>943</v>
      </c>
      <c r="H1558" s="240">
        <f t="shared" si="24"/>
        <v>128172</v>
      </c>
      <c r="I1558" s="241"/>
      <c r="J1558" s="221" t="b">
        <f>EXACT(E1559,[1]Main!E1559)</f>
        <v>1</v>
      </c>
    </row>
    <row r="1559" spans="1:10" x14ac:dyDescent="0.25">
      <c r="A1559" s="249">
        <v>45127</v>
      </c>
      <c r="B1559" s="237"/>
      <c r="C1559" s="238"/>
      <c r="D1559" s="349"/>
      <c r="E1559" s="237">
        <v>3210</v>
      </c>
      <c r="F1559" s="242" t="s">
        <v>505</v>
      </c>
      <c r="G1559" s="239" t="s">
        <v>928</v>
      </c>
      <c r="H1559" s="240">
        <f t="shared" si="24"/>
        <v>124962</v>
      </c>
      <c r="I1559" s="241" t="s">
        <v>1232</v>
      </c>
      <c r="J1559" s="221" t="b">
        <f>EXACT(E1560,[1]Main!E1560)</f>
        <v>1</v>
      </c>
    </row>
    <row r="1560" spans="1:10" x14ac:dyDescent="0.25">
      <c r="A1560" s="249">
        <v>45127</v>
      </c>
      <c r="B1560" s="237"/>
      <c r="C1560" s="238"/>
      <c r="D1560" s="349"/>
      <c r="E1560" s="237">
        <v>1200</v>
      </c>
      <c r="F1560" s="242" t="s">
        <v>728</v>
      </c>
      <c r="G1560" s="239" t="s">
        <v>928</v>
      </c>
      <c r="H1560" s="240">
        <f t="shared" si="24"/>
        <v>123762</v>
      </c>
      <c r="I1560" s="241"/>
      <c r="J1560" s="221" t="b">
        <f>EXACT(E1561,[1]Main!E1561)</f>
        <v>1</v>
      </c>
    </row>
    <row r="1561" spans="1:10" x14ac:dyDescent="0.25">
      <c r="A1561" s="249">
        <v>45127</v>
      </c>
      <c r="B1561" s="237"/>
      <c r="C1561" s="238"/>
      <c r="D1561" s="349"/>
      <c r="E1561" s="237">
        <v>80</v>
      </c>
      <c r="F1561" s="242" t="s">
        <v>600</v>
      </c>
      <c r="G1561" s="239" t="s">
        <v>464</v>
      </c>
      <c r="H1561" s="240">
        <f t="shared" si="24"/>
        <v>123682</v>
      </c>
      <c r="I1561" s="241"/>
      <c r="J1561" s="221" t="b">
        <f>EXACT(E1562,[1]Main!E1562)</f>
        <v>1</v>
      </c>
    </row>
    <row r="1562" spans="1:10" x14ac:dyDescent="0.25">
      <c r="A1562" s="249">
        <v>45127</v>
      </c>
      <c r="B1562" s="237"/>
      <c r="C1562" s="238"/>
      <c r="D1562" s="349"/>
      <c r="E1562" s="390">
        <v>90</v>
      </c>
      <c r="F1562" s="403" t="s">
        <v>464</v>
      </c>
      <c r="G1562" s="239" t="s">
        <v>464</v>
      </c>
      <c r="H1562" s="240">
        <f t="shared" si="24"/>
        <v>123592</v>
      </c>
      <c r="I1562" s="241"/>
      <c r="J1562" s="221" t="b">
        <f>EXACT(E1563,[1]Main!E1563)</f>
        <v>1</v>
      </c>
    </row>
    <row r="1563" spans="1:10" x14ac:dyDescent="0.25">
      <c r="A1563" s="249">
        <v>45127</v>
      </c>
      <c r="B1563" s="237"/>
      <c r="C1563" s="238"/>
      <c r="D1563" s="349"/>
      <c r="E1563" s="390">
        <v>35</v>
      </c>
      <c r="F1563" s="403" t="s">
        <v>72</v>
      </c>
      <c r="G1563" s="239" t="s">
        <v>930</v>
      </c>
      <c r="H1563" s="240">
        <f t="shared" si="24"/>
        <v>123557</v>
      </c>
      <c r="I1563" s="241"/>
      <c r="J1563" s="221" t="b">
        <f>EXACT(E1564,[1]Main!E1564)</f>
        <v>1</v>
      </c>
    </row>
    <row r="1564" spans="1:10" x14ac:dyDescent="0.25">
      <c r="A1564" s="249">
        <v>45127</v>
      </c>
      <c r="B1564" s="237"/>
      <c r="C1564" s="238"/>
      <c r="D1564" s="349"/>
      <c r="E1564" s="390">
        <v>132</v>
      </c>
      <c r="F1564" s="403" t="s">
        <v>32</v>
      </c>
      <c r="G1564" s="239" t="s">
        <v>930</v>
      </c>
      <c r="H1564" s="240">
        <f t="shared" si="24"/>
        <v>123425</v>
      </c>
      <c r="I1564" s="241"/>
      <c r="J1564" s="221" t="b">
        <f>EXACT(E1565,[1]Main!E1565)</f>
        <v>1</v>
      </c>
    </row>
    <row r="1565" spans="1:10" x14ac:dyDescent="0.25">
      <c r="A1565" s="249">
        <v>45127</v>
      </c>
      <c r="B1565" s="237"/>
      <c r="C1565" s="238"/>
      <c r="D1565" s="349"/>
      <c r="E1565" s="390">
        <v>100</v>
      </c>
      <c r="F1565" s="403" t="s">
        <v>29</v>
      </c>
      <c r="G1565" s="239" t="s">
        <v>930</v>
      </c>
      <c r="H1565" s="240">
        <f t="shared" si="24"/>
        <v>123325</v>
      </c>
      <c r="I1565" s="241"/>
      <c r="J1565" s="221" t="b">
        <f>EXACT(E1566,[1]Main!E1566)</f>
        <v>1</v>
      </c>
    </row>
    <row r="1566" spans="1:10" x14ac:dyDescent="0.25">
      <c r="A1566" s="249">
        <v>45127</v>
      </c>
      <c r="B1566" s="237"/>
      <c r="C1566" s="238"/>
      <c r="D1566" s="349"/>
      <c r="E1566" s="390">
        <v>100</v>
      </c>
      <c r="F1566" s="403" t="s">
        <v>494</v>
      </c>
      <c r="G1566" s="239" t="s">
        <v>930</v>
      </c>
      <c r="H1566" s="240">
        <f t="shared" si="24"/>
        <v>123225</v>
      </c>
      <c r="I1566" s="241"/>
      <c r="J1566" s="221" t="b">
        <f>EXACT(E1567,[1]Main!E1567)</f>
        <v>1</v>
      </c>
    </row>
    <row r="1567" spans="1:10" x14ac:dyDescent="0.25">
      <c r="A1567" s="249">
        <v>45127</v>
      </c>
      <c r="B1567" s="237"/>
      <c r="C1567" s="238"/>
      <c r="D1567" s="349"/>
      <c r="E1567" s="390">
        <v>370</v>
      </c>
      <c r="F1567" s="403" t="s">
        <v>1233</v>
      </c>
      <c r="G1567" s="239" t="s">
        <v>464</v>
      </c>
      <c r="H1567" s="240">
        <f t="shared" si="24"/>
        <v>122855</v>
      </c>
      <c r="I1567" s="241"/>
      <c r="J1567" s="221" t="b">
        <f>EXACT(E1568,[1]Main!E1568)</f>
        <v>1</v>
      </c>
    </row>
    <row r="1568" spans="1:10" x14ac:dyDescent="0.25">
      <c r="A1568" s="249">
        <v>45127</v>
      </c>
      <c r="B1568" s="237"/>
      <c r="C1568" s="238"/>
      <c r="D1568" s="349"/>
      <c r="E1568" s="390">
        <v>3000</v>
      </c>
      <c r="F1568" s="403" t="s">
        <v>1234</v>
      </c>
      <c r="G1568" s="239" t="s">
        <v>464</v>
      </c>
      <c r="H1568" s="240">
        <f t="shared" si="24"/>
        <v>119855</v>
      </c>
      <c r="I1568" s="241"/>
      <c r="J1568" s="221" t="b">
        <f>EXACT(E1569,[1]Main!E1569)</f>
        <v>1</v>
      </c>
    </row>
    <row r="1569" spans="1:10" x14ac:dyDescent="0.25">
      <c r="A1569" s="249">
        <v>45127</v>
      </c>
      <c r="B1569" s="237"/>
      <c r="C1569" s="238"/>
      <c r="D1569" s="349"/>
      <c r="E1569" s="390">
        <v>10</v>
      </c>
      <c r="F1569" s="403" t="s">
        <v>501</v>
      </c>
      <c r="G1569" s="239" t="s">
        <v>464</v>
      </c>
      <c r="H1569" s="240">
        <f t="shared" si="24"/>
        <v>119845</v>
      </c>
      <c r="I1569" s="241"/>
      <c r="J1569" s="221" t="b">
        <f>EXACT(E1570,[1]Main!E1570)</f>
        <v>1</v>
      </c>
    </row>
    <row r="1570" spans="1:10" x14ac:dyDescent="0.25">
      <c r="A1570" s="249">
        <v>45127</v>
      </c>
      <c r="B1570" s="237"/>
      <c r="C1570" s="238"/>
      <c r="D1570" s="349"/>
      <c r="E1570" s="390">
        <v>215</v>
      </c>
      <c r="F1570" s="403" t="s">
        <v>978</v>
      </c>
      <c r="G1570" s="239" t="s">
        <v>930</v>
      </c>
      <c r="H1570" s="240">
        <f t="shared" si="24"/>
        <v>119630</v>
      </c>
      <c r="I1570" s="241"/>
      <c r="J1570" s="221" t="b">
        <f>EXACT(E1571,[1]Main!E1571)</f>
        <v>1</v>
      </c>
    </row>
    <row r="1571" spans="1:10" x14ac:dyDescent="0.25">
      <c r="A1571" s="249">
        <v>45127</v>
      </c>
      <c r="B1571" s="237"/>
      <c r="C1571" s="238"/>
      <c r="D1571" s="349"/>
      <c r="E1571" s="390">
        <v>160</v>
      </c>
      <c r="F1571" s="403" t="s">
        <v>498</v>
      </c>
      <c r="G1571" s="239" t="s">
        <v>930</v>
      </c>
      <c r="H1571" s="240">
        <f t="shared" si="24"/>
        <v>119470</v>
      </c>
      <c r="I1571" s="241"/>
      <c r="J1571" s="221" t="b">
        <f>EXACT(E1572,[1]Main!E1572)</f>
        <v>1</v>
      </c>
    </row>
    <row r="1572" spans="1:10" x14ac:dyDescent="0.25">
      <c r="A1572" s="249">
        <v>45127</v>
      </c>
      <c r="B1572" s="237"/>
      <c r="C1572" s="238"/>
      <c r="D1572" s="349"/>
      <c r="E1572" s="390">
        <v>250</v>
      </c>
      <c r="F1572" s="403" t="s">
        <v>1235</v>
      </c>
      <c r="G1572" s="239" t="s">
        <v>464</v>
      </c>
      <c r="H1572" s="240">
        <f t="shared" si="24"/>
        <v>119220</v>
      </c>
      <c r="I1572" s="241"/>
      <c r="J1572" s="221" t="b">
        <f>EXACT(E1573,[1]Main!E1573)</f>
        <v>1</v>
      </c>
    </row>
    <row r="1573" spans="1:10" x14ac:dyDescent="0.25">
      <c r="A1573" s="249">
        <v>45127</v>
      </c>
      <c r="B1573" s="237"/>
      <c r="C1573" s="238"/>
      <c r="D1573" s="349"/>
      <c r="E1573" s="390">
        <v>130</v>
      </c>
      <c r="F1573" s="403" t="s">
        <v>107</v>
      </c>
      <c r="G1573" s="239" t="s">
        <v>930</v>
      </c>
      <c r="H1573" s="240">
        <f t="shared" si="24"/>
        <v>119090</v>
      </c>
      <c r="I1573" s="241"/>
      <c r="J1573" s="221" t="b">
        <f>EXACT(E1574,[1]Main!E1574)</f>
        <v>1</v>
      </c>
    </row>
    <row r="1574" spans="1:10" x14ac:dyDescent="0.25">
      <c r="A1574" s="249">
        <v>45127</v>
      </c>
      <c r="B1574" s="237"/>
      <c r="C1574" s="238"/>
      <c r="D1574" s="349"/>
      <c r="E1574" s="237">
        <v>100</v>
      </c>
      <c r="F1574" s="242" t="s">
        <v>1236</v>
      </c>
      <c r="G1574" s="239" t="s">
        <v>930</v>
      </c>
      <c r="H1574" s="240">
        <f t="shared" si="24"/>
        <v>118990</v>
      </c>
      <c r="I1574" s="241"/>
      <c r="J1574" s="221" t="b">
        <f>EXACT(E1575,[1]Main!E1575)</f>
        <v>1</v>
      </c>
    </row>
    <row r="1575" spans="1:10" x14ac:dyDescent="0.25">
      <c r="A1575" s="249">
        <v>45127</v>
      </c>
      <c r="B1575" s="237"/>
      <c r="C1575" s="238"/>
      <c r="D1575" s="349"/>
      <c r="E1575" s="237">
        <v>165</v>
      </c>
      <c r="F1575" s="242" t="s">
        <v>27</v>
      </c>
      <c r="G1575" s="239" t="s">
        <v>943</v>
      </c>
      <c r="H1575" s="240">
        <f t="shared" si="24"/>
        <v>118825</v>
      </c>
      <c r="I1575" s="241"/>
      <c r="J1575" s="221" t="b">
        <f>EXACT(E1576,[1]Main!E1576)</f>
        <v>1</v>
      </c>
    </row>
    <row r="1576" spans="1:10" x14ac:dyDescent="0.25">
      <c r="A1576" s="249">
        <v>45127</v>
      </c>
      <c r="B1576" s="237"/>
      <c r="C1576" s="238"/>
      <c r="D1576" s="349"/>
      <c r="E1576" s="237">
        <v>120</v>
      </c>
      <c r="F1576" s="242" t="s">
        <v>38</v>
      </c>
      <c r="G1576" s="239" t="s">
        <v>930</v>
      </c>
      <c r="H1576" s="240">
        <f t="shared" si="24"/>
        <v>118705</v>
      </c>
      <c r="I1576" s="241"/>
      <c r="J1576" s="221" t="b">
        <f>EXACT(E1577,[1]Main!E1577)</f>
        <v>1</v>
      </c>
    </row>
    <row r="1577" spans="1:10" x14ac:dyDescent="0.25">
      <c r="A1577" s="249">
        <v>45127</v>
      </c>
      <c r="B1577" s="237"/>
      <c r="C1577" s="238"/>
      <c r="D1577" s="349"/>
      <c r="E1577" s="237">
        <v>75</v>
      </c>
      <c r="F1577" s="242" t="s">
        <v>13</v>
      </c>
      <c r="G1577" s="239" t="s">
        <v>930</v>
      </c>
      <c r="H1577" s="240">
        <f t="shared" si="24"/>
        <v>118630</v>
      </c>
      <c r="I1577" s="241"/>
      <c r="J1577" s="221" t="b">
        <f>EXACT(E1578,[1]Main!E1578)</f>
        <v>1</v>
      </c>
    </row>
    <row r="1578" spans="1:10" x14ac:dyDescent="0.25">
      <c r="A1578" s="249">
        <v>45127</v>
      </c>
      <c r="B1578" s="237"/>
      <c r="C1578" s="238"/>
      <c r="D1578" s="349"/>
      <c r="E1578" s="237">
        <v>700</v>
      </c>
      <c r="F1578" s="242" t="s">
        <v>781</v>
      </c>
      <c r="G1578" s="239" t="s">
        <v>928</v>
      </c>
      <c r="H1578" s="240">
        <f t="shared" si="24"/>
        <v>117930</v>
      </c>
      <c r="I1578" s="241"/>
      <c r="J1578" s="221" t="b">
        <f>EXACT(E1579,[1]Main!E1579)</f>
        <v>1</v>
      </c>
    </row>
    <row r="1579" spans="1:10" x14ac:dyDescent="0.25">
      <c r="A1579" s="249">
        <v>45127</v>
      </c>
      <c r="B1579" s="237"/>
      <c r="C1579" s="238"/>
      <c r="D1579" s="349"/>
      <c r="E1579" s="237">
        <v>1100</v>
      </c>
      <c r="F1579" s="242" t="s">
        <v>1237</v>
      </c>
      <c r="G1579" s="239" t="s">
        <v>928</v>
      </c>
      <c r="H1579" s="240">
        <f t="shared" si="24"/>
        <v>116830</v>
      </c>
      <c r="I1579" s="241"/>
      <c r="J1579" s="221" t="b">
        <f>EXACT(E1580,[1]Main!E1580)</f>
        <v>1</v>
      </c>
    </row>
    <row r="1580" spans="1:10" x14ac:dyDescent="0.25">
      <c r="A1580" s="249">
        <v>45127</v>
      </c>
      <c r="B1580" s="237"/>
      <c r="C1580" s="238"/>
      <c r="D1580" s="349"/>
      <c r="E1580" s="393">
        <v>5</v>
      </c>
      <c r="F1580" s="404" t="s">
        <v>954</v>
      </c>
      <c r="G1580" s="239" t="s">
        <v>464</v>
      </c>
      <c r="H1580" s="240">
        <f t="shared" si="24"/>
        <v>116825</v>
      </c>
      <c r="I1580" s="241"/>
      <c r="J1580" s="221" t="b">
        <f>EXACT(E1581,[1]Main!E1581)</f>
        <v>1</v>
      </c>
    </row>
    <row r="1581" spans="1:10" x14ac:dyDescent="0.25">
      <c r="A1581" s="249">
        <v>45127</v>
      </c>
      <c r="B1581" s="237"/>
      <c r="C1581" s="238"/>
      <c r="D1581" s="349"/>
      <c r="E1581" s="237">
        <v>1000</v>
      </c>
      <c r="F1581" s="242" t="s">
        <v>1238</v>
      </c>
      <c r="G1581" s="239" t="s">
        <v>464</v>
      </c>
      <c r="H1581" s="240">
        <f t="shared" si="24"/>
        <v>115825</v>
      </c>
      <c r="I1581" s="241"/>
      <c r="J1581" s="221" t="b">
        <f>EXACT(E1582,[1]Main!E1582)</f>
        <v>1</v>
      </c>
    </row>
    <row r="1582" spans="1:10" x14ac:dyDescent="0.25">
      <c r="A1582" s="249">
        <v>45127</v>
      </c>
      <c r="B1582" s="237"/>
      <c r="C1582" s="238"/>
      <c r="D1582" s="349"/>
      <c r="E1582" s="396">
        <v>100</v>
      </c>
      <c r="F1582" s="405" t="s">
        <v>9</v>
      </c>
      <c r="G1582" s="239" t="s">
        <v>930</v>
      </c>
      <c r="H1582" s="240">
        <f t="shared" si="24"/>
        <v>115725</v>
      </c>
      <c r="I1582" s="241"/>
      <c r="J1582" s="221" t="b">
        <f>EXACT(E1583,[1]Main!E1583)</f>
        <v>1</v>
      </c>
    </row>
    <row r="1583" spans="1:10" x14ac:dyDescent="0.25">
      <c r="A1583" s="249">
        <v>45127</v>
      </c>
      <c r="B1583" s="237"/>
      <c r="C1583" s="238"/>
      <c r="D1583" s="349"/>
      <c r="E1583" s="396">
        <v>160</v>
      </c>
      <c r="F1583" s="405" t="s">
        <v>709</v>
      </c>
      <c r="G1583" s="239" t="s">
        <v>930</v>
      </c>
      <c r="H1583" s="240">
        <f t="shared" si="24"/>
        <v>115565</v>
      </c>
      <c r="I1583" s="241"/>
      <c r="J1583" s="221" t="b">
        <f>EXACT(E1584,[1]Main!E1584)</f>
        <v>1</v>
      </c>
    </row>
    <row r="1584" spans="1:10" x14ac:dyDescent="0.25">
      <c r="A1584" s="249">
        <v>45127</v>
      </c>
      <c r="B1584" s="237"/>
      <c r="C1584" s="238"/>
      <c r="D1584" s="349"/>
      <c r="E1584" s="396">
        <v>125</v>
      </c>
      <c r="F1584" s="405" t="s">
        <v>510</v>
      </c>
      <c r="G1584" s="239" t="s">
        <v>930</v>
      </c>
      <c r="H1584" s="240">
        <f t="shared" si="24"/>
        <v>115440</v>
      </c>
      <c r="I1584" s="241"/>
      <c r="J1584" s="221" t="b">
        <f>EXACT(E1585,[1]Main!E1585)</f>
        <v>1</v>
      </c>
    </row>
    <row r="1585" spans="1:10" x14ac:dyDescent="0.25">
      <c r="A1585" s="249">
        <v>45127</v>
      </c>
      <c r="B1585" s="237"/>
      <c r="C1585" s="238"/>
      <c r="D1585" s="349"/>
      <c r="E1585" s="396">
        <v>340</v>
      </c>
      <c r="F1585" s="405" t="s">
        <v>61</v>
      </c>
      <c r="G1585" s="239" t="s">
        <v>928</v>
      </c>
      <c r="H1585" s="240">
        <f t="shared" si="24"/>
        <v>115100</v>
      </c>
      <c r="I1585" s="241"/>
      <c r="J1585" s="221" t="b">
        <f>EXACT(E1586,[1]Main!E1586)</f>
        <v>1</v>
      </c>
    </row>
    <row r="1586" spans="1:10" x14ac:dyDescent="0.25">
      <c r="A1586" s="249">
        <v>45127</v>
      </c>
      <c r="B1586" s="237"/>
      <c r="C1586" s="238"/>
      <c r="D1586" s="349"/>
      <c r="E1586" s="396">
        <v>1000</v>
      </c>
      <c r="F1586" s="405" t="s">
        <v>1239</v>
      </c>
      <c r="G1586" s="239" t="s">
        <v>931</v>
      </c>
      <c r="H1586" s="240">
        <f t="shared" si="24"/>
        <v>114100</v>
      </c>
      <c r="I1586" s="241"/>
      <c r="J1586" s="221" t="b">
        <f>EXACT(E1587,[1]Main!E1587)</f>
        <v>1</v>
      </c>
    </row>
    <row r="1587" spans="1:10" x14ac:dyDescent="0.25">
      <c r="A1587" s="249">
        <v>45127</v>
      </c>
      <c r="B1587" s="237"/>
      <c r="C1587" s="238"/>
      <c r="D1587" s="349"/>
      <c r="E1587" s="396">
        <v>110</v>
      </c>
      <c r="F1587" s="405" t="s">
        <v>89</v>
      </c>
      <c r="G1587" s="239" t="s">
        <v>930</v>
      </c>
      <c r="H1587" s="240">
        <f t="shared" si="24"/>
        <v>113990</v>
      </c>
      <c r="I1587" s="241"/>
      <c r="J1587" s="221" t="b">
        <f>EXACT(E1588,[1]Main!E1588)</f>
        <v>1</v>
      </c>
    </row>
    <row r="1588" spans="1:10" x14ac:dyDescent="0.25">
      <c r="A1588" s="249">
        <v>45127</v>
      </c>
      <c r="B1588" s="237"/>
      <c r="C1588" s="238"/>
      <c r="D1588" s="349"/>
      <c r="E1588" s="396">
        <v>2890</v>
      </c>
      <c r="F1588" s="405" t="s">
        <v>12</v>
      </c>
      <c r="G1588" s="239" t="s">
        <v>928</v>
      </c>
      <c r="H1588" s="240">
        <f t="shared" si="24"/>
        <v>111100</v>
      </c>
      <c r="I1588" s="241"/>
      <c r="J1588" s="221" t="b">
        <f>EXACT(E1589,[1]Main!E1589)</f>
        <v>1</v>
      </c>
    </row>
    <row r="1589" spans="1:10" x14ac:dyDescent="0.25">
      <c r="A1589" s="249">
        <v>45127</v>
      </c>
      <c r="B1589" s="237"/>
      <c r="C1589" s="238"/>
      <c r="D1589" s="349"/>
      <c r="E1589" s="396">
        <v>27</v>
      </c>
      <c r="F1589" s="405" t="s">
        <v>212</v>
      </c>
      <c r="G1589" s="239" t="s">
        <v>464</v>
      </c>
      <c r="H1589" s="240">
        <f t="shared" si="24"/>
        <v>111073</v>
      </c>
      <c r="I1589" s="241"/>
      <c r="J1589" s="221" t="b">
        <f>EXACT(E1590,[1]Main!E1590)</f>
        <v>1</v>
      </c>
    </row>
    <row r="1590" spans="1:10" x14ac:dyDescent="0.25">
      <c r="A1590" s="249">
        <v>45127</v>
      </c>
      <c r="B1590" s="237"/>
      <c r="C1590" s="238"/>
      <c r="D1590" s="349"/>
      <c r="E1590" s="396">
        <v>677</v>
      </c>
      <c r="F1590" s="242" t="s">
        <v>505</v>
      </c>
      <c r="G1590" s="239" t="s">
        <v>928</v>
      </c>
      <c r="H1590" s="240">
        <f t="shared" si="24"/>
        <v>110396</v>
      </c>
      <c r="I1590" s="241"/>
      <c r="J1590" s="221" t="b">
        <f>EXACT(E1591,[1]Main!E1591)</f>
        <v>1</v>
      </c>
    </row>
    <row r="1591" spans="1:10" x14ac:dyDescent="0.25">
      <c r="A1591" s="249">
        <v>45127</v>
      </c>
      <c r="B1591" s="237"/>
      <c r="C1591" s="238"/>
      <c r="D1591" s="349"/>
      <c r="E1591" s="396">
        <v>310</v>
      </c>
      <c r="F1591" s="405" t="s">
        <v>255</v>
      </c>
      <c r="G1591" s="239" t="s">
        <v>930</v>
      </c>
      <c r="H1591" s="240">
        <f t="shared" si="24"/>
        <v>110086</v>
      </c>
      <c r="I1591" s="241"/>
      <c r="J1591" s="221" t="b">
        <f>EXACT(E1592,[1]Main!E1592)</f>
        <v>1</v>
      </c>
    </row>
    <row r="1592" spans="1:10" x14ac:dyDescent="0.25">
      <c r="A1592" s="249">
        <v>45127</v>
      </c>
      <c r="B1592" s="237"/>
      <c r="C1592" s="238"/>
      <c r="D1592" s="349"/>
      <c r="E1592" s="396">
        <v>90</v>
      </c>
      <c r="F1592" s="405" t="s">
        <v>339</v>
      </c>
      <c r="G1592" s="239" t="s">
        <v>928</v>
      </c>
      <c r="H1592" s="240">
        <f t="shared" si="24"/>
        <v>109996</v>
      </c>
      <c r="I1592" s="241"/>
      <c r="J1592" s="221" t="b">
        <f>EXACT(E1593,[1]Main!E1593)</f>
        <v>1</v>
      </c>
    </row>
    <row r="1593" spans="1:10" x14ac:dyDescent="0.25">
      <c r="A1593" s="249">
        <v>45127</v>
      </c>
      <c r="B1593" s="237"/>
      <c r="C1593" s="238"/>
      <c r="D1593" s="349"/>
      <c r="E1593" s="396">
        <v>120</v>
      </c>
      <c r="F1593" s="405" t="s">
        <v>1240</v>
      </c>
      <c r="G1593" s="239" t="s">
        <v>464</v>
      </c>
      <c r="H1593" s="240">
        <f t="shared" si="24"/>
        <v>109876</v>
      </c>
      <c r="I1593" s="241"/>
      <c r="J1593" s="221" t="b">
        <f>EXACT(E1594,[1]Main!E1594)</f>
        <v>1</v>
      </c>
    </row>
    <row r="1594" spans="1:10" x14ac:dyDescent="0.25">
      <c r="A1594" s="249">
        <v>45127</v>
      </c>
      <c r="B1594" s="237"/>
      <c r="C1594" s="238"/>
      <c r="D1594" s="349"/>
      <c r="E1594" s="396">
        <v>1510</v>
      </c>
      <c r="F1594" s="405" t="s">
        <v>576</v>
      </c>
      <c r="G1594" s="239" t="s">
        <v>928</v>
      </c>
      <c r="H1594" s="240">
        <f t="shared" si="24"/>
        <v>108366</v>
      </c>
      <c r="I1594" s="241"/>
      <c r="J1594" s="221" t="b">
        <f>EXACT(E1595,[1]Main!E1595)</f>
        <v>1</v>
      </c>
    </row>
    <row r="1595" spans="1:10" x14ac:dyDescent="0.25">
      <c r="A1595" s="249">
        <v>45127</v>
      </c>
      <c r="B1595" s="237"/>
      <c r="C1595" s="238"/>
      <c r="D1595" s="349"/>
      <c r="E1595" s="396">
        <v>130</v>
      </c>
      <c r="F1595" s="405" t="s">
        <v>39</v>
      </c>
      <c r="G1595" s="239" t="s">
        <v>930</v>
      </c>
      <c r="H1595" s="240">
        <f t="shared" si="24"/>
        <v>108236</v>
      </c>
      <c r="I1595" s="241"/>
      <c r="J1595" s="221" t="b">
        <f>EXACT(E1596,[1]Main!E1596)</f>
        <v>1</v>
      </c>
    </row>
    <row r="1596" spans="1:10" x14ac:dyDescent="0.25">
      <c r="A1596" s="249">
        <v>45127</v>
      </c>
      <c r="B1596" s="237"/>
      <c r="C1596" s="238"/>
      <c r="D1596" s="349"/>
      <c r="E1596" s="396">
        <v>150</v>
      </c>
      <c r="F1596" s="405" t="s">
        <v>341</v>
      </c>
      <c r="G1596" s="239" t="s">
        <v>930</v>
      </c>
      <c r="H1596" s="240">
        <f t="shared" si="24"/>
        <v>108086</v>
      </c>
      <c r="I1596" s="241"/>
      <c r="J1596" s="221" t="b">
        <f>EXACT(E1597,[1]Main!E1597)</f>
        <v>1</v>
      </c>
    </row>
    <row r="1597" spans="1:10" x14ac:dyDescent="0.25">
      <c r="A1597" s="249">
        <v>45127</v>
      </c>
      <c r="B1597" s="237"/>
      <c r="C1597" s="238"/>
      <c r="D1597" s="349"/>
      <c r="E1597" s="396">
        <v>310</v>
      </c>
      <c r="F1597" s="405" t="s">
        <v>34</v>
      </c>
      <c r="G1597" s="239" t="s">
        <v>928</v>
      </c>
      <c r="H1597" s="240">
        <f t="shared" si="24"/>
        <v>107776</v>
      </c>
      <c r="I1597" s="241"/>
      <c r="J1597" s="221" t="b">
        <f>EXACT(E1598,[1]Main!E1598)</f>
        <v>1</v>
      </c>
    </row>
    <row r="1598" spans="1:10" x14ac:dyDescent="0.25">
      <c r="A1598" s="249">
        <v>45127</v>
      </c>
      <c r="B1598" s="237"/>
      <c r="C1598" s="238"/>
      <c r="D1598" s="349"/>
      <c r="E1598" s="396">
        <v>1000</v>
      </c>
      <c r="F1598" s="405" t="s">
        <v>1241</v>
      </c>
      <c r="G1598" s="239" t="s">
        <v>940</v>
      </c>
      <c r="H1598" s="240">
        <f t="shared" si="24"/>
        <v>106776</v>
      </c>
      <c r="I1598" s="241"/>
      <c r="J1598" s="221" t="b">
        <f>EXACT(E1599,[1]Main!E1599)</f>
        <v>1</v>
      </c>
    </row>
    <row r="1599" spans="1:10" x14ac:dyDescent="0.25">
      <c r="A1599" s="249">
        <v>45127</v>
      </c>
      <c r="B1599" s="237"/>
      <c r="C1599" s="238"/>
      <c r="D1599" s="349"/>
      <c r="E1599" s="237">
        <v>100</v>
      </c>
      <c r="F1599" s="242" t="s">
        <v>1242</v>
      </c>
      <c r="G1599" s="239" t="s">
        <v>930</v>
      </c>
      <c r="H1599" s="240">
        <f t="shared" si="24"/>
        <v>106676</v>
      </c>
      <c r="I1599" s="241"/>
      <c r="J1599" s="221" t="b">
        <f>EXACT(E1600,[1]Main!E1600)</f>
        <v>1</v>
      </c>
    </row>
    <row r="1600" spans="1:10" x14ac:dyDescent="0.25">
      <c r="A1600" s="249">
        <v>45127</v>
      </c>
      <c r="B1600" s="237"/>
      <c r="C1600" s="238"/>
      <c r="D1600" s="349"/>
      <c r="E1600" s="237">
        <v>2100</v>
      </c>
      <c r="F1600" s="242" t="s">
        <v>200</v>
      </c>
      <c r="G1600" s="239" t="s">
        <v>928</v>
      </c>
      <c r="H1600" s="240">
        <f t="shared" si="24"/>
        <v>104576</v>
      </c>
      <c r="I1600" s="241"/>
      <c r="J1600" s="221" t="b">
        <f>EXACT(E1601,[1]Main!E1601)</f>
        <v>1</v>
      </c>
    </row>
    <row r="1601" spans="1:10" x14ac:dyDescent="0.25">
      <c r="A1601" s="249">
        <v>45127</v>
      </c>
      <c r="B1601" s="237"/>
      <c r="C1601" s="238"/>
      <c r="D1601" s="349"/>
      <c r="E1601" s="237">
        <v>4240</v>
      </c>
      <c r="F1601" s="242" t="s">
        <v>338</v>
      </c>
      <c r="G1601" s="239" t="s">
        <v>928</v>
      </c>
      <c r="H1601" s="240">
        <f t="shared" si="24"/>
        <v>100336</v>
      </c>
      <c r="I1601" s="241" t="s">
        <v>819</v>
      </c>
      <c r="J1601" s="221" t="b">
        <f>EXACT(E1602,[1]Main!E1602)</f>
        <v>1</v>
      </c>
    </row>
    <row r="1602" spans="1:10" x14ac:dyDescent="0.25">
      <c r="A1602" s="249">
        <v>45127</v>
      </c>
      <c r="B1602" s="237"/>
      <c r="C1602" s="238"/>
      <c r="D1602" s="349"/>
      <c r="E1602" s="237">
        <v>5895</v>
      </c>
      <c r="F1602" s="242" t="s">
        <v>664</v>
      </c>
      <c r="G1602" s="239" t="s">
        <v>928</v>
      </c>
      <c r="H1602" s="240">
        <f t="shared" si="24"/>
        <v>94441</v>
      </c>
      <c r="I1602" s="241"/>
      <c r="J1602" s="221" t="b">
        <f>EXACT(E1603,[1]Main!E1603)</f>
        <v>1</v>
      </c>
    </row>
    <row r="1603" spans="1:10" x14ac:dyDescent="0.25">
      <c r="A1603" s="249">
        <v>45127</v>
      </c>
      <c r="B1603" s="237"/>
      <c r="C1603" s="238"/>
      <c r="D1603" s="349"/>
      <c r="E1603" s="237">
        <v>210</v>
      </c>
      <c r="F1603" s="242" t="s">
        <v>341</v>
      </c>
      <c r="G1603" s="239" t="s">
        <v>930</v>
      </c>
      <c r="H1603" s="240">
        <f t="shared" si="24"/>
        <v>94231</v>
      </c>
      <c r="I1603" s="241"/>
      <c r="J1603" s="221" t="b">
        <f>EXACT(E1604,[1]Main!E1604)</f>
        <v>1</v>
      </c>
    </row>
    <row r="1604" spans="1:10" x14ac:dyDescent="0.25">
      <c r="A1604" s="249">
        <v>45127</v>
      </c>
      <c r="B1604" s="237"/>
      <c r="C1604" s="238"/>
      <c r="D1604" s="349"/>
      <c r="E1604" s="237">
        <v>1940</v>
      </c>
      <c r="F1604" s="242" t="s">
        <v>27</v>
      </c>
      <c r="G1604" s="239" t="s">
        <v>943</v>
      </c>
      <c r="H1604" s="240">
        <f t="shared" si="24"/>
        <v>92291</v>
      </c>
      <c r="I1604" s="241"/>
      <c r="J1604" s="221" t="b">
        <f>EXACT(E1605,[1]Main!E1605)</f>
        <v>1</v>
      </c>
    </row>
    <row r="1605" spans="1:10" x14ac:dyDescent="0.25">
      <c r="A1605" s="249">
        <v>45127</v>
      </c>
      <c r="B1605" s="237"/>
      <c r="C1605" s="238"/>
      <c r="D1605" s="349"/>
      <c r="E1605" s="237">
        <v>3000</v>
      </c>
      <c r="F1605" s="242" t="s">
        <v>975</v>
      </c>
      <c r="G1605" s="239" t="s">
        <v>928</v>
      </c>
      <c r="H1605" s="240">
        <f t="shared" si="24"/>
        <v>89291</v>
      </c>
      <c r="I1605" s="241" t="s">
        <v>1243</v>
      </c>
      <c r="J1605" s="221" t="b">
        <f>EXACT(E1606,[1]Main!E1606)</f>
        <v>1</v>
      </c>
    </row>
    <row r="1606" spans="1:10" x14ac:dyDescent="0.25">
      <c r="A1606" s="249">
        <v>45127</v>
      </c>
      <c r="B1606" s="237"/>
      <c r="C1606" s="238"/>
      <c r="D1606" s="349"/>
      <c r="E1606" s="237">
        <v>1980</v>
      </c>
      <c r="F1606" s="242" t="s">
        <v>27</v>
      </c>
      <c r="G1606" s="239" t="s">
        <v>943</v>
      </c>
      <c r="H1606" s="240">
        <f t="shared" si="24"/>
        <v>87311</v>
      </c>
      <c r="I1606" s="241"/>
      <c r="J1606" s="221" t="b">
        <f>EXACT(E1607,[1]Main!E1607)</f>
        <v>1</v>
      </c>
    </row>
    <row r="1607" spans="1:10" x14ac:dyDescent="0.25">
      <c r="A1607" s="249">
        <v>45127</v>
      </c>
      <c r="B1607" s="237"/>
      <c r="C1607" s="238"/>
      <c r="D1607" s="349"/>
      <c r="E1607" s="237">
        <v>12570</v>
      </c>
      <c r="F1607" s="242" t="s">
        <v>16</v>
      </c>
      <c r="G1607" s="239" t="s">
        <v>928</v>
      </c>
      <c r="H1607" s="240">
        <f t="shared" ref="H1607:H1670" si="25">H1606+B1607-E1607</f>
        <v>74741</v>
      </c>
      <c r="I1607" s="241"/>
      <c r="J1607" s="221" t="b">
        <f>EXACT(E1608,[1]Main!E1608)</f>
        <v>1</v>
      </c>
    </row>
    <row r="1608" spans="1:10" x14ac:dyDescent="0.25">
      <c r="A1608" s="249">
        <v>45127</v>
      </c>
      <c r="B1608" s="237"/>
      <c r="C1608" s="238"/>
      <c r="D1608" s="349"/>
      <c r="E1608" s="237">
        <v>80</v>
      </c>
      <c r="F1608" s="242" t="s">
        <v>1219</v>
      </c>
      <c r="G1608" s="239" t="s">
        <v>930</v>
      </c>
      <c r="H1608" s="240">
        <f t="shared" si="25"/>
        <v>74661</v>
      </c>
      <c r="I1608" s="241"/>
      <c r="J1608" s="221" t="b">
        <f>EXACT(E1609,[1]Main!E1609)</f>
        <v>1</v>
      </c>
    </row>
    <row r="1609" spans="1:10" x14ac:dyDescent="0.25">
      <c r="A1609" s="249">
        <v>45127</v>
      </c>
      <c r="B1609" s="237"/>
      <c r="C1609" s="238"/>
      <c r="D1609" s="349"/>
      <c r="E1609" s="237">
        <v>90</v>
      </c>
      <c r="F1609" s="242" t="s">
        <v>223</v>
      </c>
      <c r="G1609" s="239" t="s">
        <v>930</v>
      </c>
      <c r="H1609" s="240">
        <f t="shared" si="25"/>
        <v>74571</v>
      </c>
      <c r="I1609" s="241"/>
      <c r="J1609" s="221" t="b">
        <f>EXACT(E1610,[1]Main!E1610)</f>
        <v>1</v>
      </c>
    </row>
    <row r="1610" spans="1:10" x14ac:dyDescent="0.25">
      <c r="A1610" s="249">
        <v>45127</v>
      </c>
      <c r="B1610" s="237"/>
      <c r="C1610" s="238"/>
      <c r="D1610" s="349"/>
      <c r="E1610" s="237">
        <v>5000</v>
      </c>
      <c r="F1610" s="242" t="s">
        <v>1244</v>
      </c>
      <c r="G1610" s="239" t="s">
        <v>928</v>
      </c>
      <c r="H1610" s="240">
        <f t="shared" si="25"/>
        <v>69571</v>
      </c>
      <c r="I1610" s="241" t="s">
        <v>1137</v>
      </c>
      <c r="J1610" s="221" t="b">
        <f>EXACT(E1611,[1]Main!E1611)</f>
        <v>1</v>
      </c>
    </row>
    <row r="1611" spans="1:10" x14ac:dyDescent="0.25">
      <c r="A1611" s="249">
        <v>45127</v>
      </c>
      <c r="B1611" s="237"/>
      <c r="C1611" s="238"/>
      <c r="D1611" s="349"/>
      <c r="E1611" s="237">
        <v>200</v>
      </c>
      <c r="F1611" s="242" t="s">
        <v>1245</v>
      </c>
      <c r="G1611" s="239" t="s">
        <v>943</v>
      </c>
      <c r="H1611" s="240">
        <f t="shared" si="25"/>
        <v>69371</v>
      </c>
      <c r="I1611" s="241"/>
      <c r="J1611" s="221" t="b">
        <f>EXACT(E1612,[1]Main!E1612)</f>
        <v>1</v>
      </c>
    </row>
    <row r="1612" spans="1:10" x14ac:dyDescent="0.25">
      <c r="A1612" s="249">
        <v>45127</v>
      </c>
      <c r="B1612" s="237"/>
      <c r="C1612" s="238"/>
      <c r="D1612" s="349"/>
      <c r="E1612" s="237">
        <v>1625</v>
      </c>
      <c r="F1612" s="242" t="s">
        <v>882</v>
      </c>
      <c r="G1612" s="239" t="s">
        <v>928</v>
      </c>
      <c r="H1612" s="240">
        <f t="shared" si="25"/>
        <v>67746</v>
      </c>
      <c r="I1612" s="241" t="s">
        <v>1246</v>
      </c>
      <c r="J1612" s="221" t="b">
        <f>EXACT(E1613,[1]Main!E1613)</f>
        <v>1</v>
      </c>
    </row>
    <row r="1613" spans="1:10" x14ac:dyDescent="0.25">
      <c r="A1613" s="249">
        <v>45127</v>
      </c>
      <c r="B1613" s="237"/>
      <c r="C1613" s="238"/>
      <c r="D1613" s="349"/>
      <c r="E1613" s="400">
        <v>3592</v>
      </c>
      <c r="F1613" s="242" t="s">
        <v>337</v>
      </c>
      <c r="G1613" s="239" t="s">
        <v>928</v>
      </c>
      <c r="H1613" s="240">
        <f t="shared" si="25"/>
        <v>64154</v>
      </c>
      <c r="I1613" s="241"/>
      <c r="J1613" s="221" t="b">
        <f>EXACT(E1614,[1]Main!E1614)</f>
        <v>1</v>
      </c>
    </row>
    <row r="1614" spans="1:10" x14ac:dyDescent="0.25">
      <c r="A1614" s="249">
        <v>45127</v>
      </c>
      <c r="B1614" s="237"/>
      <c r="C1614" s="238"/>
      <c r="D1614" s="349"/>
      <c r="E1614" s="400">
        <v>145</v>
      </c>
      <c r="F1614" s="406" t="s">
        <v>1247</v>
      </c>
      <c r="G1614" s="239" t="s">
        <v>930</v>
      </c>
      <c r="H1614" s="240">
        <f t="shared" si="25"/>
        <v>64009</v>
      </c>
      <c r="I1614" s="241"/>
      <c r="J1614" s="221" t="b">
        <f>EXACT(E1615,[1]Main!E1615)</f>
        <v>1</v>
      </c>
    </row>
    <row r="1615" spans="1:10" x14ac:dyDescent="0.25">
      <c r="A1615" s="249">
        <v>45127</v>
      </c>
      <c r="B1615" s="237"/>
      <c r="C1615" s="238"/>
      <c r="D1615" s="349"/>
      <c r="E1615" s="400">
        <v>7</v>
      </c>
      <c r="F1615" s="406" t="s">
        <v>464</v>
      </c>
      <c r="G1615" s="239" t="s">
        <v>464</v>
      </c>
      <c r="H1615" s="240">
        <f t="shared" si="25"/>
        <v>64002</v>
      </c>
      <c r="I1615" s="241"/>
      <c r="J1615" s="221" t="b">
        <f>EXACT(E1616,[1]Main!E1616)</f>
        <v>1</v>
      </c>
    </row>
    <row r="1616" spans="1:10" x14ac:dyDescent="0.25">
      <c r="A1616" s="249">
        <v>45127</v>
      </c>
      <c r="B1616" s="237"/>
      <c r="C1616" s="238"/>
      <c r="D1616" s="349"/>
      <c r="E1616" s="400">
        <v>99</v>
      </c>
      <c r="F1616" s="406" t="s">
        <v>67</v>
      </c>
      <c r="G1616" s="239" t="s">
        <v>938</v>
      </c>
      <c r="H1616" s="240">
        <f t="shared" si="25"/>
        <v>63903</v>
      </c>
      <c r="I1616" s="241"/>
      <c r="J1616" s="221" t="b">
        <f>EXACT(E1617,[1]Main!E1617)</f>
        <v>1</v>
      </c>
    </row>
    <row r="1617" spans="1:10" x14ac:dyDescent="0.25">
      <c r="A1617" s="249">
        <v>45127</v>
      </c>
      <c r="B1617" s="237"/>
      <c r="C1617" s="238"/>
      <c r="D1617" s="349"/>
      <c r="E1617" s="400">
        <v>290</v>
      </c>
      <c r="F1617" s="406" t="s">
        <v>1248</v>
      </c>
      <c r="G1617" s="239" t="s">
        <v>464</v>
      </c>
      <c r="H1617" s="240">
        <f t="shared" si="25"/>
        <v>63613</v>
      </c>
      <c r="I1617" s="241"/>
      <c r="J1617" s="221" t="b">
        <f>EXACT(E1618,[1]Main!E1618)</f>
        <v>1</v>
      </c>
    </row>
    <row r="1618" spans="1:10" x14ac:dyDescent="0.25">
      <c r="A1618" s="249">
        <v>45127</v>
      </c>
      <c r="B1618" s="237"/>
      <c r="C1618" s="238"/>
      <c r="D1618" s="349"/>
      <c r="E1618" s="400">
        <v>1680</v>
      </c>
      <c r="F1618" s="406" t="s">
        <v>14</v>
      </c>
      <c r="G1618" s="239" t="s">
        <v>935</v>
      </c>
      <c r="H1618" s="240">
        <f t="shared" si="25"/>
        <v>61933</v>
      </c>
      <c r="I1618" s="241"/>
      <c r="J1618" s="221" t="b">
        <f>EXACT(E1619,[1]Main!E1619)</f>
        <v>1</v>
      </c>
    </row>
    <row r="1619" spans="1:10" x14ac:dyDescent="0.25">
      <c r="A1619" s="249">
        <v>45127</v>
      </c>
      <c r="B1619" s="237"/>
      <c r="C1619" s="238"/>
      <c r="D1619" s="349"/>
      <c r="E1619" s="400">
        <v>134</v>
      </c>
      <c r="F1619" s="406" t="s">
        <v>67</v>
      </c>
      <c r="G1619" s="239" t="s">
        <v>938</v>
      </c>
      <c r="H1619" s="240">
        <f t="shared" si="25"/>
        <v>61799</v>
      </c>
      <c r="I1619" s="241"/>
      <c r="J1619" s="221" t="b">
        <f>EXACT(E1620,[1]Main!E1620)</f>
        <v>1</v>
      </c>
    </row>
    <row r="1620" spans="1:10" x14ac:dyDescent="0.25">
      <c r="A1620" s="249">
        <v>45127</v>
      </c>
      <c r="B1620" s="237"/>
      <c r="C1620" s="238"/>
      <c r="D1620" s="349"/>
      <c r="E1620" s="407">
        <v>38</v>
      </c>
      <c r="F1620" s="408" t="s">
        <v>1249</v>
      </c>
      <c r="G1620" s="239" t="s">
        <v>464</v>
      </c>
      <c r="H1620" s="240">
        <f t="shared" si="25"/>
        <v>61761</v>
      </c>
      <c r="I1620" s="241"/>
      <c r="J1620" s="221" t="b">
        <f>EXACT(E1621,[1]Main!E1621)</f>
        <v>1</v>
      </c>
    </row>
    <row r="1621" spans="1:10" x14ac:dyDescent="0.25">
      <c r="A1621" s="249">
        <v>45127</v>
      </c>
      <c r="B1621" s="237"/>
      <c r="C1621" s="238"/>
      <c r="D1621" s="349"/>
      <c r="E1621" s="400">
        <v>10000</v>
      </c>
      <c r="F1621" s="406" t="s">
        <v>43</v>
      </c>
      <c r="G1621" s="239" t="s">
        <v>941</v>
      </c>
      <c r="H1621" s="240">
        <f t="shared" si="25"/>
        <v>51761</v>
      </c>
      <c r="I1621" s="241"/>
      <c r="J1621" s="221" t="b">
        <f>EXACT(E1622,[1]Main!E1622)</f>
        <v>1</v>
      </c>
    </row>
    <row r="1622" spans="1:10" x14ac:dyDescent="0.25">
      <c r="A1622" s="249">
        <v>45127</v>
      </c>
      <c r="B1622" s="237"/>
      <c r="C1622" s="238"/>
      <c r="D1622" s="349"/>
      <c r="E1622" s="237">
        <v>70</v>
      </c>
      <c r="F1622" s="242" t="s">
        <v>26</v>
      </c>
      <c r="G1622" s="239" t="s">
        <v>930</v>
      </c>
      <c r="H1622" s="240">
        <f t="shared" si="25"/>
        <v>51691</v>
      </c>
      <c r="I1622" s="241"/>
      <c r="J1622" s="221" t="b">
        <f>EXACT(E1623,[1]Main!E1623)</f>
        <v>1</v>
      </c>
    </row>
    <row r="1623" spans="1:10" x14ac:dyDescent="0.25">
      <c r="A1623" s="249">
        <v>45127</v>
      </c>
      <c r="B1623" s="237"/>
      <c r="C1623" s="238"/>
      <c r="D1623" s="349"/>
      <c r="E1623" s="325">
        <v>15</v>
      </c>
      <c r="F1623" s="328" t="s">
        <v>1184</v>
      </c>
      <c r="G1623" s="239" t="s">
        <v>464</v>
      </c>
      <c r="H1623" s="240">
        <f t="shared" si="25"/>
        <v>51676</v>
      </c>
      <c r="I1623" s="241"/>
      <c r="J1623" s="221" t="b">
        <f>EXACT(E1624,[1]Main!E1624)</f>
        <v>1</v>
      </c>
    </row>
    <row r="1624" spans="1:10" x14ac:dyDescent="0.25">
      <c r="A1624" s="249">
        <v>45127</v>
      </c>
      <c r="B1624" s="237"/>
      <c r="C1624" s="238"/>
      <c r="D1624" s="349"/>
      <c r="E1624" s="325">
        <v>8</v>
      </c>
      <c r="F1624" s="328" t="s">
        <v>954</v>
      </c>
      <c r="G1624" s="239" t="s">
        <v>464</v>
      </c>
      <c r="H1624" s="240">
        <f t="shared" si="25"/>
        <v>51668</v>
      </c>
      <c r="I1624" s="241"/>
      <c r="J1624" s="221" t="b">
        <f>EXACT(E1625,[1]Main!E1625)</f>
        <v>1</v>
      </c>
    </row>
    <row r="1625" spans="1:10" x14ac:dyDescent="0.25">
      <c r="A1625" s="249">
        <v>45127</v>
      </c>
      <c r="B1625" s="237"/>
      <c r="C1625" s="238"/>
      <c r="D1625" s="349"/>
      <c r="E1625" s="325">
        <v>3880</v>
      </c>
      <c r="F1625" s="328" t="s">
        <v>69</v>
      </c>
      <c r="G1625" s="239" t="s">
        <v>928</v>
      </c>
      <c r="H1625" s="240">
        <f t="shared" si="25"/>
        <v>47788</v>
      </c>
      <c r="I1625" s="241"/>
      <c r="J1625" s="221" t="b">
        <f>EXACT(E1626,[1]Main!E1626)</f>
        <v>1</v>
      </c>
    </row>
    <row r="1626" spans="1:10" x14ac:dyDescent="0.25">
      <c r="A1626" s="249">
        <v>45127</v>
      </c>
      <c r="B1626" s="237"/>
      <c r="C1626" s="238"/>
      <c r="D1626" s="349"/>
      <c r="E1626" s="325">
        <v>70</v>
      </c>
      <c r="F1626" s="328" t="s">
        <v>494</v>
      </c>
      <c r="G1626" s="239" t="s">
        <v>930</v>
      </c>
      <c r="H1626" s="240">
        <f t="shared" si="25"/>
        <v>47718</v>
      </c>
      <c r="I1626" s="241"/>
      <c r="J1626" s="221" t="b">
        <f>EXACT(E1627,[1]Main!E1627)</f>
        <v>1</v>
      </c>
    </row>
    <row r="1627" spans="1:10" x14ac:dyDescent="0.25">
      <c r="A1627" s="249">
        <v>45127</v>
      </c>
      <c r="B1627" s="237"/>
      <c r="C1627" s="238"/>
      <c r="D1627" s="349"/>
      <c r="E1627" s="325">
        <v>1810</v>
      </c>
      <c r="F1627" s="328" t="s">
        <v>1250</v>
      </c>
      <c r="G1627" s="239" t="s">
        <v>928</v>
      </c>
      <c r="H1627" s="240">
        <f t="shared" si="25"/>
        <v>45908</v>
      </c>
      <c r="I1627" s="241"/>
      <c r="J1627" s="221" t="b">
        <f>EXACT(E1628,[1]Main!E1628)</f>
        <v>1</v>
      </c>
    </row>
    <row r="1628" spans="1:10" x14ac:dyDescent="0.25">
      <c r="A1628" s="249">
        <v>45127</v>
      </c>
      <c r="B1628" s="237"/>
      <c r="C1628" s="238"/>
      <c r="D1628" s="349"/>
      <c r="E1628" s="325">
        <v>40</v>
      </c>
      <c r="F1628" s="328" t="s">
        <v>1251</v>
      </c>
      <c r="G1628" s="239" t="s">
        <v>464</v>
      </c>
      <c r="H1628" s="240">
        <f t="shared" si="25"/>
        <v>45868</v>
      </c>
      <c r="I1628" s="241"/>
      <c r="J1628" s="221" t="b">
        <f>EXACT(E1629,[1]Main!E1629)</f>
        <v>1</v>
      </c>
    </row>
    <row r="1629" spans="1:10" x14ac:dyDescent="0.25">
      <c r="A1629" s="249">
        <v>45127</v>
      </c>
      <c r="B1629" s="237"/>
      <c r="C1629" s="238"/>
      <c r="D1629" s="349"/>
      <c r="E1629" s="325">
        <v>2100</v>
      </c>
      <c r="F1629" s="328" t="s">
        <v>728</v>
      </c>
      <c r="G1629" s="239" t="s">
        <v>928</v>
      </c>
      <c r="H1629" s="240">
        <f t="shared" si="25"/>
        <v>43768</v>
      </c>
      <c r="I1629" s="241"/>
      <c r="J1629" s="221" t="b">
        <f>EXACT(E1630,[1]Main!E1630)</f>
        <v>1</v>
      </c>
    </row>
    <row r="1630" spans="1:10" x14ac:dyDescent="0.25">
      <c r="A1630" s="249">
        <v>45127</v>
      </c>
      <c r="B1630" s="237"/>
      <c r="C1630" s="238"/>
      <c r="D1630" s="349"/>
      <c r="E1630" s="325">
        <v>7000</v>
      </c>
      <c r="F1630" s="328" t="s">
        <v>1252</v>
      </c>
      <c r="G1630" s="239" t="s">
        <v>928</v>
      </c>
      <c r="H1630" s="240">
        <f t="shared" si="25"/>
        <v>36768</v>
      </c>
      <c r="I1630" s="241"/>
      <c r="J1630" s="221" t="b">
        <f>EXACT(E1631,[1]Main!E1631)</f>
        <v>1</v>
      </c>
    </row>
    <row r="1631" spans="1:10" x14ac:dyDescent="0.25">
      <c r="A1631" s="249">
        <v>45127</v>
      </c>
      <c r="B1631" s="237"/>
      <c r="C1631" s="238"/>
      <c r="D1631" s="349"/>
      <c r="E1631" s="237">
        <v>115</v>
      </c>
      <c r="F1631" s="242" t="s">
        <v>29</v>
      </c>
      <c r="G1631" s="239" t="s">
        <v>930</v>
      </c>
      <c r="H1631" s="240">
        <f t="shared" si="25"/>
        <v>36653</v>
      </c>
      <c r="I1631" s="241"/>
      <c r="J1631" s="221" t="b">
        <f>EXACT(E1632,[1]Main!E1632)</f>
        <v>1</v>
      </c>
    </row>
    <row r="1632" spans="1:10" x14ac:dyDescent="0.25">
      <c r="A1632" s="249">
        <v>45127</v>
      </c>
      <c r="B1632" s="237"/>
      <c r="C1632" s="238"/>
      <c r="D1632" s="349"/>
      <c r="E1632" s="237">
        <v>110</v>
      </c>
      <c r="F1632" s="242" t="s">
        <v>15</v>
      </c>
      <c r="G1632" s="239" t="s">
        <v>930</v>
      </c>
      <c r="H1632" s="240">
        <f t="shared" si="25"/>
        <v>36543</v>
      </c>
      <c r="I1632" s="241"/>
      <c r="J1632" s="221" t="b">
        <f>EXACT(E1633,[1]Main!E1633)</f>
        <v>1</v>
      </c>
    </row>
    <row r="1633" spans="1:10" x14ac:dyDescent="0.25">
      <c r="A1633" s="249">
        <v>45127</v>
      </c>
      <c r="B1633" s="237"/>
      <c r="C1633" s="238"/>
      <c r="D1633" s="349"/>
      <c r="E1633" s="237">
        <v>195</v>
      </c>
      <c r="F1633" s="242" t="s">
        <v>27</v>
      </c>
      <c r="G1633" s="239" t="s">
        <v>943</v>
      </c>
      <c r="H1633" s="240">
        <f t="shared" si="25"/>
        <v>36348</v>
      </c>
      <c r="I1633" s="241"/>
      <c r="J1633" s="221" t="b">
        <f>EXACT(E1634,[1]Main!E1634)</f>
        <v>1</v>
      </c>
    </row>
    <row r="1634" spans="1:10" x14ac:dyDescent="0.25">
      <c r="A1634" s="249">
        <v>45127</v>
      </c>
      <c r="B1634" s="237"/>
      <c r="C1634" s="238"/>
      <c r="D1634" s="349"/>
      <c r="E1634" s="237">
        <v>216</v>
      </c>
      <c r="F1634" s="242" t="s">
        <v>978</v>
      </c>
      <c r="G1634" s="239" t="s">
        <v>930</v>
      </c>
      <c r="H1634" s="240">
        <f t="shared" si="25"/>
        <v>36132</v>
      </c>
      <c r="I1634" s="241"/>
      <c r="J1634" s="221" t="b">
        <f>EXACT(E1635,[1]Main!E1635)</f>
        <v>1</v>
      </c>
    </row>
    <row r="1635" spans="1:10" x14ac:dyDescent="0.25">
      <c r="A1635" s="249">
        <v>45127</v>
      </c>
      <c r="B1635" s="237"/>
      <c r="C1635" s="238"/>
      <c r="D1635" s="349"/>
      <c r="E1635" s="237">
        <v>3123</v>
      </c>
      <c r="F1635" s="242" t="s">
        <v>20</v>
      </c>
      <c r="G1635" s="239" t="s">
        <v>928</v>
      </c>
      <c r="H1635" s="240">
        <f t="shared" si="25"/>
        <v>33009</v>
      </c>
      <c r="I1635" s="241"/>
      <c r="J1635" s="221" t="b">
        <f>EXACT(E1636,[1]Main!E1636)</f>
        <v>1</v>
      </c>
    </row>
    <row r="1636" spans="1:10" x14ac:dyDescent="0.25">
      <c r="A1636" s="249">
        <v>45127</v>
      </c>
      <c r="B1636" s="237"/>
      <c r="C1636" s="238"/>
      <c r="D1636" s="349"/>
      <c r="E1636" s="237">
        <v>90</v>
      </c>
      <c r="F1636" s="242" t="s">
        <v>552</v>
      </c>
      <c r="G1636" s="239" t="s">
        <v>930</v>
      </c>
      <c r="H1636" s="240">
        <f t="shared" si="25"/>
        <v>32919</v>
      </c>
      <c r="I1636" s="241"/>
      <c r="J1636" s="221" t="b">
        <f>EXACT(E1637,[1]Main!E1637)</f>
        <v>1</v>
      </c>
    </row>
    <row r="1637" spans="1:10" x14ac:dyDescent="0.25">
      <c r="A1637" s="249">
        <v>45127</v>
      </c>
      <c r="B1637" s="237"/>
      <c r="C1637" s="238"/>
      <c r="D1637" s="349"/>
      <c r="E1637" s="237">
        <v>200</v>
      </c>
      <c r="F1637" s="242" t="s">
        <v>86</v>
      </c>
      <c r="G1637" s="239" t="s">
        <v>930</v>
      </c>
      <c r="H1637" s="240">
        <f t="shared" si="25"/>
        <v>32719</v>
      </c>
      <c r="I1637" s="241"/>
      <c r="J1637" s="221" t="b">
        <f>EXACT(E1638,[1]Main!E1638)</f>
        <v>1</v>
      </c>
    </row>
    <row r="1638" spans="1:10" x14ac:dyDescent="0.25">
      <c r="A1638" s="249">
        <v>45127</v>
      </c>
      <c r="B1638" s="237"/>
      <c r="C1638" s="238"/>
      <c r="D1638" s="349"/>
      <c r="E1638" s="237">
        <v>85</v>
      </c>
      <c r="F1638" s="242" t="s">
        <v>32</v>
      </c>
      <c r="G1638" s="239" t="s">
        <v>930</v>
      </c>
      <c r="H1638" s="240">
        <f t="shared" si="25"/>
        <v>32634</v>
      </c>
      <c r="I1638" s="241"/>
      <c r="J1638" s="221" t="b">
        <f>EXACT(E1639,[1]Main!E1639)</f>
        <v>1</v>
      </c>
    </row>
    <row r="1639" spans="1:10" x14ac:dyDescent="0.25">
      <c r="A1639" s="249">
        <v>45127</v>
      </c>
      <c r="B1639" s="237"/>
      <c r="C1639" s="238"/>
      <c r="D1639" s="349"/>
      <c r="E1639" s="237">
        <v>34</v>
      </c>
      <c r="F1639" s="242" t="s">
        <v>212</v>
      </c>
      <c r="G1639" s="239" t="s">
        <v>464</v>
      </c>
      <c r="H1639" s="240">
        <f t="shared" si="25"/>
        <v>32600</v>
      </c>
      <c r="I1639" s="241"/>
      <c r="J1639" s="221" t="b">
        <f>EXACT(E1640,[1]Main!E1640)</f>
        <v>1</v>
      </c>
    </row>
    <row r="1640" spans="1:10" x14ac:dyDescent="0.25">
      <c r="A1640" s="350">
        <v>45127</v>
      </c>
      <c r="B1640" s="351"/>
      <c r="C1640" s="352"/>
      <c r="D1640" s="352"/>
      <c r="E1640" s="351">
        <v>2075</v>
      </c>
      <c r="F1640" s="353" t="s">
        <v>803</v>
      </c>
      <c r="G1640" s="354" t="s">
        <v>928</v>
      </c>
      <c r="H1640" s="240">
        <f t="shared" si="25"/>
        <v>30525</v>
      </c>
      <c r="I1640" s="355" t="s">
        <v>869</v>
      </c>
      <c r="J1640" s="221" t="b">
        <f>EXACT(E1641,[1]Main!E1641)</f>
        <v>1</v>
      </c>
    </row>
    <row r="1641" spans="1:10" x14ac:dyDescent="0.25">
      <c r="A1641" s="249">
        <v>45128</v>
      </c>
      <c r="B1641" s="237">
        <v>1300</v>
      </c>
      <c r="C1641" s="238" t="s">
        <v>1253</v>
      </c>
      <c r="D1641" s="349" t="s">
        <v>763</v>
      </c>
      <c r="E1641" s="237">
        <v>2000</v>
      </c>
      <c r="F1641" s="242" t="s">
        <v>905</v>
      </c>
      <c r="G1641" s="239" t="s">
        <v>928</v>
      </c>
      <c r="H1641" s="240">
        <f t="shared" si="25"/>
        <v>29825</v>
      </c>
      <c r="I1641" s="241" t="s">
        <v>1254</v>
      </c>
      <c r="J1641" s="221" t="b">
        <f>EXACT(E1642,[1]Main!E1642)</f>
        <v>1</v>
      </c>
    </row>
    <row r="1642" spans="1:10" x14ac:dyDescent="0.25">
      <c r="A1642" s="249">
        <v>45128</v>
      </c>
      <c r="B1642" s="237">
        <v>1010</v>
      </c>
      <c r="C1642" s="238" t="s">
        <v>27</v>
      </c>
      <c r="D1642" s="349" t="s">
        <v>772</v>
      </c>
      <c r="E1642" s="237">
        <v>1140</v>
      </c>
      <c r="F1642" s="242" t="s">
        <v>12</v>
      </c>
      <c r="G1642" s="239" t="s">
        <v>974</v>
      </c>
      <c r="H1642" s="240">
        <f t="shared" si="25"/>
        <v>29695</v>
      </c>
      <c r="I1642" s="241"/>
      <c r="J1642" s="221" t="b">
        <f>EXACT(E1643,[1]Main!E1643)</f>
        <v>1</v>
      </c>
    </row>
    <row r="1643" spans="1:10" x14ac:dyDescent="0.25">
      <c r="A1643" s="249">
        <v>45128</v>
      </c>
      <c r="B1643" s="237">
        <v>505</v>
      </c>
      <c r="C1643" s="238" t="s">
        <v>27</v>
      </c>
      <c r="D1643" s="349" t="s">
        <v>772</v>
      </c>
      <c r="E1643" s="237">
        <v>1050</v>
      </c>
      <c r="F1643" s="242" t="s">
        <v>1255</v>
      </c>
      <c r="G1643" s="239" t="s">
        <v>464</v>
      </c>
      <c r="H1643" s="240">
        <f t="shared" si="25"/>
        <v>29150</v>
      </c>
      <c r="I1643" s="241" t="s">
        <v>1256</v>
      </c>
      <c r="J1643" s="221" t="b">
        <f>EXACT(E1644,[1]Main!E1644)</f>
        <v>1</v>
      </c>
    </row>
    <row r="1644" spans="1:10" x14ac:dyDescent="0.25">
      <c r="A1644" s="249">
        <v>45128</v>
      </c>
      <c r="B1644" s="237">
        <v>1155</v>
      </c>
      <c r="C1644" s="238" t="s">
        <v>27</v>
      </c>
      <c r="D1644" s="349" t="s">
        <v>772</v>
      </c>
      <c r="E1644" s="237">
        <v>21</v>
      </c>
      <c r="F1644" s="242" t="s">
        <v>31</v>
      </c>
      <c r="G1644" s="239" t="s">
        <v>931</v>
      </c>
      <c r="H1644" s="240">
        <f t="shared" si="25"/>
        <v>30284</v>
      </c>
      <c r="I1644" s="241" t="s">
        <v>1461</v>
      </c>
      <c r="J1644" s="221" t="b">
        <f>EXACT(E1645,[1]Main!E1645)</f>
        <v>1</v>
      </c>
    </row>
    <row r="1645" spans="1:10" x14ac:dyDescent="0.25">
      <c r="A1645" s="249">
        <v>45128</v>
      </c>
      <c r="B1645" s="237">
        <v>11521</v>
      </c>
      <c r="C1645" s="238" t="s">
        <v>363</v>
      </c>
      <c r="D1645" s="349" t="s">
        <v>763</v>
      </c>
      <c r="E1645" s="237">
        <v>360</v>
      </c>
      <c r="F1645" s="242" t="s">
        <v>1258</v>
      </c>
      <c r="G1645" s="239" t="s">
        <v>935</v>
      </c>
      <c r="H1645" s="240">
        <f t="shared" si="25"/>
        <v>41445</v>
      </c>
      <c r="I1645" s="241"/>
      <c r="J1645" s="221" t="b">
        <f>EXACT(E1646,[1]Main!E1646)</f>
        <v>1</v>
      </c>
    </row>
    <row r="1646" spans="1:10" x14ac:dyDescent="0.25">
      <c r="A1646" s="249">
        <v>45128</v>
      </c>
      <c r="B1646" s="237">
        <v>600</v>
      </c>
      <c r="C1646" s="238" t="s">
        <v>913</v>
      </c>
      <c r="D1646" s="349" t="s">
        <v>765</v>
      </c>
      <c r="E1646" s="237">
        <v>115</v>
      </c>
      <c r="F1646" s="242" t="s">
        <v>1259</v>
      </c>
      <c r="G1646" s="239" t="s">
        <v>930</v>
      </c>
      <c r="H1646" s="240">
        <f t="shared" si="25"/>
        <v>41930</v>
      </c>
      <c r="I1646" s="241"/>
      <c r="J1646" s="221" t="b">
        <f>EXACT(E1647,[1]Main!E1647)</f>
        <v>1</v>
      </c>
    </row>
    <row r="1647" spans="1:10" x14ac:dyDescent="0.25">
      <c r="A1647" s="249">
        <v>45128</v>
      </c>
      <c r="B1647" s="237">
        <v>18608</v>
      </c>
      <c r="C1647" s="238" t="s">
        <v>762</v>
      </c>
      <c r="D1647" s="349" t="s">
        <v>763</v>
      </c>
      <c r="E1647" s="237">
        <v>200</v>
      </c>
      <c r="F1647" s="242" t="s">
        <v>1260</v>
      </c>
      <c r="G1647" s="239" t="s">
        <v>974</v>
      </c>
      <c r="H1647" s="240">
        <f t="shared" si="25"/>
        <v>60338</v>
      </c>
      <c r="I1647" s="241"/>
      <c r="J1647" s="221" t="b">
        <f>EXACT(E1648,[1]Main!E1648)</f>
        <v>1</v>
      </c>
    </row>
    <row r="1648" spans="1:10" x14ac:dyDescent="0.25">
      <c r="A1648" s="249">
        <v>45128</v>
      </c>
      <c r="B1648" s="237">
        <f>1255</f>
        <v>1255</v>
      </c>
      <c r="C1648" s="238" t="s">
        <v>1261</v>
      </c>
      <c r="D1648" s="349" t="s">
        <v>765</v>
      </c>
      <c r="E1648" s="237">
        <v>1000</v>
      </c>
      <c r="F1648" s="242" t="s">
        <v>127</v>
      </c>
      <c r="G1648" s="239" t="s">
        <v>938</v>
      </c>
      <c r="H1648" s="240">
        <f t="shared" si="25"/>
        <v>60593</v>
      </c>
      <c r="I1648" s="241"/>
      <c r="J1648" s="221" t="b">
        <f>EXACT(E1649,[1]Main!E1649)</f>
        <v>1</v>
      </c>
    </row>
    <row r="1649" spans="1:10" x14ac:dyDescent="0.25">
      <c r="A1649" s="249">
        <v>45128</v>
      </c>
      <c r="B1649" s="237">
        <v>205</v>
      </c>
      <c r="C1649" s="238" t="s">
        <v>27</v>
      </c>
      <c r="D1649" s="349" t="s">
        <v>772</v>
      </c>
      <c r="E1649" s="237">
        <v>115</v>
      </c>
      <c r="F1649" s="242" t="s">
        <v>964</v>
      </c>
      <c r="G1649" s="239" t="s">
        <v>930</v>
      </c>
      <c r="H1649" s="240">
        <f t="shared" si="25"/>
        <v>60683</v>
      </c>
      <c r="I1649" s="241"/>
      <c r="J1649" s="221" t="b">
        <f>EXACT(E1650,[1]Main!E1650)</f>
        <v>1</v>
      </c>
    </row>
    <row r="1650" spans="1:10" x14ac:dyDescent="0.25">
      <c r="A1650" s="249">
        <v>45128</v>
      </c>
      <c r="B1650" s="237">
        <v>1680</v>
      </c>
      <c r="C1650" s="238" t="s">
        <v>820</v>
      </c>
      <c r="D1650" s="349" t="s">
        <v>766</v>
      </c>
      <c r="E1650" s="237">
        <v>75</v>
      </c>
      <c r="F1650" s="242" t="s">
        <v>13</v>
      </c>
      <c r="G1650" s="239" t="s">
        <v>930</v>
      </c>
      <c r="H1650" s="240">
        <f t="shared" si="25"/>
        <v>62288</v>
      </c>
      <c r="I1650" s="241"/>
      <c r="J1650" s="221" t="b">
        <f>EXACT(E1651,[1]Main!E1651)</f>
        <v>1</v>
      </c>
    </row>
    <row r="1651" spans="1:10" x14ac:dyDescent="0.25">
      <c r="A1651" s="249">
        <v>45128</v>
      </c>
      <c r="B1651" s="237">
        <v>17606</v>
      </c>
      <c r="C1651" s="238" t="s">
        <v>88</v>
      </c>
      <c r="D1651" s="349" t="s">
        <v>766</v>
      </c>
      <c r="E1651" s="237">
        <v>400</v>
      </c>
      <c r="F1651" s="242" t="s">
        <v>1262</v>
      </c>
      <c r="G1651" s="239" t="s">
        <v>464</v>
      </c>
      <c r="H1651" s="240">
        <f t="shared" si="25"/>
        <v>79494</v>
      </c>
      <c r="I1651" s="241"/>
      <c r="J1651" s="221" t="b">
        <f>EXACT(E1652,[1]Main!E1652)</f>
        <v>1</v>
      </c>
    </row>
    <row r="1652" spans="1:10" x14ac:dyDescent="0.25">
      <c r="A1652" s="249">
        <v>45128</v>
      </c>
      <c r="B1652" s="237">
        <v>1120</v>
      </c>
      <c r="C1652" s="238" t="s">
        <v>1263</v>
      </c>
      <c r="D1652" s="349" t="s">
        <v>768</v>
      </c>
      <c r="E1652" s="237">
        <v>100</v>
      </c>
      <c r="F1652" s="242" t="s">
        <v>1264</v>
      </c>
      <c r="G1652" s="239" t="s">
        <v>930</v>
      </c>
      <c r="H1652" s="240">
        <f t="shared" si="25"/>
        <v>80514</v>
      </c>
      <c r="I1652" s="241"/>
      <c r="J1652" s="221" t="b">
        <f>EXACT(E1653,[1]Main!E1653)</f>
        <v>1</v>
      </c>
    </row>
    <row r="1653" spans="1:10" x14ac:dyDescent="0.25">
      <c r="A1653" s="249">
        <v>45128</v>
      </c>
      <c r="B1653" s="237">
        <v>85</v>
      </c>
      <c r="C1653" s="238" t="s">
        <v>27</v>
      </c>
      <c r="D1653" s="349" t="s">
        <v>772</v>
      </c>
      <c r="E1653" s="237">
        <v>50</v>
      </c>
      <c r="F1653" s="242" t="s">
        <v>127</v>
      </c>
      <c r="G1653" s="239" t="s">
        <v>938</v>
      </c>
      <c r="H1653" s="240">
        <f t="shared" si="25"/>
        <v>80549</v>
      </c>
      <c r="I1653" s="241"/>
      <c r="J1653" s="221" t="b">
        <f>EXACT(E1654,[1]Main!E1654)</f>
        <v>1</v>
      </c>
    </row>
    <row r="1654" spans="1:10" x14ac:dyDescent="0.25">
      <c r="A1654" s="249">
        <v>45128</v>
      </c>
      <c r="B1654" s="237">
        <v>415</v>
      </c>
      <c r="C1654" s="238" t="s">
        <v>27</v>
      </c>
      <c r="D1654" s="349" t="s">
        <v>772</v>
      </c>
      <c r="E1654" s="237">
        <v>110</v>
      </c>
      <c r="F1654" s="242" t="s">
        <v>1242</v>
      </c>
      <c r="G1654" s="239" t="s">
        <v>930</v>
      </c>
      <c r="H1654" s="240">
        <f t="shared" si="25"/>
        <v>80854</v>
      </c>
      <c r="I1654" s="241"/>
      <c r="J1654" s="221" t="b">
        <f>EXACT(E1655,[1]Main!E1655)</f>
        <v>1</v>
      </c>
    </row>
    <row r="1655" spans="1:10" x14ac:dyDescent="0.25">
      <c r="A1655" s="249">
        <v>45128</v>
      </c>
      <c r="B1655" s="237">
        <v>2600</v>
      </c>
      <c r="C1655" s="238" t="s">
        <v>1265</v>
      </c>
      <c r="D1655" s="349" t="s">
        <v>763</v>
      </c>
      <c r="E1655" s="237">
        <v>25</v>
      </c>
      <c r="F1655" s="242" t="s">
        <v>126</v>
      </c>
      <c r="G1655" s="239" t="s">
        <v>945</v>
      </c>
      <c r="H1655" s="240">
        <f t="shared" si="25"/>
        <v>83429</v>
      </c>
      <c r="I1655" s="241"/>
      <c r="J1655" s="221" t="b">
        <f>EXACT(E1656,[1]Main!E1656)</f>
        <v>1</v>
      </c>
    </row>
    <row r="1656" spans="1:10" x14ac:dyDescent="0.25">
      <c r="A1656" s="249">
        <v>45128</v>
      </c>
      <c r="B1656" s="237">
        <v>3130</v>
      </c>
      <c r="C1656" s="238" t="s">
        <v>27</v>
      </c>
      <c r="D1656" s="349" t="s">
        <v>772</v>
      </c>
      <c r="E1656" s="237">
        <v>225</v>
      </c>
      <c r="F1656" s="242" t="s">
        <v>1109</v>
      </c>
      <c r="G1656" s="239" t="s">
        <v>931</v>
      </c>
      <c r="H1656" s="240">
        <f t="shared" si="25"/>
        <v>86334</v>
      </c>
      <c r="I1656" s="241"/>
      <c r="J1656" s="221" t="b">
        <f>EXACT(E1657,[1]Main!E1657)</f>
        <v>1</v>
      </c>
    </row>
    <row r="1657" spans="1:10" x14ac:dyDescent="0.25">
      <c r="A1657" s="249">
        <v>45128</v>
      </c>
      <c r="B1657" s="237">
        <v>18924</v>
      </c>
      <c r="C1657" s="238" t="s">
        <v>1076</v>
      </c>
      <c r="D1657" s="349" t="s">
        <v>763</v>
      </c>
      <c r="E1657" s="237">
        <v>15</v>
      </c>
      <c r="F1657" s="242" t="s">
        <v>1266</v>
      </c>
      <c r="G1657" s="239" t="s">
        <v>931</v>
      </c>
      <c r="H1657" s="240">
        <f t="shared" si="25"/>
        <v>105243</v>
      </c>
      <c r="I1657" s="241"/>
      <c r="J1657" s="221" t="b">
        <f>EXACT(E1658,[1]Main!E1658)</f>
        <v>1</v>
      </c>
    </row>
    <row r="1658" spans="1:10" x14ac:dyDescent="0.25">
      <c r="A1658" s="249">
        <v>45128</v>
      </c>
      <c r="B1658" s="237">
        <v>1675</v>
      </c>
      <c r="C1658" s="238" t="s">
        <v>979</v>
      </c>
      <c r="D1658" s="349" t="s">
        <v>772</v>
      </c>
      <c r="E1658" s="237">
        <v>60</v>
      </c>
      <c r="F1658" s="242" t="s">
        <v>1267</v>
      </c>
      <c r="G1658" s="239" t="s">
        <v>931</v>
      </c>
      <c r="H1658" s="240">
        <f t="shared" si="25"/>
        <v>106858</v>
      </c>
      <c r="I1658" s="241"/>
      <c r="J1658" s="221" t="b">
        <f>EXACT(E1659,[1]Main!E1659)</f>
        <v>1</v>
      </c>
    </row>
    <row r="1659" spans="1:10" x14ac:dyDescent="0.25">
      <c r="A1659" s="249">
        <v>45128</v>
      </c>
      <c r="B1659" s="237">
        <v>1020</v>
      </c>
      <c r="C1659" s="238" t="s">
        <v>1268</v>
      </c>
      <c r="D1659" s="349" t="s">
        <v>763</v>
      </c>
      <c r="E1659" s="237">
        <v>10</v>
      </c>
      <c r="F1659" s="242" t="s">
        <v>1462</v>
      </c>
      <c r="G1659" s="239" t="s">
        <v>931</v>
      </c>
      <c r="H1659" s="240">
        <f t="shared" si="25"/>
        <v>107868</v>
      </c>
      <c r="I1659" s="241" t="s">
        <v>33</v>
      </c>
      <c r="J1659" s="221" t="b">
        <f>EXACT(E1660,[1]Main!E1660)</f>
        <v>1</v>
      </c>
    </row>
    <row r="1660" spans="1:10" x14ac:dyDescent="0.25">
      <c r="A1660" s="249">
        <v>45128</v>
      </c>
      <c r="B1660" s="237"/>
      <c r="C1660" s="238"/>
      <c r="D1660" s="349"/>
      <c r="E1660" s="237">
        <v>250</v>
      </c>
      <c r="F1660" s="242" t="s">
        <v>1270</v>
      </c>
      <c r="G1660" s="239" t="s">
        <v>930</v>
      </c>
      <c r="H1660" s="240">
        <f t="shared" si="25"/>
        <v>107618</v>
      </c>
      <c r="I1660" s="241"/>
      <c r="J1660" s="221" t="b">
        <f>EXACT(E1661,[1]Main!E1661)</f>
        <v>1</v>
      </c>
    </row>
    <row r="1661" spans="1:10" x14ac:dyDescent="0.25">
      <c r="A1661" s="249">
        <v>45128</v>
      </c>
      <c r="B1661" s="237"/>
      <c r="C1661" s="238"/>
      <c r="D1661" s="349"/>
      <c r="E1661" s="237">
        <v>120</v>
      </c>
      <c r="F1661" s="242" t="s">
        <v>1079</v>
      </c>
      <c r="G1661" s="239" t="s">
        <v>930</v>
      </c>
      <c r="H1661" s="240">
        <f t="shared" si="25"/>
        <v>107498</v>
      </c>
      <c r="I1661" s="241"/>
      <c r="J1661" s="221" t="b">
        <f>EXACT(E1662,[1]Main!E1662)</f>
        <v>1</v>
      </c>
    </row>
    <row r="1662" spans="1:10" x14ac:dyDescent="0.25">
      <c r="A1662" s="249">
        <v>45128</v>
      </c>
      <c r="B1662" s="237"/>
      <c r="C1662" s="238"/>
      <c r="D1662" s="349"/>
      <c r="E1662" s="237">
        <v>190</v>
      </c>
      <c r="F1662" s="242" t="s">
        <v>1271</v>
      </c>
      <c r="G1662" s="239" t="s">
        <v>930</v>
      </c>
      <c r="H1662" s="240">
        <f t="shared" si="25"/>
        <v>107308</v>
      </c>
      <c r="I1662" s="241"/>
      <c r="J1662" s="221" t="b">
        <f>EXACT(E1663,[1]Main!E1663)</f>
        <v>1</v>
      </c>
    </row>
    <row r="1663" spans="1:10" x14ac:dyDescent="0.25">
      <c r="A1663" s="249">
        <v>45128</v>
      </c>
      <c r="B1663" s="237"/>
      <c r="C1663" s="238"/>
      <c r="D1663" s="349"/>
      <c r="E1663" s="237">
        <v>93</v>
      </c>
      <c r="F1663" s="242" t="s">
        <v>1272</v>
      </c>
      <c r="G1663" s="239" t="s">
        <v>945</v>
      </c>
      <c r="H1663" s="240">
        <f t="shared" si="25"/>
        <v>107215</v>
      </c>
      <c r="I1663" s="241"/>
      <c r="J1663" s="221" t="b">
        <f>EXACT(E1664,[1]Main!E1664)</f>
        <v>1</v>
      </c>
    </row>
    <row r="1664" spans="1:10" x14ac:dyDescent="0.25">
      <c r="A1664" s="249">
        <v>45128</v>
      </c>
      <c r="B1664" s="237"/>
      <c r="C1664" s="238"/>
      <c r="D1664" s="349"/>
      <c r="E1664" s="237">
        <v>1980</v>
      </c>
      <c r="F1664" s="242" t="s">
        <v>27</v>
      </c>
      <c r="G1664" s="239" t="s">
        <v>943</v>
      </c>
      <c r="H1664" s="240">
        <f t="shared" si="25"/>
        <v>105235</v>
      </c>
      <c r="I1664" s="241"/>
      <c r="J1664" s="221" t="b">
        <f>EXACT(E1665,[1]Main!E1665)</f>
        <v>1</v>
      </c>
    </row>
    <row r="1665" spans="1:10" x14ac:dyDescent="0.25">
      <c r="A1665" s="249">
        <v>45128</v>
      </c>
      <c r="B1665" s="237"/>
      <c r="C1665" s="238"/>
      <c r="D1665" s="349"/>
      <c r="E1665" s="237">
        <v>50</v>
      </c>
      <c r="F1665" s="242" t="s">
        <v>1273</v>
      </c>
      <c r="G1665" s="239" t="s">
        <v>464</v>
      </c>
      <c r="H1665" s="240">
        <f t="shared" si="25"/>
        <v>105185</v>
      </c>
      <c r="I1665" s="241"/>
      <c r="J1665" s="221" t="b">
        <f>EXACT(E1666,[1]Main!E1666)</f>
        <v>1</v>
      </c>
    </row>
    <row r="1666" spans="1:10" x14ac:dyDescent="0.25">
      <c r="A1666" s="249">
        <v>45128</v>
      </c>
      <c r="B1666" s="237"/>
      <c r="C1666" s="238"/>
      <c r="D1666" s="349"/>
      <c r="E1666" s="237">
        <v>595</v>
      </c>
      <c r="F1666" s="242" t="s">
        <v>27</v>
      </c>
      <c r="G1666" s="239" t="s">
        <v>943</v>
      </c>
      <c r="H1666" s="240">
        <f t="shared" si="25"/>
        <v>104590</v>
      </c>
      <c r="I1666" s="241"/>
      <c r="J1666" s="221" t="b">
        <f>EXACT(E1667,[1]Main!E1667)</f>
        <v>1</v>
      </c>
    </row>
    <row r="1667" spans="1:10" x14ac:dyDescent="0.25">
      <c r="A1667" s="249">
        <v>45128</v>
      </c>
      <c r="B1667" s="237"/>
      <c r="C1667" s="238"/>
      <c r="D1667" s="349"/>
      <c r="E1667" s="237">
        <v>220</v>
      </c>
      <c r="F1667" s="242" t="s">
        <v>1274</v>
      </c>
      <c r="G1667" s="239" t="s">
        <v>930</v>
      </c>
      <c r="H1667" s="240">
        <f t="shared" si="25"/>
        <v>104370</v>
      </c>
      <c r="I1667" s="241"/>
      <c r="J1667" s="221" t="b">
        <f>EXACT(E1668,[1]Main!E1668)</f>
        <v>1</v>
      </c>
    </row>
    <row r="1668" spans="1:10" x14ac:dyDescent="0.25">
      <c r="A1668" s="249">
        <v>45128</v>
      </c>
      <c r="B1668" s="237"/>
      <c r="C1668" s="238"/>
      <c r="D1668" s="349"/>
      <c r="E1668" s="237">
        <v>2550</v>
      </c>
      <c r="F1668" s="242" t="s">
        <v>1275</v>
      </c>
      <c r="G1668" s="239" t="s">
        <v>928</v>
      </c>
      <c r="H1668" s="240">
        <f t="shared" si="25"/>
        <v>101820</v>
      </c>
      <c r="I1668" s="241" t="s">
        <v>1276</v>
      </c>
      <c r="J1668" s="221" t="b">
        <f>EXACT(E1669,[1]Main!E1669)</f>
        <v>1</v>
      </c>
    </row>
    <row r="1669" spans="1:10" x14ac:dyDescent="0.25">
      <c r="A1669" s="249">
        <v>45128</v>
      </c>
      <c r="B1669" s="237"/>
      <c r="C1669" s="238"/>
      <c r="D1669" s="349"/>
      <c r="E1669" s="237">
        <v>75</v>
      </c>
      <c r="F1669" s="242" t="s">
        <v>799</v>
      </c>
      <c r="G1669" s="239" t="s">
        <v>930</v>
      </c>
      <c r="H1669" s="240">
        <f t="shared" si="25"/>
        <v>101745</v>
      </c>
      <c r="I1669" s="241"/>
      <c r="J1669" s="221" t="b">
        <f>EXACT(E1670,[1]Main!E1670)</f>
        <v>1</v>
      </c>
    </row>
    <row r="1670" spans="1:10" x14ac:dyDescent="0.25">
      <c r="A1670" s="249">
        <v>45128</v>
      </c>
      <c r="B1670" s="237"/>
      <c r="C1670" s="238"/>
      <c r="D1670" s="349"/>
      <c r="E1670" s="237">
        <v>420</v>
      </c>
      <c r="F1670" s="242" t="s">
        <v>127</v>
      </c>
      <c r="G1670" s="239" t="s">
        <v>938</v>
      </c>
      <c r="H1670" s="240">
        <f t="shared" si="25"/>
        <v>101325</v>
      </c>
      <c r="I1670" s="241"/>
      <c r="J1670" s="221" t="b">
        <f>EXACT(E1671,[1]Main!E1671)</f>
        <v>1</v>
      </c>
    </row>
    <row r="1671" spans="1:10" x14ac:dyDescent="0.25">
      <c r="A1671" s="249">
        <v>45128</v>
      </c>
      <c r="B1671" s="237"/>
      <c r="C1671" s="238"/>
      <c r="D1671" s="349"/>
      <c r="E1671" s="237">
        <v>160</v>
      </c>
      <c r="F1671" s="242" t="s">
        <v>1277</v>
      </c>
      <c r="G1671" s="239" t="s">
        <v>935</v>
      </c>
      <c r="H1671" s="240">
        <f t="shared" ref="H1671:H1734" si="26">H1670+B1671-E1671</f>
        <v>101165</v>
      </c>
      <c r="I1671" s="241"/>
      <c r="J1671" s="221" t="b">
        <f>EXACT(E1672,[1]Main!E1672)</f>
        <v>1</v>
      </c>
    </row>
    <row r="1672" spans="1:10" x14ac:dyDescent="0.25">
      <c r="A1672" s="249">
        <v>45128</v>
      </c>
      <c r="B1672" s="237"/>
      <c r="C1672" s="238"/>
      <c r="D1672" s="349"/>
      <c r="E1672" s="237">
        <v>95</v>
      </c>
      <c r="F1672" s="242" t="s">
        <v>1278</v>
      </c>
      <c r="G1672" s="239" t="s">
        <v>930</v>
      </c>
      <c r="H1672" s="240">
        <f t="shared" si="26"/>
        <v>101070</v>
      </c>
      <c r="I1672" s="241"/>
      <c r="J1672" s="221" t="b">
        <f>EXACT(E1673,[1]Main!E1673)</f>
        <v>1</v>
      </c>
    </row>
    <row r="1673" spans="1:10" x14ac:dyDescent="0.25">
      <c r="A1673" s="249">
        <v>45128</v>
      </c>
      <c r="B1673" s="237"/>
      <c r="C1673" s="238"/>
      <c r="D1673" s="349"/>
      <c r="E1673" s="237">
        <v>11</v>
      </c>
      <c r="F1673" s="242" t="s">
        <v>1279</v>
      </c>
      <c r="G1673" s="239" t="s">
        <v>464</v>
      </c>
      <c r="H1673" s="240">
        <f t="shared" si="26"/>
        <v>101059</v>
      </c>
      <c r="I1673" s="241"/>
      <c r="J1673" s="221" t="b">
        <f>EXACT(E1674,[1]Main!E1674)</f>
        <v>1</v>
      </c>
    </row>
    <row r="1674" spans="1:10" x14ac:dyDescent="0.25">
      <c r="A1674" s="249">
        <v>45128</v>
      </c>
      <c r="B1674" s="237"/>
      <c r="C1674" s="238"/>
      <c r="D1674" s="349"/>
      <c r="E1674" s="237">
        <v>1000</v>
      </c>
      <c r="F1674" s="242" t="s">
        <v>1280</v>
      </c>
      <c r="G1674" s="239" t="s">
        <v>942</v>
      </c>
      <c r="H1674" s="240">
        <f t="shared" si="26"/>
        <v>100059</v>
      </c>
      <c r="I1674" s="241"/>
      <c r="J1674" s="221" t="b">
        <f>EXACT(E1675,[1]Main!E1675)</f>
        <v>1</v>
      </c>
    </row>
    <row r="1675" spans="1:10" x14ac:dyDescent="0.25">
      <c r="A1675" s="249">
        <v>45128</v>
      </c>
      <c r="B1675" s="237"/>
      <c r="C1675" s="238"/>
      <c r="D1675" s="349"/>
      <c r="E1675" s="237">
        <v>105</v>
      </c>
      <c r="F1675" s="242" t="s">
        <v>1281</v>
      </c>
      <c r="G1675" s="239" t="s">
        <v>931</v>
      </c>
      <c r="H1675" s="240">
        <f t="shared" si="26"/>
        <v>99954</v>
      </c>
      <c r="I1675" s="241"/>
      <c r="J1675" s="221" t="b">
        <f>EXACT(E1676,[1]Main!E1676)</f>
        <v>1</v>
      </c>
    </row>
    <row r="1676" spans="1:10" x14ac:dyDescent="0.25">
      <c r="A1676" s="249">
        <v>45128</v>
      </c>
      <c r="B1676" s="237"/>
      <c r="C1676" s="238"/>
      <c r="D1676" s="349"/>
      <c r="E1676" s="237">
        <v>180</v>
      </c>
      <c r="F1676" s="242" t="s">
        <v>1282</v>
      </c>
      <c r="G1676" s="239" t="s">
        <v>930</v>
      </c>
      <c r="H1676" s="240">
        <f t="shared" si="26"/>
        <v>99774</v>
      </c>
      <c r="I1676" s="241"/>
      <c r="J1676" s="221" t="b">
        <f>EXACT(E1677,[1]Main!E1677)</f>
        <v>1</v>
      </c>
    </row>
    <row r="1677" spans="1:10" x14ac:dyDescent="0.25">
      <c r="A1677" s="249">
        <v>45128</v>
      </c>
      <c r="B1677" s="237"/>
      <c r="C1677" s="238"/>
      <c r="D1677" s="349"/>
      <c r="E1677" s="237">
        <v>50</v>
      </c>
      <c r="F1677" s="242" t="s">
        <v>1283</v>
      </c>
      <c r="G1677" s="239" t="s">
        <v>464</v>
      </c>
      <c r="H1677" s="240">
        <f t="shared" si="26"/>
        <v>99724</v>
      </c>
      <c r="I1677" s="241"/>
      <c r="J1677" s="221" t="b">
        <f>EXACT(E1678,[1]Main!E1678)</f>
        <v>1</v>
      </c>
    </row>
    <row r="1678" spans="1:10" x14ac:dyDescent="0.25">
      <c r="A1678" s="249">
        <v>45128</v>
      </c>
      <c r="B1678" s="237"/>
      <c r="C1678" s="238"/>
      <c r="D1678" s="349"/>
      <c r="E1678" s="237">
        <v>5700</v>
      </c>
      <c r="F1678" s="242" t="s">
        <v>1284</v>
      </c>
      <c r="G1678" s="239" t="s">
        <v>464</v>
      </c>
      <c r="H1678" s="240">
        <f t="shared" si="26"/>
        <v>94024</v>
      </c>
      <c r="I1678" s="241"/>
      <c r="J1678" s="221" t="b">
        <f>EXACT(E1679,[1]Main!E1679)</f>
        <v>1</v>
      </c>
    </row>
    <row r="1679" spans="1:10" x14ac:dyDescent="0.25">
      <c r="A1679" s="249">
        <v>45128</v>
      </c>
      <c r="B1679" s="237"/>
      <c r="C1679" s="238"/>
      <c r="D1679" s="349"/>
      <c r="E1679" s="237">
        <v>345</v>
      </c>
      <c r="F1679" s="242" t="s">
        <v>610</v>
      </c>
      <c r="G1679" s="239" t="s">
        <v>942</v>
      </c>
      <c r="H1679" s="240">
        <f t="shared" si="26"/>
        <v>93679</v>
      </c>
      <c r="I1679" s="241"/>
      <c r="J1679" s="221" t="b">
        <f>EXACT(E1680,[1]Main!E1680)</f>
        <v>1</v>
      </c>
    </row>
    <row r="1680" spans="1:10" x14ac:dyDescent="0.25">
      <c r="A1680" s="249">
        <v>45128</v>
      </c>
      <c r="B1680" s="237"/>
      <c r="C1680" s="238"/>
      <c r="D1680" s="349"/>
      <c r="E1680" s="237">
        <v>2000</v>
      </c>
      <c r="F1680" s="242" t="s">
        <v>1285</v>
      </c>
      <c r="G1680" s="239" t="s">
        <v>938</v>
      </c>
      <c r="H1680" s="240">
        <f t="shared" si="26"/>
        <v>91679</v>
      </c>
      <c r="I1680" s="241"/>
      <c r="J1680" s="221" t="b">
        <f>EXACT(E1681,[1]Main!E1681)</f>
        <v>1</v>
      </c>
    </row>
    <row r="1681" spans="1:10" x14ac:dyDescent="0.25">
      <c r="A1681" s="249">
        <v>45128</v>
      </c>
      <c r="B1681" s="237"/>
      <c r="C1681" s="238"/>
      <c r="D1681" s="349"/>
      <c r="E1681" s="237">
        <v>500</v>
      </c>
      <c r="F1681" s="242" t="s">
        <v>610</v>
      </c>
      <c r="G1681" s="239" t="s">
        <v>942</v>
      </c>
      <c r="H1681" s="240">
        <f t="shared" si="26"/>
        <v>91179</v>
      </c>
      <c r="I1681" s="241"/>
      <c r="J1681" s="221" t="b">
        <f>EXACT(E1682,[1]Main!E1682)</f>
        <v>1</v>
      </c>
    </row>
    <row r="1682" spans="1:10" x14ac:dyDescent="0.25">
      <c r="A1682" s="249">
        <v>45128</v>
      </c>
      <c r="B1682" s="237"/>
      <c r="C1682" s="238"/>
      <c r="D1682" s="349"/>
      <c r="E1682" s="237">
        <v>3000</v>
      </c>
      <c r="F1682" s="242" t="s">
        <v>973</v>
      </c>
      <c r="G1682" s="239" t="s">
        <v>938</v>
      </c>
      <c r="H1682" s="240">
        <f t="shared" si="26"/>
        <v>88179</v>
      </c>
      <c r="I1682" s="241"/>
      <c r="J1682" s="221" t="b">
        <f>EXACT(E1683,[1]Main!E1683)</f>
        <v>1</v>
      </c>
    </row>
    <row r="1683" spans="1:10" x14ac:dyDescent="0.25">
      <c r="A1683" s="249">
        <v>45128</v>
      </c>
      <c r="B1683" s="237"/>
      <c r="C1683" s="238"/>
      <c r="D1683" s="349"/>
      <c r="E1683" s="237">
        <v>500</v>
      </c>
      <c r="F1683" s="242" t="s">
        <v>50</v>
      </c>
      <c r="G1683" s="239" t="s">
        <v>931</v>
      </c>
      <c r="H1683" s="240">
        <f t="shared" si="26"/>
        <v>87679</v>
      </c>
      <c r="I1683" s="241"/>
      <c r="J1683" s="221" t="b">
        <f>EXACT(E1684,[1]Main!E1684)</f>
        <v>1</v>
      </c>
    </row>
    <row r="1684" spans="1:10" x14ac:dyDescent="0.25">
      <c r="A1684" s="249">
        <v>45128</v>
      </c>
      <c r="B1684" s="237"/>
      <c r="C1684" s="238"/>
      <c r="D1684" s="349"/>
      <c r="E1684" s="237">
        <v>14</v>
      </c>
      <c r="F1684" s="242" t="s">
        <v>1286</v>
      </c>
      <c r="G1684" s="239" t="s">
        <v>464</v>
      </c>
      <c r="H1684" s="240">
        <f t="shared" si="26"/>
        <v>87665</v>
      </c>
      <c r="I1684" s="241"/>
      <c r="J1684" s="221" t="b">
        <f>EXACT(E1685,[1]Main!E1685)</f>
        <v>1</v>
      </c>
    </row>
    <row r="1685" spans="1:10" x14ac:dyDescent="0.25">
      <c r="A1685" s="249">
        <v>45128</v>
      </c>
      <c r="B1685" s="237"/>
      <c r="C1685" s="238"/>
      <c r="D1685" s="349"/>
      <c r="E1685" s="237">
        <v>180</v>
      </c>
      <c r="F1685" s="242" t="s">
        <v>1287</v>
      </c>
      <c r="G1685" s="239" t="s">
        <v>930</v>
      </c>
      <c r="H1685" s="240">
        <f t="shared" si="26"/>
        <v>87485</v>
      </c>
      <c r="I1685" s="241"/>
      <c r="J1685" s="221" t="b">
        <f>EXACT(E1686,[1]Main!E1686)</f>
        <v>1</v>
      </c>
    </row>
    <row r="1686" spans="1:10" x14ac:dyDescent="0.25">
      <c r="A1686" s="249">
        <v>45128</v>
      </c>
      <c r="B1686" s="237"/>
      <c r="C1686" s="238"/>
      <c r="D1686" s="349"/>
      <c r="E1686" s="237">
        <v>90</v>
      </c>
      <c r="F1686" s="242" t="s">
        <v>486</v>
      </c>
      <c r="G1686" s="239" t="s">
        <v>930</v>
      </c>
      <c r="H1686" s="240">
        <f t="shared" si="26"/>
        <v>87395</v>
      </c>
      <c r="I1686" s="241"/>
      <c r="J1686" s="221" t="b">
        <f>EXACT(E1687,[1]Main!E1687)</f>
        <v>1</v>
      </c>
    </row>
    <row r="1687" spans="1:10" x14ac:dyDescent="0.25">
      <c r="A1687" s="249">
        <v>45128</v>
      </c>
      <c r="B1687" s="237"/>
      <c r="C1687" s="238"/>
      <c r="D1687" s="349"/>
      <c r="E1687" s="237">
        <v>4635</v>
      </c>
      <c r="F1687" s="242" t="s">
        <v>1288</v>
      </c>
      <c r="G1687" s="239" t="s">
        <v>928</v>
      </c>
      <c r="H1687" s="240">
        <f t="shared" si="26"/>
        <v>82760</v>
      </c>
      <c r="I1687" s="241" t="s">
        <v>796</v>
      </c>
      <c r="J1687" s="221" t="b">
        <f>EXACT(E1688,[1]Main!E1688)</f>
        <v>1</v>
      </c>
    </row>
    <row r="1688" spans="1:10" x14ac:dyDescent="0.25">
      <c r="A1688" s="249">
        <v>45128</v>
      </c>
      <c r="B1688" s="237"/>
      <c r="C1688" s="238"/>
      <c r="D1688" s="349"/>
      <c r="E1688" s="237">
        <v>2005</v>
      </c>
      <c r="F1688" s="242" t="s">
        <v>1289</v>
      </c>
      <c r="G1688" s="239" t="s">
        <v>935</v>
      </c>
      <c r="H1688" s="240">
        <f t="shared" si="26"/>
        <v>80755</v>
      </c>
      <c r="I1688" s="241"/>
      <c r="J1688" s="221" t="b">
        <f>EXACT(E1689,[1]Main!E1689)</f>
        <v>1</v>
      </c>
    </row>
    <row r="1689" spans="1:10" x14ac:dyDescent="0.25">
      <c r="A1689" s="249">
        <v>45128</v>
      </c>
      <c r="B1689" s="237"/>
      <c r="C1689" s="238"/>
      <c r="D1689" s="349"/>
      <c r="E1689" s="237">
        <f>1600+2520</f>
        <v>4120</v>
      </c>
      <c r="F1689" s="242" t="s">
        <v>1290</v>
      </c>
      <c r="G1689" s="239" t="s">
        <v>960</v>
      </c>
      <c r="H1689" s="240">
        <f t="shared" si="26"/>
        <v>76635</v>
      </c>
      <c r="I1689" s="241" t="s">
        <v>796</v>
      </c>
      <c r="J1689" s="221" t="b">
        <f>EXACT(E1690,[1]Main!E1690)</f>
        <v>1</v>
      </c>
    </row>
    <row r="1690" spans="1:10" x14ac:dyDescent="0.25">
      <c r="A1690" s="249">
        <v>45128</v>
      </c>
      <c r="B1690" s="237"/>
      <c r="C1690" s="238"/>
      <c r="D1690" s="349"/>
      <c r="E1690" s="309"/>
      <c r="F1690" s="243"/>
      <c r="G1690" s="239"/>
      <c r="H1690" s="240">
        <f t="shared" si="26"/>
        <v>76635</v>
      </c>
      <c r="I1690" s="241"/>
      <c r="J1690" s="221" t="b">
        <f>EXACT(E1691,[1]Main!E1691)</f>
        <v>1</v>
      </c>
    </row>
    <row r="1691" spans="1:10" x14ac:dyDescent="0.25">
      <c r="A1691" s="350">
        <v>45128</v>
      </c>
      <c r="B1691" s="351"/>
      <c r="C1691" s="352"/>
      <c r="D1691" s="354"/>
      <c r="E1691" s="356"/>
      <c r="F1691" s="353"/>
      <c r="G1691" s="354"/>
      <c r="H1691" s="240">
        <f t="shared" si="26"/>
        <v>76635</v>
      </c>
      <c r="I1691" s="355"/>
      <c r="J1691" s="221" t="b">
        <f>EXACT(E1692,[1]Main!E1692)</f>
        <v>1</v>
      </c>
    </row>
    <row r="1692" spans="1:10" x14ac:dyDescent="0.25">
      <c r="A1692" s="249">
        <v>45129</v>
      </c>
      <c r="B1692" s="237">
        <v>17866</v>
      </c>
      <c r="C1692" s="238" t="s">
        <v>300</v>
      </c>
      <c r="D1692" s="349" t="s">
        <v>763</v>
      </c>
      <c r="E1692" s="237">
        <v>2850</v>
      </c>
      <c r="F1692" s="242" t="s">
        <v>470</v>
      </c>
      <c r="G1692" s="239" t="s">
        <v>928</v>
      </c>
      <c r="H1692" s="240">
        <f t="shared" si="26"/>
        <v>91651</v>
      </c>
      <c r="I1692" s="241"/>
      <c r="J1692" s="221" t="b">
        <f>EXACT(E1693,[1]Main!E1693)</f>
        <v>1</v>
      </c>
    </row>
    <row r="1693" spans="1:10" x14ac:dyDescent="0.25">
      <c r="A1693" s="249">
        <v>45129</v>
      </c>
      <c r="B1693" s="237">
        <v>1196</v>
      </c>
      <c r="C1693" s="238" t="s">
        <v>989</v>
      </c>
      <c r="D1693" s="349" t="s">
        <v>765</v>
      </c>
      <c r="E1693" s="237">
        <v>1430</v>
      </c>
      <c r="F1693" s="242" t="s">
        <v>12</v>
      </c>
      <c r="G1693" s="239" t="s">
        <v>974</v>
      </c>
      <c r="H1693" s="240">
        <f t="shared" si="26"/>
        <v>91417</v>
      </c>
      <c r="I1693" s="241"/>
      <c r="J1693" s="221" t="b">
        <f>EXACT(E1694,[1]Main!E1694)</f>
        <v>1</v>
      </c>
    </row>
    <row r="1694" spans="1:10" x14ac:dyDescent="0.25">
      <c r="A1694" s="249">
        <v>45129</v>
      </c>
      <c r="B1694" s="237">
        <v>10039</v>
      </c>
      <c r="C1694" s="238" t="s">
        <v>1291</v>
      </c>
      <c r="D1694" s="349" t="s">
        <v>766</v>
      </c>
      <c r="E1694" s="237">
        <v>860</v>
      </c>
      <c r="F1694" s="242" t="s">
        <v>1292</v>
      </c>
      <c r="G1694" s="239" t="s">
        <v>928</v>
      </c>
      <c r="H1694" s="240">
        <f t="shared" si="26"/>
        <v>100596</v>
      </c>
      <c r="I1694" s="241"/>
      <c r="J1694" s="221" t="b">
        <f>EXACT(E1695,[1]Main!E1695)</f>
        <v>1</v>
      </c>
    </row>
    <row r="1695" spans="1:10" x14ac:dyDescent="0.25">
      <c r="A1695" s="249">
        <v>45129</v>
      </c>
      <c r="B1695" s="237">
        <v>25283</v>
      </c>
      <c r="C1695" s="238" t="s">
        <v>15</v>
      </c>
      <c r="D1695" s="349" t="s">
        <v>766</v>
      </c>
      <c r="E1695" s="237">
        <v>1008</v>
      </c>
      <c r="F1695" s="242" t="s">
        <v>505</v>
      </c>
      <c r="G1695" s="239" t="s">
        <v>928</v>
      </c>
      <c r="H1695" s="240">
        <f t="shared" si="26"/>
        <v>124871</v>
      </c>
      <c r="I1695" s="241"/>
      <c r="J1695" s="221" t="b">
        <f>EXACT(E1696,[1]Main!E1696)</f>
        <v>1</v>
      </c>
    </row>
    <row r="1696" spans="1:10" x14ac:dyDescent="0.25">
      <c r="A1696" s="249">
        <v>45129</v>
      </c>
      <c r="B1696" s="237">
        <v>300</v>
      </c>
      <c r="C1696" s="238" t="s">
        <v>916</v>
      </c>
      <c r="D1696" s="349" t="s">
        <v>768</v>
      </c>
      <c r="E1696" s="237">
        <v>360</v>
      </c>
      <c r="F1696" s="242" t="s">
        <v>27</v>
      </c>
      <c r="G1696" s="239" t="s">
        <v>943</v>
      </c>
      <c r="H1696" s="240">
        <f t="shared" si="26"/>
        <v>124811</v>
      </c>
      <c r="I1696" s="241"/>
      <c r="J1696" s="221" t="b">
        <f>EXACT(E1697,[1]Main!E1697)</f>
        <v>1</v>
      </c>
    </row>
    <row r="1697" spans="1:10" x14ac:dyDescent="0.25">
      <c r="A1697" s="249">
        <v>45129</v>
      </c>
      <c r="B1697" s="237">
        <f>1200+350</f>
        <v>1550</v>
      </c>
      <c r="C1697" s="238" t="s">
        <v>1293</v>
      </c>
      <c r="D1697" s="349" t="s">
        <v>763</v>
      </c>
      <c r="E1697" s="237">
        <v>128</v>
      </c>
      <c r="F1697" s="242" t="s">
        <v>73</v>
      </c>
      <c r="G1697" s="239" t="s">
        <v>945</v>
      </c>
      <c r="H1697" s="240">
        <f t="shared" si="26"/>
        <v>126233</v>
      </c>
      <c r="I1697" s="241"/>
      <c r="J1697" s="221" t="b">
        <f>EXACT(E1698,[1]Main!E1698)</f>
        <v>1</v>
      </c>
    </row>
    <row r="1698" spans="1:10" x14ac:dyDescent="0.25">
      <c r="A1698" s="249">
        <v>45129</v>
      </c>
      <c r="B1698" s="237">
        <v>15439</v>
      </c>
      <c r="C1698" s="238" t="s">
        <v>1294</v>
      </c>
      <c r="D1698" s="349" t="s">
        <v>763</v>
      </c>
      <c r="E1698" s="237">
        <v>192</v>
      </c>
      <c r="F1698" s="242" t="s">
        <v>569</v>
      </c>
      <c r="G1698" s="239" t="s">
        <v>931</v>
      </c>
      <c r="H1698" s="240">
        <f t="shared" si="26"/>
        <v>141480</v>
      </c>
      <c r="I1698" s="241"/>
      <c r="J1698" s="221" t="b">
        <f>EXACT(E1699,[1]Main!E1699)</f>
        <v>1</v>
      </c>
    </row>
    <row r="1699" spans="1:10" x14ac:dyDescent="0.25">
      <c r="A1699" s="249">
        <v>45129</v>
      </c>
      <c r="B1699" s="237">
        <v>2468</v>
      </c>
      <c r="C1699" s="238" t="s">
        <v>979</v>
      </c>
      <c r="D1699" s="349" t="s">
        <v>765</v>
      </c>
      <c r="E1699" s="237">
        <v>50</v>
      </c>
      <c r="F1699" s="242" t="s">
        <v>373</v>
      </c>
      <c r="G1699" s="239" t="s">
        <v>931</v>
      </c>
      <c r="H1699" s="240">
        <f t="shared" si="26"/>
        <v>143898</v>
      </c>
      <c r="I1699" s="241"/>
      <c r="J1699" s="221" t="b">
        <f>EXACT(E1700,[1]Main!E1700)</f>
        <v>1</v>
      </c>
    </row>
    <row r="1700" spans="1:10" x14ac:dyDescent="0.25">
      <c r="A1700" s="249">
        <v>45129</v>
      </c>
      <c r="B1700" s="237">
        <v>200</v>
      </c>
      <c r="C1700" s="238" t="s">
        <v>1061</v>
      </c>
      <c r="D1700" s="349" t="s">
        <v>931</v>
      </c>
      <c r="E1700" s="237">
        <v>75</v>
      </c>
      <c r="F1700" s="242" t="s">
        <v>26</v>
      </c>
      <c r="G1700" s="239" t="s">
        <v>930</v>
      </c>
      <c r="H1700" s="240">
        <f t="shared" si="26"/>
        <v>144023</v>
      </c>
      <c r="I1700" s="241"/>
      <c r="J1700" s="221" t="b">
        <f>EXACT(E1701,[1]Main!E1701)</f>
        <v>1</v>
      </c>
    </row>
    <row r="1701" spans="1:10" x14ac:dyDescent="0.25">
      <c r="A1701" s="249">
        <v>45129</v>
      </c>
      <c r="B1701" s="237">
        <v>16622</v>
      </c>
      <c r="C1701" s="238" t="s">
        <v>88</v>
      </c>
      <c r="D1701" s="349" t="s">
        <v>766</v>
      </c>
      <c r="E1701" s="237">
        <v>120</v>
      </c>
      <c r="F1701" s="242" t="s">
        <v>1295</v>
      </c>
      <c r="G1701" s="239" t="s">
        <v>930</v>
      </c>
      <c r="H1701" s="240">
        <f t="shared" si="26"/>
        <v>160525</v>
      </c>
      <c r="I1701" s="241"/>
      <c r="J1701" s="221" t="b">
        <f>EXACT(E1702,[1]Main!E1702)</f>
        <v>1</v>
      </c>
    </row>
    <row r="1702" spans="1:10" x14ac:dyDescent="0.25">
      <c r="A1702" s="249">
        <v>45129</v>
      </c>
      <c r="B1702" s="237">
        <v>385</v>
      </c>
      <c r="C1702" s="238" t="s">
        <v>1062</v>
      </c>
      <c r="D1702" s="349" t="s">
        <v>768</v>
      </c>
      <c r="E1702" s="237">
        <v>250</v>
      </c>
      <c r="F1702" s="242" t="s">
        <v>27</v>
      </c>
      <c r="G1702" s="239" t="s">
        <v>943</v>
      </c>
      <c r="H1702" s="240">
        <f t="shared" si="26"/>
        <v>160660</v>
      </c>
      <c r="I1702" s="241"/>
      <c r="J1702" s="221" t="b">
        <f>EXACT(E1703,[1]Main!E1703)</f>
        <v>1</v>
      </c>
    </row>
    <row r="1703" spans="1:10" x14ac:dyDescent="0.25">
      <c r="A1703" s="249">
        <v>45129</v>
      </c>
      <c r="B1703" s="237">
        <v>7254</v>
      </c>
      <c r="C1703" s="238" t="s">
        <v>1296</v>
      </c>
      <c r="D1703" s="349" t="s">
        <v>766</v>
      </c>
      <c r="E1703" s="237">
        <v>280</v>
      </c>
      <c r="F1703" s="242" t="s">
        <v>8</v>
      </c>
      <c r="G1703" s="239" t="s">
        <v>930</v>
      </c>
      <c r="H1703" s="240">
        <f t="shared" si="26"/>
        <v>167634</v>
      </c>
      <c r="I1703" s="241"/>
      <c r="J1703" s="221" t="b">
        <f>EXACT(E1704,[1]Main!E1704)</f>
        <v>1</v>
      </c>
    </row>
    <row r="1704" spans="1:10" x14ac:dyDescent="0.25">
      <c r="A1704" s="249">
        <v>45129</v>
      </c>
      <c r="B1704" s="237">
        <v>735</v>
      </c>
      <c r="C1704" s="238" t="s">
        <v>1013</v>
      </c>
      <c r="D1704" s="349" t="s">
        <v>768</v>
      </c>
      <c r="E1704" s="237">
        <v>93</v>
      </c>
      <c r="F1704" s="242" t="s">
        <v>373</v>
      </c>
      <c r="G1704" s="239" t="s">
        <v>930</v>
      </c>
      <c r="H1704" s="240">
        <f t="shared" si="26"/>
        <v>168276</v>
      </c>
      <c r="I1704" s="241"/>
      <c r="J1704" s="221" t="b">
        <f>EXACT(E1705,[1]Main!E1705)</f>
        <v>1</v>
      </c>
    </row>
    <row r="1705" spans="1:10" x14ac:dyDescent="0.25">
      <c r="A1705" s="249">
        <v>45129</v>
      </c>
      <c r="B1705" s="237">
        <v>2305</v>
      </c>
      <c r="C1705" s="238" t="s">
        <v>1297</v>
      </c>
      <c r="D1705" s="349" t="s">
        <v>763</v>
      </c>
      <c r="E1705" s="237">
        <v>120</v>
      </c>
      <c r="F1705" s="242" t="s">
        <v>393</v>
      </c>
      <c r="G1705" s="239" t="s">
        <v>930</v>
      </c>
      <c r="H1705" s="240">
        <f t="shared" si="26"/>
        <v>170461</v>
      </c>
      <c r="I1705" s="241"/>
      <c r="J1705" s="221" t="b">
        <f>EXACT(E1706,[1]Main!E1706)</f>
        <v>1</v>
      </c>
    </row>
    <row r="1706" spans="1:10" x14ac:dyDescent="0.25">
      <c r="A1706" s="249">
        <v>45129</v>
      </c>
      <c r="B1706" s="237">
        <f>5000+250+260</f>
        <v>5510</v>
      </c>
      <c r="C1706" s="238" t="s">
        <v>490</v>
      </c>
      <c r="D1706" s="349" t="s">
        <v>763</v>
      </c>
      <c r="E1706" s="237">
        <v>180</v>
      </c>
      <c r="F1706" s="242" t="s">
        <v>399</v>
      </c>
      <c r="G1706" s="239" t="s">
        <v>930</v>
      </c>
      <c r="H1706" s="240">
        <f t="shared" si="26"/>
        <v>175791</v>
      </c>
      <c r="I1706" s="241"/>
      <c r="J1706" s="221" t="b">
        <f>EXACT(E1707,[1]Main!E1707)</f>
        <v>1</v>
      </c>
    </row>
    <row r="1707" spans="1:10" x14ac:dyDescent="0.25">
      <c r="A1707" s="249">
        <v>45129</v>
      </c>
      <c r="B1707" s="237">
        <v>18592</v>
      </c>
      <c r="C1707" s="238" t="s">
        <v>1162</v>
      </c>
      <c r="D1707" s="349" t="s">
        <v>763</v>
      </c>
      <c r="E1707" s="237">
        <v>9515</v>
      </c>
      <c r="F1707" s="242" t="s">
        <v>575</v>
      </c>
      <c r="G1707" s="239" t="s">
        <v>928</v>
      </c>
      <c r="H1707" s="240">
        <f t="shared" si="26"/>
        <v>184868</v>
      </c>
      <c r="I1707" s="241" t="s">
        <v>796</v>
      </c>
      <c r="J1707" s="221" t="b">
        <f>EXACT(E1708,[1]Main!E1708)</f>
        <v>1</v>
      </c>
    </row>
    <row r="1708" spans="1:10" x14ac:dyDescent="0.25">
      <c r="A1708" s="249">
        <v>45129</v>
      </c>
      <c r="B1708" s="237">
        <v>898</v>
      </c>
      <c r="C1708" s="238" t="s">
        <v>1298</v>
      </c>
      <c r="D1708" s="349" t="s">
        <v>765</v>
      </c>
      <c r="E1708" s="237">
        <v>195</v>
      </c>
      <c r="F1708" s="242" t="s">
        <v>1226</v>
      </c>
      <c r="G1708" s="239" t="s">
        <v>931</v>
      </c>
      <c r="H1708" s="240">
        <f t="shared" si="26"/>
        <v>185571</v>
      </c>
      <c r="I1708" s="241"/>
      <c r="J1708" s="221" t="b">
        <f>EXACT(E1709,[1]Main!E1709)</f>
        <v>1</v>
      </c>
    </row>
    <row r="1709" spans="1:10" x14ac:dyDescent="0.25">
      <c r="A1709" s="249">
        <v>45129</v>
      </c>
      <c r="B1709" s="320">
        <f>5000+470</f>
        <v>5470</v>
      </c>
      <c r="C1709" s="415" t="s">
        <v>1299</v>
      </c>
      <c r="D1709" s="416"/>
      <c r="E1709" s="237">
        <v>112</v>
      </c>
      <c r="F1709" s="242" t="s">
        <v>86</v>
      </c>
      <c r="G1709" s="239" t="s">
        <v>930</v>
      </c>
      <c r="H1709" s="240">
        <f t="shared" si="26"/>
        <v>190929</v>
      </c>
      <c r="I1709" s="241"/>
      <c r="J1709" s="221" t="b">
        <f>EXACT(E1710,[1]Main!E1710)</f>
        <v>1</v>
      </c>
    </row>
    <row r="1710" spans="1:10" x14ac:dyDescent="0.25">
      <c r="A1710" s="249">
        <v>45129</v>
      </c>
      <c r="B1710" s="320">
        <v>300</v>
      </c>
      <c r="C1710" s="415" t="s">
        <v>469</v>
      </c>
      <c r="D1710" s="416"/>
      <c r="E1710" s="237">
        <v>110</v>
      </c>
      <c r="F1710" s="242" t="s">
        <v>32</v>
      </c>
      <c r="G1710" s="239" t="s">
        <v>930</v>
      </c>
      <c r="H1710" s="240">
        <f t="shared" si="26"/>
        <v>191119</v>
      </c>
      <c r="I1710" s="241"/>
      <c r="J1710" s="221" t="b">
        <f>EXACT(E1711,[1]Main!E1711)</f>
        <v>1</v>
      </c>
    </row>
    <row r="1711" spans="1:10" x14ac:dyDescent="0.25">
      <c r="A1711" s="249">
        <v>45129</v>
      </c>
      <c r="B1711" s="237">
        <v>21029</v>
      </c>
      <c r="C1711" s="238" t="s">
        <v>15</v>
      </c>
      <c r="D1711" s="349" t="s">
        <v>766</v>
      </c>
      <c r="E1711" s="237">
        <v>90</v>
      </c>
      <c r="F1711" s="242" t="s">
        <v>510</v>
      </c>
      <c r="G1711" s="239" t="s">
        <v>930</v>
      </c>
      <c r="H1711" s="240">
        <f t="shared" si="26"/>
        <v>212058</v>
      </c>
      <c r="I1711" s="241"/>
      <c r="J1711" s="221" t="b">
        <f>EXACT(E1712,[1]Main!E1712)</f>
        <v>1</v>
      </c>
    </row>
    <row r="1712" spans="1:10" x14ac:dyDescent="0.25">
      <c r="A1712" s="249">
        <v>45129</v>
      </c>
      <c r="B1712" s="237">
        <v>91</v>
      </c>
      <c r="C1712" s="238" t="s">
        <v>1300</v>
      </c>
      <c r="D1712" s="349" t="s">
        <v>768</v>
      </c>
      <c r="E1712" s="237">
        <v>567</v>
      </c>
      <c r="F1712" s="242" t="s">
        <v>439</v>
      </c>
      <c r="G1712" s="239" t="s">
        <v>929</v>
      </c>
      <c r="H1712" s="240">
        <f t="shared" si="26"/>
        <v>211582</v>
      </c>
      <c r="I1712" s="241"/>
      <c r="J1712" s="221" t="b">
        <f>EXACT(E1713,[1]Main!E1713)</f>
        <v>1</v>
      </c>
    </row>
    <row r="1713" spans="1:10" x14ac:dyDescent="0.25">
      <c r="A1713" s="249">
        <v>45129</v>
      </c>
      <c r="B1713" s="320">
        <v>140</v>
      </c>
      <c r="C1713" s="415" t="s">
        <v>1301</v>
      </c>
      <c r="D1713" s="416"/>
      <c r="E1713" s="237">
        <v>3000</v>
      </c>
      <c r="F1713" s="242" t="s">
        <v>1302</v>
      </c>
      <c r="G1713" s="239" t="s">
        <v>938</v>
      </c>
      <c r="H1713" s="240">
        <f t="shared" si="26"/>
        <v>208722</v>
      </c>
      <c r="I1713" s="241" t="s">
        <v>1071</v>
      </c>
      <c r="J1713" s="221" t="b">
        <f>EXACT(E1714,[1]Main!E1714)</f>
        <v>1</v>
      </c>
    </row>
    <row r="1714" spans="1:10" x14ac:dyDescent="0.25">
      <c r="A1714" s="249">
        <v>45129</v>
      </c>
      <c r="D1714" s="349"/>
      <c r="E1714" s="237">
        <v>7600</v>
      </c>
      <c r="F1714" s="242" t="s">
        <v>16</v>
      </c>
      <c r="G1714" s="239" t="s">
        <v>936</v>
      </c>
      <c r="H1714" s="240">
        <f t="shared" si="26"/>
        <v>201122</v>
      </c>
      <c r="I1714" s="241"/>
      <c r="J1714" s="221" t="b">
        <f>EXACT(E1715,[1]Main!E1715)</f>
        <v>1</v>
      </c>
    </row>
    <row r="1715" spans="1:10" x14ac:dyDescent="0.25">
      <c r="A1715" s="249">
        <v>45129</v>
      </c>
      <c r="B1715" s="237"/>
      <c r="C1715" s="238"/>
      <c r="D1715" s="349"/>
      <c r="E1715" s="237">
        <v>60</v>
      </c>
      <c r="F1715" s="242" t="s">
        <v>1303</v>
      </c>
      <c r="G1715" s="239" t="s">
        <v>464</v>
      </c>
      <c r="H1715" s="240">
        <f t="shared" si="26"/>
        <v>201062</v>
      </c>
      <c r="I1715" s="241"/>
      <c r="J1715" s="221" t="b">
        <f>EXACT(E1716,[1]Main!E1716)</f>
        <v>1</v>
      </c>
    </row>
    <row r="1716" spans="1:10" x14ac:dyDescent="0.25">
      <c r="A1716" s="249">
        <v>45129</v>
      </c>
      <c r="B1716" s="237"/>
      <c r="C1716" s="238"/>
      <c r="D1716" s="349"/>
      <c r="E1716" s="237">
        <v>450</v>
      </c>
      <c r="F1716" s="242" t="s">
        <v>741</v>
      </c>
      <c r="G1716" s="239" t="s">
        <v>930</v>
      </c>
      <c r="H1716" s="240">
        <f t="shared" si="26"/>
        <v>200612</v>
      </c>
      <c r="I1716" s="241"/>
      <c r="J1716" s="221" t="b">
        <f>EXACT(E1717,[1]Main!E1717)</f>
        <v>1</v>
      </c>
    </row>
    <row r="1717" spans="1:10" x14ac:dyDescent="0.25">
      <c r="A1717" s="249">
        <v>45129</v>
      </c>
      <c r="B1717" s="237"/>
      <c r="C1717" s="238"/>
      <c r="D1717" s="349"/>
      <c r="E1717" s="237">
        <v>1395</v>
      </c>
      <c r="F1717" s="242" t="s">
        <v>12</v>
      </c>
      <c r="G1717" s="239" t="s">
        <v>974</v>
      </c>
      <c r="H1717" s="240">
        <f t="shared" si="26"/>
        <v>199217</v>
      </c>
      <c r="I1717" s="241"/>
      <c r="J1717" s="221" t="b">
        <f>EXACT(E1718,[1]Main!E1718)</f>
        <v>1</v>
      </c>
    </row>
    <row r="1718" spans="1:10" x14ac:dyDescent="0.25">
      <c r="A1718" s="249">
        <v>45129</v>
      </c>
      <c r="B1718" s="237"/>
      <c r="C1718" s="238"/>
      <c r="D1718" s="349"/>
      <c r="E1718" s="237">
        <v>690</v>
      </c>
      <c r="F1718" s="242" t="s">
        <v>1304</v>
      </c>
      <c r="G1718" s="239" t="s">
        <v>928</v>
      </c>
      <c r="H1718" s="240">
        <f t="shared" si="26"/>
        <v>198527</v>
      </c>
      <c r="I1718" s="241"/>
      <c r="J1718" s="221" t="b">
        <f>EXACT(E1719,[1]Main!E1719)</f>
        <v>1</v>
      </c>
    </row>
    <row r="1719" spans="1:10" x14ac:dyDescent="0.25">
      <c r="A1719" s="249">
        <v>45129</v>
      </c>
      <c r="B1719" s="237"/>
      <c r="C1719" s="238"/>
      <c r="D1719" s="349"/>
      <c r="E1719" s="237">
        <v>390</v>
      </c>
      <c r="F1719" s="242" t="s">
        <v>709</v>
      </c>
      <c r="G1719" s="239" t="s">
        <v>930</v>
      </c>
      <c r="H1719" s="240">
        <f t="shared" si="26"/>
        <v>198137</v>
      </c>
      <c r="I1719" s="241"/>
      <c r="J1719" s="221" t="b">
        <f>EXACT(E1720,[1]Main!E1720)</f>
        <v>1</v>
      </c>
    </row>
    <row r="1720" spans="1:10" x14ac:dyDescent="0.25">
      <c r="A1720" s="249">
        <v>45129</v>
      </c>
      <c r="B1720" s="237"/>
      <c r="C1720" s="238"/>
      <c r="D1720" s="349"/>
      <c r="E1720" s="237">
        <v>135</v>
      </c>
      <c r="F1720" s="242" t="s">
        <v>39</v>
      </c>
      <c r="G1720" s="239" t="s">
        <v>930</v>
      </c>
      <c r="H1720" s="240">
        <f t="shared" si="26"/>
        <v>198002</v>
      </c>
      <c r="I1720" s="241"/>
      <c r="J1720" s="221" t="b">
        <f>EXACT(E1721,[1]Main!E1721)</f>
        <v>1</v>
      </c>
    </row>
    <row r="1721" spans="1:10" x14ac:dyDescent="0.25">
      <c r="A1721" s="249">
        <v>45129</v>
      </c>
      <c r="B1721" s="237"/>
      <c r="C1721" s="238"/>
      <c r="D1721" s="349"/>
      <c r="E1721" s="237">
        <v>68</v>
      </c>
      <c r="F1721" s="242" t="s">
        <v>339</v>
      </c>
      <c r="G1721" s="239" t="s">
        <v>935</v>
      </c>
      <c r="H1721" s="240">
        <f t="shared" si="26"/>
        <v>197934</v>
      </c>
      <c r="I1721" s="241"/>
      <c r="J1721" s="221" t="b">
        <f>EXACT(E1722,[1]Main!E1722)</f>
        <v>1</v>
      </c>
    </row>
    <row r="1722" spans="1:10" x14ac:dyDescent="0.25">
      <c r="A1722" s="249">
        <v>45129</v>
      </c>
      <c r="B1722" s="237"/>
      <c r="C1722" s="238"/>
      <c r="D1722" s="349"/>
      <c r="E1722" s="237">
        <v>165</v>
      </c>
      <c r="F1722" s="242" t="s">
        <v>341</v>
      </c>
      <c r="G1722" s="239" t="s">
        <v>930</v>
      </c>
      <c r="H1722" s="240">
        <f t="shared" si="26"/>
        <v>197769</v>
      </c>
      <c r="I1722" s="241"/>
      <c r="J1722" s="221" t="b">
        <f>EXACT(E1723,[1]Main!E1723)</f>
        <v>1</v>
      </c>
    </row>
    <row r="1723" spans="1:10" x14ac:dyDescent="0.25">
      <c r="A1723" s="249">
        <v>45129</v>
      </c>
      <c r="B1723" s="237"/>
      <c r="C1723" s="238"/>
      <c r="D1723" s="349"/>
      <c r="E1723" s="237">
        <v>100</v>
      </c>
      <c r="F1723" s="242" t="s">
        <v>719</v>
      </c>
      <c r="G1723" s="239" t="s">
        <v>930</v>
      </c>
      <c r="H1723" s="240">
        <f t="shared" si="26"/>
        <v>197669</v>
      </c>
      <c r="I1723" s="241"/>
      <c r="J1723" s="221" t="b">
        <f>EXACT(E1724,[1]Main!E1724)</f>
        <v>1</v>
      </c>
    </row>
    <row r="1724" spans="1:10" x14ac:dyDescent="0.25">
      <c r="A1724" s="249">
        <v>45129</v>
      </c>
      <c r="B1724" s="237"/>
      <c r="C1724" s="238"/>
      <c r="D1724" s="349"/>
      <c r="E1724" s="237">
        <v>360</v>
      </c>
      <c r="F1724" s="242" t="s">
        <v>83</v>
      </c>
      <c r="G1724" s="239" t="s">
        <v>935</v>
      </c>
      <c r="H1724" s="240">
        <f t="shared" si="26"/>
        <v>197309</v>
      </c>
      <c r="I1724" s="241"/>
      <c r="J1724" s="221" t="b">
        <f>EXACT(E1725,[1]Main!E1725)</f>
        <v>1</v>
      </c>
    </row>
    <row r="1725" spans="1:10" x14ac:dyDescent="0.25">
      <c r="A1725" s="249">
        <v>45129</v>
      </c>
      <c r="B1725" s="237"/>
      <c r="C1725" s="238"/>
      <c r="D1725" s="349"/>
      <c r="E1725" s="237">
        <v>225</v>
      </c>
      <c r="F1725" s="242" t="s">
        <v>498</v>
      </c>
      <c r="G1725" s="239" t="s">
        <v>930</v>
      </c>
      <c r="H1725" s="240">
        <f t="shared" si="26"/>
        <v>197084</v>
      </c>
      <c r="I1725" s="241"/>
      <c r="J1725" s="221" t="b">
        <f>EXACT(E1726,[1]Main!E1726)</f>
        <v>1</v>
      </c>
    </row>
    <row r="1726" spans="1:10" x14ac:dyDescent="0.25">
      <c r="A1726" s="249">
        <v>45129</v>
      </c>
      <c r="B1726" s="237"/>
      <c r="C1726" s="238"/>
      <c r="D1726" s="349"/>
      <c r="E1726" s="237">
        <v>145</v>
      </c>
      <c r="F1726" s="242" t="s">
        <v>15</v>
      </c>
      <c r="G1726" s="239" t="s">
        <v>930</v>
      </c>
      <c r="H1726" s="240">
        <f t="shared" si="26"/>
        <v>196939</v>
      </c>
      <c r="I1726" s="241"/>
      <c r="J1726" s="221" t="b">
        <f>EXACT(E1727,[1]Main!E1727)</f>
        <v>1</v>
      </c>
    </row>
    <row r="1727" spans="1:10" x14ac:dyDescent="0.25">
      <c r="A1727" s="249">
        <v>45129</v>
      </c>
      <c r="B1727" s="237"/>
      <c r="C1727" s="238"/>
      <c r="D1727" s="349"/>
      <c r="E1727" s="237">
        <v>4270</v>
      </c>
      <c r="F1727" s="242" t="s">
        <v>505</v>
      </c>
      <c r="G1727" s="239" t="s">
        <v>928</v>
      </c>
      <c r="H1727" s="240">
        <f t="shared" si="26"/>
        <v>192669</v>
      </c>
      <c r="I1727" s="241" t="s">
        <v>1137</v>
      </c>
      <c r="J1727" s="221" t="b">
        <f>EXACT(E1728,[1]Main!E1728)</f>
        <v>1</v>
      </c>
    </row>
    <row r="1728" spans="1:10" x14ac:dyDescent="0.25">
      <c r="A1728" s="249">
        <v>45129</v>
      </c>
      <c r="B1728" s="237"/>
      <c r="C1728" s="238"/>
      <c r="D1728" s="349"/>
      <c r="E1728" s="237">
        <v>1500</v>
      </c>
      <c r="F1728" s="242" t="s">
        <v>505</v>
      </c>
      <c r="G1728" s="239" t="s">
        <v>928</v>
      </c>
      <c r="H1728" s="240">
        <f t="shared" si="26"/>
        <v>191169</v>
      </c>
      <c r="I1728" s="241" t="s">
        <v>796</v>
      </c>
      <c r="J1728" s="221" t="b">
        <f>EXACT(E1729,[1]Main!E1729)</f>
        <v>1</v>
      </c>
    </row>
    <row r="1729" spans="1:10" x14ac:dyDescent="0.25">
      <c r="A1729" s="249">
        <v>45129</v>
      </c>
      <c r="B1729" s="237"/>
      <c r="C1729" s="238"/>
      <c r="D1729" s="349"/>
      <c r="E1729" s="237">
        <v>910</v>
      </c>
      <c r="F1729" s="242" t="s">
        <v>1201</v>
      </c>
      <c r="G1729" s="239" t="s">
        <v>928</v>
      </c>
      <c r="H1729" s="240">
        <f t="shared" si="26"/>
        <v>190259</v>
      </c>
      <c r="I1729" s="241" t="s">
        <v>815</v>
      </c>
      <c r="J1729" s="221" t="b">
        <f>EXACT(E1730,[1]Main!E1730)</f>
        <v>1</v>
      </c>
    </row>
    <row r="1730" spans="1:10" x14ac:dyDescent="0.25">
      <c r="A1730" s="249">
        <v>45129</v>
      </c>
      <c r="B1730" s="237"/>
      <c r="C1730" s="238"/>
      <c r="D1730" s="349"/>
      <c r="E1730" s="237">
        <v>105</v>
      </c>
      <c r="F1730" s="242" t="s">
        <v>19</v>
      </c>
      <c r="G1730" s="239" t="s">
        <v>930</v>
      </c>
      <c r="H1730" s="240">
        <f t="shared" si="26"/>
        <v>190154</v>
      </c>
      <c r="I1730" s="241"/>
      <c r="J1730" s="221" t="b">
        <f>EXACT(E1731,[1]Main!E1731)</f>
        <v>1</v>
      </c>
    </row>
    <row r="1731" spans="1:10" x14ac:dyDescent="0.25">
      <c r="A1731" s="249">
        <v>45129</v>
      </c>
      <c r="B1731" s="237"/>
      <c r="C1731" s="238"/>
      <c r="D1731" s="349"/>
      <c r="E1731" s="237">
        <v>655</v>
      </c>
      <c r="F1731" s="242" t="s">
        <v>11</v>
      </c>
      <c r="G1731" s="239" t="s">
        <v>935</v>
      </c>
      <c r="H1731" s="240">
        <f t="shared" si="26"/>
        <v>189499</v>
      </c>
      <c r="I1731" s="241"/>
      <c r="J1731" s="221" t="b">
        <f>EXACT(E1732,[1]Main!E1732)</f>
        <v>1</v>
      </c>
    </row>
    <row r="1732" spans="1:10" x14ac:dyDescent="0.25">
      <c r="A1732" s="249">
        <v>45129</v>
      </c>
      <c r="B1732" s="237"/>
      <c r="C1732" s="238"/>
      <c r="D1732" s="349"/>
      <c r="E1732" s="237">
        <v>15</v>
      </c>
      <c r="F1732" s="242" t="s">
        <v>1305</v>
      </c>
      <c r="G1732" s="239" t="s">
        <v>464</v>
      </c>
      <c r="H1732" s="240">
        <f t="shared" si="26"/>
        <v>189484</v>
      </c>
      <c r="I1732" s="241"/>
      <c r="J1732" s="221" t="b">
        <f>EXACT(E1733,[1]Main!E1733)</f>
        <v>1</v>
      </c>
    </row>
    <row r="1733" spans="1:10" x14ac:dyDescent="0.25">
      <c r="A1733" s="249">
        <v>45129</v>
      </c>
      <c r="B1733" s="237"/>
      <c r="C1733" s="238"/>
      <c r="D1733" s="349"/>
      <c r="E1733" s="237">
        <v>140</v>
      </c>
      <c r="F1733" s="242" t="s">
        <v>265</v>
      </c>
      <c r="G1733" s="239" t="s">
        <v>928</v>
      </c>
      <c r="H1733" s="240">
        <f t="shared" si="26"/>
        <v>189344</v>
      </c>
      <c r="I1733" s="241"/>
      <c r="J1733" s="221" t="b">
        <f>EXACT(E1734,[1]Main!E1734)</f>
        <v>1</v>
      </c>
    </row>
    <row r="1734" spans="1:10" x14ac:dyDescent="0.25">
      <c r="A1734" s="249">
        <v>45129</v>
      </c>
      <c r="B1734" s="237"/>
      <c r="C1734" s="238"/>
      <c r="D1734" s="349"/>
      <c r="E1734" s="237">
        <v>340</v>
      </c>
      <c r="F1734" s="242" t="s">
        <v>61</v>
      </c>
      <c r="G1734" s="239" t="s">
        <v>928</v>
      </c>
      <c r="H1734" s="240">
        <f t="shared" si="26"/>
        <v>189004</v>
      </c>
      <c r="I1734" s="241"/>
      <c r="J1734" s="221" t="b">
        <f>EXACT(E1735,[1]Main!E1735)</f>
        <v>1</v>
      </c>
    </row>
    <row r="1735" spans="1:10" x14ac:dyDescent="0.25">
      <c r="A1735" s="249">
        <v>45129</v>
      </c>
      <c r="B1735" s="237"/>
      <c r="C1735" s="238"/>
      <c r="D1735" s="349"/>
      <c r="E1735" s="237">
        <v>1048</v>
      </c>
      <c r="F1735" s="242" t="s">
        <v>503</v>
      </c>
      <c r="G1735" s="239" t="s">
        <v>928</v>
      </c>
      <c r="H1735" s="240">
        <f t="shared" ref="H1735:H1798" si="27">H1734+B1735-E1735</f>
        <v>187956</v>
      </c>
      <c r="I1735" s="241"/>
      <c r="J1735" s="221" t="b">
        <f>EXACT(E1736,[1]Main!E1736)</f>
        <v>1</v>
      </c>
    </row>
    <row r="1736" spans="1:10" x14ac:dyDescent="0.25">
      <c r="A1736" s="249">
        <v>45129</v>
      </c>
      <c r="B1736" s="237"/>
      <c r="C1736" s="238"/>
      <c r="D1736" s="349"/>
      <c r="E1736" s="237">
        <v>200</v>
      </c>
      <c r="F1736" s="242" t="s">
        <v>1306</v>
      </c>
      <c r="G1736" s="239" t="s">
        <v>931</v>
      </c>
      <c r="H1736" s="240">
        <f t="shared" si="27"/>
        <v>187756</v>
      </c>
      <c r="I1736" s="241"/>
      <c r="J1736" s="221" t="b">
        <f>EXACT(E1737,[1]Main!E1737)</f>
        <v>1</v>
      </c>
    </row>
    <row r="1737" spans="1:10" x14ac:dyDescent="0.25">
      <c r="A1737" s="249">
        <v>45129</v>
      </c>
      <c r="B1737" s="237"/>
      <c r="C1737" s="238"/>
      <c r="D1737" s="349"/>
      <c r="E1737" s="237">
        <v>46</v>
      </c>
      <c r="F1737" s="242" t="s">
        <v>1307</v>
      </c>
      <c r="G1737" s="239" t="s">
        <v>464</v>
      </c>
      <c r="H1737" s="240">
        <f t="shared" si="27"/>
        <v>187710</v>
      </c>
      <c r="I1737" s="241"/>
      <c r="J1737" s="221" t="b">
        <f>EXACT(E1738,[1]Main!E1738)</f>
        <v>1</v>
      </c>
    </row>
    <row r="1738" spans="1:10" x14ac:dyDescent="0.25">
      <c r="A1738" s="249">
        <v>45129</v>
      </c>
      <c r="B1738" s="237"/>
      <c r="C1738" s="238"/>
      <c r="D1738" s="349"/>
      <c r="E1738" s="357">
        <v>185</v>
      </c>
      <c r="F1738" s="358" t="s">
        <v>1308</v>
      </c>
      <c r="G1738" s="239" t="s">
        <v>930</v>
      </c>
      <c r="H1738" s="240">
        <f t="shared" si="27"/>
        <v>187525</v>
      </c>
      <c r="I1738" s="241"/>
      <c r="J1738" s="221" t="b">
        <f>EXACT(E1739,[1]Main!E1739)</f>
        <v>1</v>
      </c>
    </row>
    <row r="1739" spans="1:10" x14ac:dyDescent="0.25">
      <c r="A1739" s="249">
        <v>45129</v>
      </c>
      <c r="B1739" s="237"/>
      <c r="C1739" s="238"/>
      <c r="D1739" s="349"/>
      <c r="E1739" s="237">
        <v>765</v>
      </c>
      <c r="F1739" s="242" t="s">
        <v>37</v>
      </c>
      <c r="G1739" s="239" t="s">
        <v>928</v>
      </c>
      <c r="H1739" s="240">
        <f t="shared" si="27"/>
        <v>186760</v>
      </c>
      <c r="I1739" s="241"/>
      <c r="J1739" s="221" t="b">
        <f>EXACT(E1740,[1]Main!E1740)</f>
        <v>1</v>
      </c>
    </row>
    <row r="1740" spans="1:10" x14ac:dyDescent="0.25">
      <c r="A1740" s="249">
        <v>45129</v>
      </c>
      <c r="B1740" s="237"/>
      <c r="C1740" s="238"/>
      <c r="D1740" s="349"/>
      <c r="E1740" s="237">
        <v>72</v>
      </c>
      <c r="F1740" s="242" t="s">
        <v>636</v>
      </c>
      <c r="G1740" s="239" t="s">
        <v>931</v>
      </c>
      <c r="H1740" s="240">
        <f t="shared" si="27"/>
        <v>186688</v>
      </c>
      <c r="I1740" s="241"/>
      <c r="J1740" s="221" t="b">
        <f>EXACT(E1741,[1]Main!E1741)</f>
        <v>1</v>
      </c>
    </row>
    <row r="1741" spans="1:10" x14ac:dyDescent="0.25">
      <c r="A1741" s="249">
        <v>45129</v>
      </c>
      <c r="B1741" s="237"/>
      <c r="C1741" s="238"/>
      <c r="D1741" s="349"/>
      <c r="E1741" s="237">
        <v>28</v>
      </c>
      <c r="F1741" s="242" t="s">
        <v>1309</v>
      </c>
      <c r="G1741" s="239" t="s">
        <v>931</v>
      </c>
      <c r="H1741" s="240">
        <f t="shared" si="27"/>
        <v>186660</v>
      </c>
      <c r="I1741" s="241"/>
      <c r="J1741" s="221" t="b">
        <f>EXACT(E1742,[1]Main!E1742)</f>
        <v>1</v>
      </c>
    </row>
    <row r="1742" spans="1:10" x14ac:dyDescent="0.25">
      <c r="A1742" s="249">
        <v>45129</v>
      </c>
      <c r="B1742" s="237"/>
      <c r="C1742" s="238"/>
      <c r="D1742" s="349"/>
      <c r="E1742" s="237">
        <v>2000</v>
      </c>
      <c r="F1742" s="242" t="s">
        <v>1038</v>
      </c>
      <c r="G1742" s="239" t="s">
        <v>928</v>
      </c>
      <c r="H1742" s="240">
        <f t="shared" si="27"/>
        <v>184660</v>
      </c>
      <c r="I1742" s="241" t="s">
        <v>815</v>
      </c>
      <c r="J1742" s="221" t="b">
        <f>EXACT(E1743,[1]Main!E1743)</f>
        <v>1</v>
      </c>
    </row>
    <row r="1743" spans="1:10" x14ac:dyDescent="0.25">
      <c r="A1743" s="249">
        <v>45129</v>
      </c>
      <c r="B1743" s="237"/>
      <c r="C1743" s="238"/>
      <c r="D1743" s="349"/>
      <c r="E1743" s="237">
        <v>1000</v>
      </c>
      <c r="F1743" s="242" t="s">
        <v>1337</v>
      </c>
      <c r="G1743" s="239" t="s">
        <v>928</v>
      </c>
      <c r="H1743" s="240">
        <f t="shared" si="27"/>
        <v>183660</v>
      </c>
      <c r="I1743" s="241" t="s">
        <v>869</v>
      </c>
      <c r="J1743" s="221" t="b">
        <f>EXACT(E1744,[1]Main!E1744)</f>
        <v>1</v>
      </c>
    </row>
    <row r="1744" spans="1:10" x14ac:dyDescent="0.25">
      <c r="A1744" s="249">
        <v>45129</v>
      </c>
      <c r="B1744" s="237"/>
      <c r="C1744" s="238"/>
      <c r="D1744" s="349"/>
      <c r="E1744" s="237">
        <v>1000</v>
      </c>
      <c r="F1744" s="242" t="s">
        <v>27</v>
      </c>
      <c r="G1744" s="239" t="s">
        <v>943</v>
      </c>
      <c r="H1744" s="240">
        <f t="shared" si="27"/>
        <v>182660</v>
      </c>
      <c r="I1744" s="241"/>
      <c r="J1744" s="221" t="b">
        <f>EXACT(E1745,[1]Main!E1745)</f>
        <v>1</v>
      </c>
    </row>
    <row r="1745" spans="1:10" x14ac:dyDescent="0.25">
      <c r="A1745" s="249">
        <v>45129</v>
      </c>
      <c r="B1745" s="237"/>
      <c r="C1745" s="238"/>
      <c r="D1745" s="349"/>
      <c r="E1745" s="237">
        <v>110</v>
      </c>
      <c r="F1745" s="242" t="s">
        <v>1310</v>
      </c>
      <c r="G1745" s="239" t="s">
        <v>931</v>
      </c>
      <c r="H1745" s="240">
        <f t="shared" si="27"/>
        <v>182550</v>
      </c>
      <c r="I1745" s="241"/>
      <c r="J1745" s="221" t="b">
        <f>EXACT(E1746,[1]Main!E1746)</f>
        <v>1</v>
      </c>
    </row>
    <row r="1746" spans="1:10" x14ac:dyDescent="0.25">
      <c r="A1746" s="249">
        <v>45129</v>
      </c>
      <c r="B1746" s="237"/>
      <c r="C1746" s="238"/>
      <c r="D1746" s="349"/>
      <c r="E1746" s="237">
        <v>2000</v>
      </c>
      <c r="F1746" s="242" t="s">
        <v>338</v>
      </c>
      <c r="G1746" s="239" t="s">
        <v>928</v>
      </c>
      <c r="H1746" s="240">
        <f t="shared" si="27"/>
        <v>180550</v>
      </c>
      <c r="I1746" s="241" t="s">
        <v>1175</v>
      </c>
      <c r="J1746" s="221" t="b">
        <f>EXACT(E1747,[1]Main!E1747)</f>
        <v>1</v>
      </c>
    </row>
    <row r="1747" spans="1:10" x14ac:dyDescent="0.25">
      <c r="A1747" s="249">
        <v>45129</v>
      </c>
      <c r="B1747" s="237"/>
      <c r="C1747" s="238"/>
      <c r="D1747" s="349"/>
      <c r="E1747" s="237">
        <v>115</v>
      </c>
      <c r="F1747" s="242" t="s">
        <v>288</v>
      </c>
      <c r="G1747" s="239" t="s">
        <v>930</v>
      </c>
      <c r="H1747" s="240">
        <f t="shared" si="27"/>
        <v>180435</v>
      </c>
      <c r="I1747" s="241"/>
      <c r="J1747" s="221" t="b">
        <f>EXACT(E1748,[1]Main!E1748)</f>
        <v>1</v>
      </c>
    </row>
    <row r="1748" spans="1:10" x14ac:dyDescent="0.25">
      <c r="A1748" s="249">
        <v>45129</v>
      </c>
      <c r="B1748" s="237"/>
      <c r="C1748" s="238"/>
      <c r="D1748" s="349"/>
      <c r="E1748" s="237">
        <v>225</v>
      </c>
      <c r="F1748" s="242" t="s">
        <v>255</v>
      </c>
      <c r="G1748" s="239" t="s">
        <v>930</v>
      </c>
      <c r="H1748" s="240">
        <f t="shared" si="27"/>
        <v>180210</v>
      </c>
      <c r="I1748" s="241"/>
      <c r="J1748" s="221" t="b">
        <f>EXACT(E1749,[1]Main!E1749)</f>
        <v>1</v>
      </c>
    </row>
    <row r="1749" spans="1:10" x14ac:dyDescent="0.25">
      <c r="A1749" s="249">
        <v>45129</v>
      </c>
      <c r="B1749" s="237"/>
      <c r="C1749" s="238"/>
      <c r="D1749" s="349"/>
      <c r="E1749" s="237">
        <v>105</v>
      </c>
      <c r="F1749" s="242" t="s">
        <v>9</v>
      </c>
      <c r="G1749" s="239" t="s">
        <v>930</v>
      </c>
      <c r="H1749" s="240">
        <f t="shared" si="27"/>
        <v>180105</v>
      </c>
      <c r="I1749" s="241"/>
      <c r="J1749" s="221" t="b">
        <f>EXACT(E1750,[1]Main!E1750)</f>
        <v>1</v>
      </c>
    </row>
    <row r="1750" spans="1:10" x14ac:dyDescent="0.25">
      <c r="A1750" s="249">
        <v>45129</v>
      </c>
      <c r="B1750" s="237"/>
      <c r="C1750" s="238"/>
      <c r="D1750" s="349"/>
      <c r="E1750" s="237">
        <v>27</v>
      </c>
      <c r="F1750" s="242" t="s">
        <v>954</v>
      </c>
      <c r="G1750" s="239" t="s">
        <v>464</v>
      </c>
      <c r="H1750" s="240">
        <f t="shared" si="27"/>
        <v>180078</v>
      </c>
      <c r="I1750" s="241"/>
      <c r="J1750" s="221" t="b">
        <f>EXACT(E1751,[1]Main!E1751)</f>
        <v>1</v>
      </c>
    </row>
    <row r="1751" spans="1:10" x14ac:dyDescent="0.25">
      <c r="A1751" s="249">
        <v>45129</v>
      </c>
      <c r="B1751" s="237"/>
      <c r="C1751" s="238"/>
      <c r="D1751" s="349"/>
      <c r="E1751" s="237">
        <v>290</v>
      </c>
      <c r="F1751" s="242" t="s">
        <v>301</v>
      </c>
      <c r="G1751" s="239" t="s">
        <v>930</v>
      </c>
      <c r="H1751" s="240">
        <f t="shared" si="27"/>
        <v>179788</v>
      </c>
      <c r="I1751" s="241"/>
      <c r="J1751" s="221" t="b">
        <f>EXACT(E1752,[1]Main!E1752)</f>
        <v>1</v>
      </c>
    </row>
    <row r="1752" spans="1:10" x14ac:dyDescent="0.25">
      <c r="A1752" s="249">
        <v>45129</v>
      </c>
      <c r="B1752" s="237"/>
      <c r="C1752" s="238"/>
      <c r="D1752" s="349"/>
      <c r="E1752" s="237">
        <v>370</v>
      </c>
      <c r="F1752" s="242" t="s">
        <v>312</v>
      </c>
      <c r="G1752" s="239" t="s">
        <v>935</v>
      </c>
      <c r="H1752" s="240">
        <f t="shared" si="27"/>
        <v>179418</v>
      </c>
      <c r="I1752" s="241"/>
      <c r="J1752" s="221" t="b">
        <f>EXACT(E1753,[1]Main!E1753)</f>
        <v>1</v>
      </c>
    </row>
    <row r="1753" spans="1:10" x14ac:dyDescent="0.25">
      <c r="A1753" s="249">
        <v>45129</v>
      </c>
      <c r="B1753" s="237"/>
      <c r="C1753" s="238"/>
      <c r="D1753" s="349"/>
      <c r="E1753" s="237">
        <v>90</v>
      </c>
      <c r="F1753" s="242" t="s">
        <v>339</v>
      </c>
      <c r="G1753" s="239" t="s">
        <v>935</v>
      </c>
      <c r="H1753" s="240">
        <f t="shared" si="27"/>
        <v>179328</v>
      </c>
      <c r="I1753" s="241"/>
      <c r="J1753" s="221" t="b">
        <f>EXACT(E1754,[1]Main!E1754)</f>
        <v>1</v>
      </c>
    </row>
    <row r="1754" spans="1:10" x14ac:dyDescent="0.25">
      <c r="A1754" s="249">
        <v>45129</v>
      </c>
      <c r="B1754" s="237"/>
      <c r="C1754" s="238"/>
      <c r="D1754" s="349"/>
      <c r="E1754" s="237">
        <v>75</v>
      </c>
      <c r="F1754" s="242" t="s">
        <v>252</v>
      </c>
      <c r="G1754" s="239" t="s">
        <v>935</v>
      </c>
      <c r="H1754" s="240">
        <f t="shared" si="27"/>
        <v>179253</v>
      </c>
      <c r="I1754" s="241"/>
      <c r="J1754" s="221" t="b">
        <f>EXACT(E1755,[1]Main!E1755)</f>
        <v>1</v>
      </c>
    </row>
    <row r="1755" spans="1:10" x14ac:dyDescent="0.25">
      <c r="A1755" s="249">
        <v>45129</v>
      </c>
      <c r="B1755" s="237"/>
      <c r="C1755" s="238"/>
      <c r="D1755" s="349"/>
      <c r="E1755" s="237">
        <v>150</v>
      </c>
      <c r="F1755" s="242" t="s">
        <v>39</v>
      </c>
      <c r="G1755" s="239" t="s">
        <v>930</v>
      </c>
      <c r="H1755" s="240">
        <f t="shared" si="27"/>
        <v>179103</v>
      </c>
      <c r="I1755" s="241"/>
      <c r="J1755" s="221" t="b">
        <f>EXACT(E1756,[1]Main!E1756)</f>
        <v>1</v>
      </c>
    </row>
    <row r="1756" spans="1:10" x14ac:dyDescent="0.25">
      <c r="A1756" s="249">
        <v>45129</v>
      </c>
      <c r="B1756" s="237"/>
      <c r="C1756" s="238"/>
      <c r="D1756" s="349"/>
      <c r="E1756" s="237">
        <v>2440</v>
      </c>
      <c r="F1756" s="242" t="s">
        <v>12</v>
      </c>
      <c r="G1756" s="239" t="s">
        <v>974</v>
      </c>
      <c r="H1756" s="240">
        <f t="shared" si="27"/>
        <v>176663</v>
      </c>
      <c r="I1756" s="241"/>
      <c r="J1756" s="221" t="b">
        <f>EXACT(E1757,[1]Main!E1757)</f>
        <v>1</v>
      </c>
    </row>
    <row r="1757" spans="1:10" x14ac:dyDescent="0.25">
      <c r="A1757" s="249">
        <v>45129</v>
      </c>
      <c r="B1757" s="237"/>
      <c r="C1757" s="238"/>
      <c r="D1757" s="349"/>
      <c r="E1757" s="237">
        <v>44</v>
      </c>
      <c r="F1757" s="242" t="s">
        <v>954</v>
      </c>
      <c r="G1757" s="239" t="s">
        <v>464</v>
      </c>
      <c r="H1757" s="240">
        <f t="shared" si="27"/>
        <v>176619</v>
      </c>
      <c r="I1757" s="241"/>
      <c r="J1757" s="221" t="b">
        <f>EXACT(E1758,[1]Main!E1758)</f>
        <v>1</v>
      </c>
    </row>
    <row r="1758" spans="1:10" x14ac:dyDescent="0.25">
      <c r="A1758" s="249">
        <v>45129</v>
      </c>
      <c r="B1758" s="237"/>
      <c r="C1758" s="238"/>
      <c r="D1758" s="349"/>
      <c r="E1758" s="237">
        <v>60</v>
      </c>
      <c r="F1758" s="242" t="s">
        <v>38</v>
      </c>
      <c r="G1758" s="239" t="s">
        <v>930</v>
      </c>
      <c r="H1758" s="240">
        <f t="shared" si="27"/>
        <v>176559</v>
      </c>
      <c r="I1758" s="241"/>
      <c r="J1758" s="221" t="b">
        <f>EXACT(E1759,[1]Main!E1759)</f>
        <v>1</v>
      </c>
    </row>
    <row r="1759" spans="1:10" x14ac:dyDescent="0.25">
      <c r="A1759" s="249">
        <v>45129</v>
      </c>
      <c r="B1759" s="237"/>
      <c r="C1759" s="238"/>
      <c r="D1759" s="349"/>
      <c r="E1759" s="237">
        <f>60+25</f>
        <v>85</v>
      </c>
      <c r="F1759" s="242" t="s">
        <v>13</v>
      </c>
      <c r="G1759" s="239" t="s">
        <v>930</v>
      </c>
      <c r="H1759" s="240">
        <f t="shared" si="27"/>
        <v>176474</v>
      </c>
      <c r="I1759" s="241"/>
      <c r="J1759" s="221" t="b">
        <f>EXACT(E1760,[1]Main!E1760)</f>
        <v>1</v>
      </c>
    </row>
    <row r="1760" spans="1:10" x14ac:dyDescent="0.25">
      <c r="A1760" s="249">
        <v>45129</v>
      </c>
      <c r="B1760" s="237"/>
      <c r="C1760" s="238"/>
      <c r="D1760" s="349"/>
      <c r="E1760" s="237">
        <v>120</v>
      </c>
      <c r="F1760" s="242" t="s">
        <v>376</v>
      </c>
      <c r="G1760" s="239" t="s">
        <v>930</v>
      </c>
      <c r="H1760" s="240">
        <f t="shared" si="27"/>
        <v>176354</v>
      </c>
      <c r="I1760" s="241"/>
      <c r="J1760" s="221" t="b">
        <f>EXACT(E1761,[1]Main!E1761)</f>
        <v>1</v>
      </c>
    </row>
    <row r="1761" spans="1:10" x14ac:dyDescent="0.25">
      <c r="A1761" s="249">
        <v>45129</v>
      </c>
      <c r="B1761" s="237"/>
      <c r="C1761" s="238"/>
      <c r="D1761" s="349"/>
      <c r="E1761" s="237">
        <v>5580</v>
      </c>
      <c r="F1761" s="242" t="s">
        <v>1311</v>
      </c>
      <c r="G1761" s="239" t="s">
        <v>928</v>
      </c>
      <c r="H1761" s="240">
        <f t="shared" si="27"/>
        <v>170774</v>
      </c>
      <c r="I1761" s="241" t="s">
        <v>1312</v>
      </c>
      <c r="J1761" s="221" t="b">
        <f>EXACT(E1762,[1]Main!E1762)</f>
        <v>1</v>
      </c>
    </row>
    <row r="1762" spans="1:10" x14ac:dyDescent="0.25">
      <c r="A1762" s="249">
        <v>45129</v>
      </c>
      <c r="B1762" s="237"/>
      <c r="C1762" s="238"/>
      <c r="D1762" s="349"/>
      <c r="E1762" s="237">
        <v>960</v>
      </c>
      <c r="F1762" s="242" t="s">
        <v>27</v>
      </c>
      <c r="G1762" s="239" t="s">
        <v>943</v>
      </c>
      <c r="H1762" s="240">
        <f t="shared" si="27"/>
        <v>169814</v>
      </c>
      <c r="I1762" s="241"/>
      <c r="J1762" s="221" t="b">
        <f>EXACT(E1763,[1]Main!E1763)</f>
        <v>1</v>
      </c>
    </row>
    <row r="1763" spans="1:10" x14ac:dyDescent="0.25">
      <c r="A1763" s="249">
        <v>45129</v>
      </c>
      <c r="B1763" s="237"/>
      <c r="C1763" s="238"/>
      <c r="D1763" s="349"/>
      <c r="E1763" s="237">
        <v>150</v>
      </c>
      <c r="F1763" s="242" t="s">
        <v>1313</v>
      </c>
      <c r="G1763" s="239" t="s">
        <v>464</v>
      </c>
      <c r="H1763" s="240">
        <f t="shared" si="27"/>
        <v>169664</v>
      </c>
      <c r="I1763" s="241"/>
      <c r="J1763" s="221" t="b">
        <f>EXACT(E1764,[1]Main!E1764)</f>
        <v>1</v>
      </c>
    </row>
    <row r="1764" spans="1:10" x14ac:dyDescent="0.25">
      <c r="A1764" s="249">
        <v>45129</v>
      </c>
      <c r="B1764" s="237"/>
      <c r="C1764" s="238"/>
      <c r="D1764" s="349"/>
      <c r="E1764" s="237">
        <v>1000</v>
      </c>
      <c r="F1764" s="242" t="s">
        <v>1285</v>
      </c>
      <c r="G1764" s="239" t="s">
        <v>464</v>
      </c>
      <c r="H1764" s="240">
        <f t="shared" si="27"/>
        <v>168664</v>
      </c>
      <c r="I1764" s="241"/>
      <c r="J1764" s="221" t="b">
        <f>EXACT(E1765,[1]Main!E1765)</f>
        <v>1</v>
      </c>
    </row>
    <row r="1765" spans="1:10" x14ac:dyDescent="0.25">
      <c r="A1765" s="249">
        <v>45129</v>
      </c>
      <c r="B1765" s="237"/>
      <c r="C1765" s="238"/>
      <c r="D1765" s="349"/>
      <c r="E1765" s="237">
        <v>860</v>
      </c>
      <c r="F1765" s="242" t="s">
        <v>27</v>
      </c>
      <c r="G1765" s="239" t="s">
        <v>943</v>
      </c>
      <c r="H1765" s="240">
        <f t="shared" si="27"/>
        <v>167804</v>
      </c>
      <c r="I1765" s="241"/>
      <c r="J1765" s="221" t="b">
        <f>EXACT(E1766,[1]Main!E1766)</f>
        <v>1</v>
      </c>
    </row>
    <row r="1766" spans="1:10" x14ac:dyDescent="0.25">
      <c r="A1766" s="249">
        <v>45129</v>
      </c>
      <c r="B1766" s="237"/>
      <c r="C1766" s="238"/>
      <c r="D1766" s="349"/>
      <c r="E1766" s="237">
        <v>4810</v>
      </c>
      <c r="F1766" s="242" t="s">
        <v>1169</v>
      </c>
      <c r="G1766" s="239" t="s">
        <v>928</v>
      </c>
      <c r="H1766" s="240">
        <f t="shared" si="27"/>
        <v>162994</v>
      </c>
      <c r="I1766" s="241" t="s">
        <v>1314</v>
      </c>
      <c r="J1766" s="221" t="b">
        <f>EXACT(E1767,[1]Main!E1767)</f>
        <v>1</v>
      </c>
    </row>
    <row r="1767" spans="1:10" x14ac:dyDescent="0.25">
      <c r="A1767" s="249">
        <v>45129</v>
      </c>
      <c r="B1767" s="237"/>
      <c r="C1767" s="238"/>
      <c r="D1767" s="349"/>
      <c r="E1767" s="237">
        <v>500</v>
      </c>
      <c r="F1767" s="242" t="s">
        <v>31</v>
      </c>
      <c r="G1767" s="239" t="s">
        <v>931</v>
      </c>
      <c r="H1767" s="240">
        <f t="shared" si="27"/>
        <v>162494</v>
      </c>
      <c r="I1767" s="241"/>
      <c r="J1767" s="221" t="b">
        <f>EXACT(E1768,[1]Main!E1768)</f>
        <v>1</v>
      </c>
    </row>
    <row r="1768" spans="1:10" x14ac:dyDescent="0.25">
      <c r="A1768" s="249">
        <v>45129</v>
      </c>
      <c r="B1768" s="237"/>
      <c r="C1768" s="238"/>
      <c r="D1768" s="349"/>
      <c r="E1768" s="237">
        <v>990</v>
      </c>
      <c r="F1768" s="242" t="s">
        <v>27</v>
      </c>
      <c r="G1768" s="239" t="s">
        <v>943</v>
      </c>
      <c r="H1768" s="240">
        <f t="shared" si="27"/>
        <v>161504</v>
      </c>
      <c r="I1768" s="241"/>
      <c r="J1768" s="221" t="b">
        <f>EXACT(E1769,[1]Main!E1769)</f>
        <v>1</v>
      </c>
    </row>
    <row r="1769" spans="1:10" x14ac:dyDescent="0.25">
      <c r="A1769" s="249">
        <v>45129</v>
      </c>
      <c r="B1769" s="237"/>
      <c r="C1769" s="238"/>
      <c r="D1769" s="349"/>
      <c r="E1769" s="237">
        <v>3000</v>
      </c>
      <c r="F1769" s="242" t="s">
        <v>1315</v>
      </c>
      <c r="G1769" s="239" t="s">
        <v>928</v>
      </c>
      <c r="H1769" s="240">
        <f t="shared" si="27"/>
        <v>158504</v>
      </c>
      <c r="I1769" s="241" t="s">
        <v>796</v>
      </c>
      <c r="J1769" s="221" t="b">
        <f>EXACT(E1770,[1]Main!E1770)</f>
        <v>1</v>
      </c>
    </row>
    <row r="1770" spans="1:10" x14ac:dyDescent="0.25">
      <c r="A1770" s="249">
        <v>45129</v>
      </c>
      <c r="B1770" s="237"/>
      <c r="C1770" s="238"/>
      <c r="D1770" s="349"/>
      <c r="E1770" s="237">
        <v>700</v>
      </c>
      <c r="F1770" s="242" t="s">
        <v>281</v>
      </c>
      <c r="G1770" s="239" t="s">
        <v>928</v>
      </c>
      <c r="H1770" s="240">
        <f t="shared" si="27"/>
        <v>157804</v>
      </c>
      <c r="I1770" s="241" t="s">
        <v>78</v>
      </c>
      <c r="J1770" s="221" t="b">
        <f>EXACT(E1771,[1]Main!E1771)</f>
        <v>1</v>
      </c>
    </row>
    <row r="1771" spans="1:10" x14ac:dyDescent="0.25">
      <c r="A1771" s="249">
        <v>45129</v>
      </c>
      <c r="B1771" s="237"/>
      <c r="C1771" s="238"/>
      <c r="D1771" s="349"/>
      <c r="E1771" s="237">
        <v>2000</v>
      </c>
      <c r="F1771" s="242" t="s">
        <v>1014</v>
      </c>
      <c r="G1771" s="239" t="s">
        <v>928</v>
      </c>
      <c r="H1771" s="240">
        <f t="shared" si="27"/>
        <v>155804</v>
      </c>
      <c r="I1771" s="241" t="s">
        <v>1039</v>
      </c>
      <c r="J1771" s="221" t="b">
        <f>EXACT(E1772,[1]Main!E1772)</f>
        <v>1</v>
      </c>
    </row>
    <row r="1772" spans="1:10" x14ac:dyDescent="0.25">
      <c r="A1772" s="249">
        <v>45129</v>
      </c>
      <c r="B1772" s="237"/>
      <c r="C1772" s="238"/>
      <c r="D1772" s="349"/>
      <c r="E1772" s="237">
        <f>1970-15</f>
        <v>1955</v>
      </c>
      <c r="F1772" s="242" t="s">
        <v>14</v>
      </c>
      <c r="G1772" s="239" t="s">
        <v>935</v>
      </c>
      <c r="H1772" s="240">
        <f t="shared" si="27"/>
        <v>153849</v>
      </c>
      <c r="I1772" s="241"/>
      <c r="J1772" s="221" t="b">
        <f>EXACT(E1773,[1]Main!E1773)</f>
        <v>1</v>
      </c>
    </row>
    <row r="1773" spans="1:10" x14ac:dyDescent="0.25">
      <c r="A1773" s="249">
        <v>45129</v>
      </c>
      <c r="B1773" s="237"/>
      <c r="C1773" s="238"/>
      <c r="D1773" s="349"/>
      <c r="E1773" s="237">
        <v>1000</v>
      </c>
      <c r="F1773" s="242" t="s">
        <v>1316</v>
      </c>
      <c r="G1773" s="239" t="s">
        <v>928</v>
      </c>
      <c r="H1773" s="240">
        <f t="shared" si="27"/>
        <v>152849</v>
      </c>
      <c r="I1773" s="241" t="s">
        <v>1317</v>
      </c>
      <c r="J1773" s="221" t="b">
        <f>EXACT(E1774,[1]Main!E1774)</f>
        <v>1</v>
      </c>
    </row>
    <row r="1774" spans="1:10" x14ac:dyDescent="0.25">
      <c r="A1774" s="249">
        <v>45129</v>
      </c>
      <c r="B1774" s="237"/>
      <c r="C1774" s="238"/>
      <c r="D1774" s="349"/>
      <c r="E1774" s="237">
        <v>15</v>
      </c>
      <c r="F1774" s="242" t="s">
        <v>1318</v>
      </c>
      <c r="G1774" s="239" t="s">
        <v>464</v>
      </c>
      <c r="H1774" s="240">
        <f t="shared" si="27"/>
        <v>152834</v>
      </c>
      <c r="I1774" s="241"/>
      <c r="J1774" s="221" t="b">
        <f>EXACT(E1775,[1]Main!E1775)</f>
        <v>1</v>
      </c>
    </row>
    <row r="1775" spans="1:10" x14ac:dyDescent="0.25">
      <c r="A1775" s="249">
        <v>45129</v>
      </c>
      <c r="B1775" s="237"/>
      <c r="C1775" s="238"/>
      <c r="D1775" s="349"/>
      <c r="E1775" s="237">
        <v>5</v>
      </c>
      <c r="F1775" s="242" t="s">
        <v>357</v>
      </c>
      <c r="G1775" s="239" t="s">
        <v>931</v>
      </c>
      <c r="H1775" s="240">
        <f t="shared" si="27"/>
        <v>152829</v>
      </c>
      <c r="I1775" s="241"/>
      <c r="J1775" s="221" t="b">
        <f>EXACT(E1776,[1]Main!E1776)</f>
        <v>1</v>
      </c>
    </row>
    <row r="1776" spans="1:10" x14ac:dyDescent="0.25">
      <c r="A1776" s="249">
        <v>45129</v>
      </c>
      <c r="B1776" s="237"/>
      <c r="C1776" s="238"/>
      <c r="D1776" s="349"/>
      <c r="E1776" s="237">
        <v>7</v>
      </c>
      <c r="F1776" s="242" t="s">
        <v>569</v>
      </c>
      <c r="G1776" s="239" t="s">
        <v>931</v>
      </c>
      <c r="H1776" s="240">
        <f t="shared" si="27"/>
        <v>152822</v>
      </c>
      <c r="I1776" s="241"/>
      <c r="J1776" s="221" t="b">
        <f>EXACT(E1777,[1]Main!E1777)</f>
        <v>1</v>
      </c>
    </row>
    <row r="1777" spans="1:10" x14ac:dyDescent="0.25">
      <c r="A1777" s="249">
        <v>45129</v>
      </c>
      <c r="B1777" s="237"/>
      <c r="C1777" s="238"/>
      <c r="D1777" s="349"/>
      <c r="E1777" s="237">
        <v>20</v>
      </c>
      <c r="F1777" s="242" t="s">
        <v>52</v>
      </c>
      <c r="G1777" s="239" t="s">
        <v>938</v>
      </c>
      <c r="H1777" s="240">
        <f t="shared" si="27"/>
        <v>152802</v>
      </c>
      <c r="I1777" s="241"/>
      <c r="J1777" s="221" t="b">
        <f>EXACT(E1778,[1]Main!E1778)</f>
        <v>1</v>
      </c>
    </row>
    <row r="1778" spans="1:10" x14ac:dyDescent="0.25">
      <c r="A1778" s="249">
        <v>45129</v>
      </c>
      <c r="B1778" s="237"/>
      <c r="C1778" s="238"/>
      <c r="D1778" s="349"/>
      <c r="E1778" s="237">
        <v>4865</v>
      </c>
      <c r="F1778" s="242" t="s">
        <v>17</v>
      </c>
      <c r="G1778" s="239" t="s">
        <v>928</v>
      </c>
      <c r="H1778" s="240">
        <f t="shared" si="27"/>
        <v>147937</v>
      </c>
      <c r="I1778" s="241" t="s">
        <v>796</v>
      </c>
      <c r="J1778" s="221" t="b">
        <f>EXACT(E1779,[1]Main!E1779)</f>
        <v>1</v>
      </c>
    </row>
    <row r="1779" spans="1:10" x14ac:dyDescent="0.25">
      <c r="A1779" s="249">
        <v>45129</v>
      </c>
      <c r="B1779" s="237"/>
      <c r="C1779" s="238"/>
      <c r="D1779" s="349"/>
      <c r="E1779" s="237">
        <v>75</v>
      </c>
      <c r="F1779" s="242" t="s">
        <v>26</v>
      </c>
      <c r="G1779" s="239" t="s">
        <v>930</v>
      </c>
      <c r="H1779" s="240">
        <f t="shared" si="27"/>
        <v>147862</v>
      </c>
      <c r="I1779" s="241"/>
      <c r="J1779" s="221" t="b">
        <f>EXACT(E1780,[1]Main!E1780)</f>
        <v>1</v>
      </c>
    </row>
    <row r="1780" spans="1:10" x14ac:dyDescent="0.25">
      <c r="A1780" s="249">
        <v>45129</v>
      </c>
      <c r="B1780" s="237"/>
      <c r="C1780" s="238"/>
      <c r="D1780" s="349"/>
      <c r="E1780" s="237">
        <v>35</v>
      </c>
      <c r="F1780" s="242" t="s">
        <v>315</v>
      </c>
      <c r="G1780" s="239" t="s">
        <v>464</v>
      </c>
      <c r="H1780" s="240">
        <f t="shared" si="27"/>
        <v>147827</v>
      </c>
      <c r="I1780" s="241"/>
      <c r="J1780" s="221" t="b">
        <f>EXACT(E1781,[1]Main!E1781)</f>
        <v>1</v>
      </c>
    </row>
    <row r="1781" spans="1:10" x14ac:dyDescent="0.25">
      <c r="A1781" s="249">
        <v>45129</v>
      </c>
      <c r="B1781" s="237"/>
      <c r="C1781" s="238"/>
      <c r="D1781" s="349"/>
      <c r="E1781" s="237">
        <v>1124</v>
      </c>
      <c r="F1781" s="242" t="s">
        <v>1336</v>
      </c>
      <c r="G1781" s="239" t="s">
        <v>928</v>
      </c>
      <c r="H1781" s="240">
        <f t="shared" si="27"/>
        <v>146703</v>
      </c>
      <c r="I1781" s="241" t="s">
        <v>828</v>
      </c>
      <c r="J1781" s="221" t="b">
        <f>EXACT(E1782,[1]Main!E1782)</f>
        <v>1</v>
      </c>
    </row>
    <row r="1782" spans="1:10" x14ac:dyDescent="0.25">
      <c r="A1782" s="249">
        <v>45129</v>
      </c>
      <c r="B1782" s="237"/>
      <c r="C1782" s="238"/>
      <c r="D1782" s="349"/>
      <c r="E1782" s="237">
        <v>100</v>
      </c>
      <c r="F1782" s="242" t="s">
        <v>1264</v>
      </c>
      <c r="G1782" s="239" t="s">
        <v>930</v>
      </c>
      <c r="H1782" s="240">
        <f t="shared" si="27"/>
        <v>146603</v>
      </c>
      <c r="I1782" s="241"/>
      <c r="J1782" s="221" t="b">
        <f>EXACT(E1783,[1]Main!E1783)</f>
        <v>1</v>
      </c>
    </row>
    <row r="1783" spans="1:10" x14ac:dyDescent="0.25">
      <c r="A1783" s="249">
        <v>45129</v>
      </c>
      <c r="B1783" s="237"/>
      <c r="C1783" s="238"/>
      <c r="D1783" s="349"/>
      <c r="E1783" s="237">
        <v>20</v>
      </c>
      <c r="F1783" s="242" t="s">
        <v>24</v>
      </c>
      <c r="G1783" s="239" t="s">
        <v>930</v>
      </c>
      <c r="H1783" s="240">
        <f t="shared" si="27"/>
        <v>146583</v>
      </c>
      <c r="I1783" s="241"/>
      <c r="J1783" s="221" t="b">
        <f>EXACT(E1784,[1]Main!E1784)</f>
        <v>1</v>
      </c>
    </row>
    <row r="1784" spans="1:10" x14ac:dyDescent="0.25">
      <c r="A1784" s="249">
        <v>45129</v>
      </c>
      <c r="B1784" s="237"/>
      <c r="C1784" s="238"/>
      <c r="D1784" s="349"/>
      <c r="E1784" s="237">
        <v>210</v>
      </c>
      <c r="F1784" s="242" t="s">
        <v>1319</v>
      </c>
      <c r="G1784" s="239" t="s">
        <v>930</v>
      </c>
      <c r="H1784" s="240">
        <f t="shared" si="27"/>
        <v>146373</v>
      </c>
      <c r="I1784" s="241"/>
      <c r="J1784" s="221" t="b">
        <f>EXACT(E1785,[1]Main!E1785)</f>
        <v>1</v>
      </c>
    </row>
    <row r="1785" spans="1:10" x14ac:dyDescent="0.25">
      <c r="A1785" s="249">
        <v>45129</v>
      </c>
      <c r="B1785" s="237"/>
      <c r="C1785" s="238"/>
      <c r="D1785" s="349"/>
      <c r="E1785" s="237">
        <v>20</v>
      </c>
      <c r="F1785" s="242" t="s">
        <v>1320</v>
      </c>
      <c r="G1785" s="239" t="s">
        <v>464</v>
      </c>
      <c r="H1785" s="240">
        <f t="shared" si="27"/>
        <v>146353</v>
      </c>
      <c r="I1785" s="241"/>
      <c r="J1785" s="221" t="b">
        <f>EXACT(E1786,[1]Main!E1786)</f>
        <v>1</v>
      </c>
    </row>
    <row r="1786" spans="1:10" x14ac:dyDescent="0.25">
      <c r="A1786" s="324">
        <v>45129</v>
      </c>
      <c r="B1786" s="325"/>
      <c r="C1786" s="326"/>
      <c r="D1786" s="327"/>
      <c r="E1786" s="325">
        <v>540</v>
      </c>
      <c r="F1786" s="328" t="s">
        <v>279</v>
      </c>
      <c r="G1786" s="239" t="s">
        <v>930</v>
      </c>
      <c r="H1786" s="240">
        <f t="shared" si="27"/>
        <v>145813</v>
      </c>
      <c r="I1786" s="329" t="s">
        <v>1321</v>
      </c>
      <c r="J1786" s="221" t="b">
        <f>EXACT(E1787,[1]Main!E1787)</f>
        <v>1</v>
      </c>
    </row>
    <row r="1787" spans="1:10" x14ac:dyDescent="0.25">
      <c r="A1787" s="249">
        <v>45130</v>
      </c>
      <c r="B1787" s="237"/>
      <c r="C1787" s="261"/>
      <c r="D1787" s="349"/>
      <c r="E1787" s="237">
        <v>11945</v>
      </c>
      <c r="F1787" s="242" t="s">
        <v>1322</v>
      </c>
      <c r="G1787" s="239" t="s">
        <v>928</v>
      </c>
      <c r="H1787" s="240">
        <f t="shared" si="27"/>
        <v>133868</v>
      </c>
      <c r="I1787" s="241"/>
      <c r="J1787" s="221" t="b">
        <f>EXACT(E1788,[1]Main!E1788)</f>
        <v>1</v>
      </c>
    </row>
    <row r="1788" spans="1:10" x14ac:dyDescent="0.25">
      <c r="A1788" s="249">
        <v>45130</v>
      </c>
      <c r="B1788" s="237">
        <v>16563</v>
      </c>
      <c r="C1788" s="238" t="s">
        <v>300</v>
      </c>
      <c r="D1788" s="349" t="s">
        <v>763</v>
      </c>
      <c r="E1788" s="237">
        <v>6310</v>
      </c>
      <c r="F1788" s="242" t="s">
        <v>1323</v>
      </c>
      <c r="G1788" s="239" t="s">
        <v>928</v>
      </c>
      <c r="H1788" s="240">
        <f t="shared" si="27"/>
        <v>144121</v>
      </c>
      <c r="I1788" s="241" t="s">
        <v>819</v>
      </c>
      <c r="J1788" s="221" t="b">
        <f>EXACT(E1789,[1]Main!E1789)</f>
        <v>1</v>
      </c>
    </row>
    <row r="1789" spans="1:10" x14ac:dyDescent="0.25">
      <c r="A1789" s="249">
        <v>45130</v>
      </c>
      <c r="B1789" s="237">
        <v>1425</v>
      </c>
      <c r="C1789" s="238" t="s">
        <v>989</v>
      </c>
      <c r="D1789" s="349" t="s">
        <v>765</v>
      </c>
      <c r="E1789" s="237">
        <v>95</v>
      </c>
      <c r="F1789" s="242" t="s">
        <v>27</v>
      </c>
      <c r="G1789" s="239" t="s">
        <v>943</v>
      </c>
      <c r="H1789" s="240">
        <f t="shared" si="27"/>
        <v>145451</v>
      </c>
      <c r="I1789" s="241"/>
      <c r="J1789" s="221" t="b">
        <f>EXACT(E1790,[1]Main!E1790)</f>
        <v>1</v>
      </c>
    </row>
    <row r="1790" spans="1:10" x14ac:dyDescent="0.25">
      <c r="A1790" s="249">
        <v>45130</v>
      </c>
      <c r="B1790" s="237">
        <v>12737</v>
      </c>
      <c r="C1790" s="238" t="s">
        <v>1076</v>
      </c>
      <c r="D1790" s="349" t="s">
        <v>763</v>
      </c>
      <c r="E1790" s="237">
        <v>82</v>
      </c>
      <c r="F1790" s="242" t="s">
        <v>1324</v>
      </c>
      <c r="G1790" s="239" t="s">
        <v>945</v>
      </c>
      <c r="H1790" s="240">
        <f t="shared" si="27"/>
        <v>158106</v>
      </c>
      <c r="I1790" s="241"/>
      <c r="J1790" s="221" t="b">
        <f>EXACT(E1791,[1]Main!E1791)</f>
        <v>1</v>
      </c>
    </row>
    <row r="1791" spans="1:10" x14ac:dyDescent="0.25">
      <c r="A1791" s="249">
        <v>45130</v>
      </c>
      <c r="B1791" s="237">
        <v>1205</v>
      </c>
      <c r="C1791" s="238" t="s">
        <v>1343</v>
      </c>
      <c r="D1791" s="349" t="s">
        <v>765</v>
      </c>
      <c r="E1791" s="237">
        <v>250</v>
      </c>
      <c r="F1791" s="242" t="s">
        <v>8</v>
      </c>
      <c r="G1791" s="239" t="s">
        <v>1098</v>
      </c>
      <c r="H1791" s="240">
        <f t="shared" si="27"/>
        <v>159061</v>
      </c>
      <c r="I1791" s="241"/>
      <c r="J1791" s="221" t="b">
        <f>EXACT(E1792,[1]Main!E1792)</f>
        <v>1</v>
      </c>
    </row>
    <row r="1792" spans="1:10" x14ac:dyDescent="0.25">
      <c r="A1792" s="249">
        <v>45130</v>
      </c>
      <c r="B1792" s="237">
        <v>1200</v>
      </c>
      <c r="C1792" s="238" t="s">
        <v>1112</v>
      </c>
      <c r="D1792" s="349" t="s">
        <v>924</v>
      </c>
      <c r="E1792" s="237">
        <v>40</v>
      </c>
      <c r="F1792" s="242" t="s">
        <v>1325</v>
      </c>
      <c r="G1792" s="239" t="s">
        <v>464</v>
      </c>
      <c r="H1792" s="240">
        <f t="shared" si="27"/>
        <v>160221</v>
      </c>
      <c r="I1792" s="241"/>
      <c r="J1792" s="221" t="b">
        <f>EXACT(E1793,[1]Main!E1793)</f>
        <v>1</v>
      </c>
    </row>
    <row r="1793" spans="1:10" x14ac:dyDescent="0.25">
      <c r="A1793" s="249">
        <v>45130</v>
      </c>
      <c r="B1793" s="237">
        <v>210</v>
      </c>
      <c r="C1793" s="238" t="s">
        <v>27</v>
      </c>
      <c r="D1793" s="349" t="s">
        <v>772</v>
      </c>
      <c r="E1793" s="237">
        <v>180</v>
      </c>
      <c r="F1793" s="242" t="s">
        <v>399</v>
      </c>
      <c r="G1793" s="239" t="s">
        <v>1098</v>
      </c>
      <c r="H1793" s="240">
        <f t="shared" si="27"/>
        <v>160251</v>
      </c>
      <c r="I1793" s="241"/>
      <c r="J1793" s="221" t="b">
        <f>EXACT(E1794,[1]Main!E1794)</f>
        <v>1</v>
      </c>
    </row>
    <row r="1794" spans="1:10" x14ac:dyDescent="0.25">
      <c r="A1794" s="249">
        <v>45130</v>
      </c>
      <c r="B1794" s="237">
        <v>18111</v>
      </c>
      <c r="C1794" s="238" t="s">
        <v>452</v>
      </c>
      <c r="D1794" s="349" t="s">
        <v>766</v>
      </c>
      <c r="E1794" s="237">
        <v>95</v>
      </c>
      <c r="F1794" s="242" t="s">
        <v>373</v>
      </c>
      <c r="G1794" s="239" t="s">
        <v>1098</v>
      </c>
      <c r="H1794" s="240">
        <f t="shared" si="27"/>
        <v>178267</v>
      </c>
      <c r="I1794" s="241"/>
      <c r="J1794" s="221" t="b">
        <f>EXACT(E1795,[1]Main!E1795)</f>
        <v>1</v>
      </c>
    </row>
    <row r="1795" spans="1:10" x14ac:dyDescent="0.25">
      <c r="A1795" s="249">
        <v>45130</v>
      </c>
      <c r="B1795" s="237">
        <v>1190</v>
      </c>
      <c r="C1795" s="238" t="s">
        <v>1263</v>
      </c>
      <c r="D1795" s="349" t="s">
        <v>768</v>
      </c>
      <c r="E1795" s="237">
        <v>371</v>
      </c>
      <c r="F1795" s="242" t="s">
        <v>569</v>
      </c>
      <c r="G1795" s="239" t="s">
        <v>931</v>
      </c>
      <c r="H1795" s="240">
        <f t="shared" si="27"/>
        <v>179086</v>
      </c>
      <c r="I1795" s="241"/>
      <c r="J1795" s="221" t="b">
        <f>EXACT(E1796,[1]Main!E1796)</f>
        <v>1</v>
      </c>
    </row>
    <row r="1796" spans="1:10" x14ac:dyDescent="0.25">
      <c r="A1796" s="249">
        <v>45130</v>
      </c>
      <c r="B1796" s="237">
        <v>6430</v>
      </c>
      <c r="C1796" s="238" t="s">
        <v>36</v>
      </c>
      <c r="D1796" s="349" t="s">
        <v>766</v>
      </c>
      <c r="E1796" s="237">
        <v>120</v>
      </c>
      <c r="F1796" s="242" t="s">
        <v>393</v>
      </c>
      <c r="G1796" s="239" t="s">
        <v>1098</v>
      </c>
      <c r="H1796" s="240">
        <f t="shared" si="27"/>
        <v>185396</v>
      </c>
      <c r="I1796" s="241"/>
      <c r="J1796" s="221" t="b">
        <f>EXACT(E1797,[1]Main!E1797)</f>
        <v>1</v>
      </c>
    </row>
    <row r="1797" spans="1:10" x14ac:dyDescent="0.25">
      <c r="A1797" s="249">
        <v>45130</v>
      </c>
      <c r="B1797" s="237">
        <v>655</v>
      </c>
      <c r="C1797" s="238" t="s">
        <v>911</v>
      </c>
      <c r="D1797" s="349" t="s">
        <v>768</v>
      </c>
      <c r="E1797" s="237">
        <v>1485</v>
      </c>
      <c r="F1797" s="242" t="s">
        <v>12</v>
      </c>
      <c r="G1797" s="239" t="s">
        <v>928</v>
      </c>
      <c r="H1797" s="240">
        <f t="shared" si="27"/>
        <v>184566</v>
      </c>
      <c r="I1797" s="241"/>
      <c r="J1797" s="221" t="b">
        <f>EXACT(E1798,[1]Main!E1798)</f>
        <v>1</v>
      </c>
    </row>
    <row r="1798" spans="1:10" x14ac:dyDescent="0.25">
      <c r="A1798" s="249">
        <v>45130</v>
      </c>
      <c r="B1798" s="237">
        <v>20469</v>
      </c>
      <c r="C1798" s="238" t="s">
        <v>15</v>
      </c>
      <c r="D1798" s="349" t="s">
        <v>766</v>
      </c>
      <c r="E1798" s="237">
        <v>5000</v>
      </c>
      <c r="F1798" s="242" t="s">
        <v>1344</v>
      </c>
      <c r="G1798" s="239" t="s">
        <v>928</v>
      </c>
      <c r="H1798" s="240">
        <f t="shared" si="27"/>
        <v>200035</v>
      </c>
      <c r="I1798" s="241"/>
      <c r="J1798" s="221" t="b">
        <f>EXACT(E1799,[1]Main!E1799)</f>
        <v>1</v>
      </c>
    </row>
    <row r="1799" spans="1:10" x14ac:dyDescent="0.25">
      <c r="A1799" s="249">
        <v>45130</v>
      </c>
      <c r="B1799" s="237">
        <v>507</v>
      </c>
      <c r="C1799" s="238" t="s">
        <v>916</v>
      </c>
      <c r="D1799" s="349" t="s">
        <v>768</v>
      </c>
      <c r="E1799" s="237">
        <v>120</v>
      </c>
      <c r="F1799" s="242" t="s">
        <v>741</v>
      </c>
      <c r="G1799" s="239" t="s">
        <v>1098</v>
      </c>
      <c r="H1799" s="240">
        <f t="shared" ref="H1799:H1862" si="28">H1798+B1799-E1799</f>
        <v>200422</v>
      </c>
      <c r="I1799" s="241"/>
      <c r="J1799" s="221" t="b">
        <f>EXACT(E1800,[1]Main!E1800)</f>
        <v>1</v>
      </c>
    </row>
    <row r="1800" spans="1:10" x14ac:dyDescent="0.25">
      <c r="A1800" s="249">
        <v>45130</v>
      </c>
      <c r="B1800" s="237">
        <v>14346</v>
      </c>
      <c r="C1800" s="238" t="s">
        <v>85</v>
      </c>
      <c r="D1800" s="349" t="s">
        <v>766</v>
      </c>
      <c r="E1800" s="237">
        <v>5890</v>
      </c>
      <c r="F1800" s="242" t="s">
        <v>1326</v>
      </c>
      <c r="G1800" s="239" t="s">
        <v>928</v>
      </c>
      <c r="H1800" s="240">
        <f t="shared" si="28"/>
        <v>208878</v>
      </c>
      <c r="I1800" s="241" t="s">
        <v>1327</v>
      </c>
      <c r="J1800" s="221" t="b">
        <f>EXACT(E1801,[1]Main!E1801)</f>
        <v>1</v>
      </c>
    </row>
    <row r="1801" spans="1:10" x14ac:dyDescent="0.25">
      <c r="A1801" s="249">
        <v>45130</v>
      </c>
      <c r="B1801" s="237">
        <f>3100+80</f>
        <v>3180</v>
      </c>
      <c r="C1801" s="238" t="s">
        <v>24</v>
      </c>
      <c r="D1801" s="349" t="s">
        <v>766</v>
      </c>
      <c r="E1801" s="237">
        <v>2000</v>
      </c>
      <c r="F1801" s="242" t="s">
        <v>1328</v>
      </c>
      <c r="G1801" s="239" t="s">
        <v>938</v>
      </c>
      <c r="H1801" s="240">
        <f t="shared" si="28"/>
        <v>210058</v>
      </c>
      <c r="I1801" s="241" t="s">
        <v>1071</v>
      </c>
      <c r="J1801" s="221" t="b">
        <f>EXACT(E1802,[1]Main!E1802)</f>
        <v>1</v>
      </c>
    </row>
    <row r="1802" spans="1:10" x14ac:dyDescent="0.25">
      <c r="A1802" s="249">
        <v>45130</v>
      </c>
      <c r="B1802" s="237">
        <v>18183</v>
      </c>
      <c r="C1802" s="238" t="s">
        <v>363</v>
      </c>
      <c r="D1802" s="349"/>
      <c r="E1802" s="237">
        <v>1570</v>
      </c>
      <c r="F1802" s="242" t="s">
        <v>331</v>
      </c>
      <c r="G1802" s="239" t="s">
        <v>928</v>
      </c>
      <c r="H1802" s="240">
        <f t="shared" si="28"/>
        <v>226671</v>
      </c>
      <c r="I1802" s="241"/>
      <c r="J1802" s="221" t="b">
        <f>EXACT(E1803,[1]Main!E1803)</f>
        <v>1</v>
      </c>
    </row>
    <row r="1803" spans="1:10" x14ac:dyDescent="0.25">
      <c r="A1803" s="249">
        <v>45130</v>
      </c>
      <c r="B1803" s="237">
        <v>7245</v>
      </c>
      <c r="C1803" s="238" t="s">
        <v>1162</v>
      </c>
      <c r="D1803" s="349"/>
      <c r="E1803" s="237">
        <v>125</v>
      </c>
      <c r="F1803" s="242" t="s">
        <v>38</v>
      </c>
      <c r="G1803" s="239" t="s">
        <v>1098</v>
      </c>
      <c r="H1803" s="240">
        <f t="shared" si="28"/>
        <v>233791</v>
      </c>
      <c r="I1803" s="241"/>
      <c r="J1803" s="221" t="b">
        <f>EXACT(E1804,[1]Main!E1804)</f>
        <v>1</v>
      </c>
    </row>
    <row r="1804" spans="1:10" x14ac:dyDescent="0.25">
      <c r="A1804" s="249">
        <v>45130</v>
      </c>
      <c r="B1804" s="237">
        <v>1454</v>
      </c>
      <c r="C1804" s="238" t="s">
        <v>1298</v>
      </c>
      <c r="D1804" s="349"/>
      <c r="E1804" s="237">
        <v>75</v>
      </c>
      <c r="F1804" s="242" t="s">
        <v>13</v>
      </c>
      <c r="G1804" s="239" t="s">
        <v>1098</v>
      </c>
      <c r="H1804" s="240">
        <f t="shared" si="28"/>
        <v>235170</v>
      </c>
      <c r="I1804" s="241"/>
      <c r="J1804" s="221" t="b">
        <f>EXACT(E1805,[1]Main!E1805)</f>
        <v>1</v>
      </c>
    </row>
    <row r="1805" spans="1:10" x14ac:dyDescent="0.25">
      <c r="A1805" s="249">
        <v>45130</v>
      </c>
      <c r="B1805" s="237"/>
      <c r="C1805" s="238"/>
      <c r="D1805" s="349"/>
      <c r="E1805" s="237">
        <v>105</v>
      </c>
      <c r="F1805" s="242" t="s">
        <v>708</v>
      </c>
      <c r="G1805" s="239" t="s">
        <v>1098</v>
      </c>
      <c r="H1805" s="240">
        <f t="shared" si="28"/>
        <v>235065</v>
      </c>
      <c r="I1805" s="241" t="s">
        <v>796</v>
      </c>
      <c r="J1805" s="221" t="b">
        <f>EXACT(E1806,[1]Main!E1806)</f>
        <v>1</v>
      </c>
    </row>
    <row r="1806" spans="1:10" x14ac:dyDescent="0.25">
      <c r="A1806" s="249">
        <v>45130</v>
      </c>
      <c r="B1806" s="237"/>
      <c r="C1806" s="238"/>
      <c r="D1806" s="349"/>
      <c r="E1806" s="237">
        <v>300</v>
      </c>
      <c r="F1806" s="242" t="s">
        <v>1329</v>
      </c>
      <c r="G1806" s="239" t="s">
        <v>928</v>
      </c>
      <c r="H1806" s="240">
        <f t="shared" si="28"/>
        <v>234765</v>
      </c>
      <c r="I1806" s="241"/>
      <c r="J1806" s="221" t="b">
        <f>EXACT(E1807,[1]Main!E1807)</f>
        <v>1</v>
      </c>
    </row>
    <row r="1807" spans="1:10" x14ac:dyDescent="0.25">
      <c r="A1807" s="249">
        <v>45130</v>
      </c>
      <c r="B1807" s="237"/>
      <c r="C1807" s="238"/>
      <c r="D1807" s="349"/>
      <c r="E1807" s="237">
        <v>1395</v>
      </c>
      <c r="F1807" s="242" t="s">
        <v>1060</v>
      </c>
      <c r="G1807" s="239" t="s">
        <v>928</v>
      </c>
      <c r="H1807" s="240">
        <f t="shared" si="28"/>
        <v>233370</v>
      </c>
      <c r="I1807" s="241"/>
      <c r="J1807" s="221" t="b">
        <f>EXACT(E1808,[1]Main!E1808)</f>
        <v>1</v>
      </c>
    </row>
    <row r="1808" spans="1:10" x14ac:dyDescent="0.25">
      <c r="A1808" s="249">
        <v>45130</v>
      </c>
      <c r="B1808" s="237"/>
      <c r="C1808" s="238"/>
      <c r="D1808" s="349"/>
      <c r="E1808" s="237">
        <v>370</v>
      </c>
      <c r="F1808" s="242" t="s">
        <v>1330</v>
      </c>
      <c r="G1808" s="239" t="s">
        <v>935</v>
      </c>
      <c r="H1808" s="240">
        <f t="shared" si="28"/>
        <v>233000</v>
      </c>
      <c r="I1808" s="241"/>
      <c r="J1808" s="221" t="b">
        <f>EXACT(E1809,[1]Main!E1809)</f>
        <v>1</v>
      </c>
    </row>
    <row r="1809" spans="1:10" x14ac:dyDescent="0.25">
      <c r="A1809" s="249">
        <v>45130</v>
      </c>
      <c r="B1809" s="237"/>
      <c r="C1809" s="238"/>
      <c r="D1809" s="349"/>
      <c r="E1809" s="237">
        <v>100</v>
      </c>
      <c r="F1809" s="242" t="s">
        <v>1331</v>
      </c>
      <c r="G1809" s="239" t="s">
        <v>464</v>
      </c>
      <c r="H1809" s="240">
        <f t="shared" si="28"/>
        <v>232900</v>
      </c>
      <c r="I1809" s="241"/>
      <c r="J1809" s="221" t="b">
        <f>EXACT(E1810,[1]Main!E1810)</f>
        <v>1</v>
      </c>
    </row>
    <row r="1810" spans="1:10" x14ac:dyDescent="0.25">
      <c r="A1810" s="249">
        <v>45130</v>
      </c>
      <c r="B1810" s="237"/>
      <c r="C1810" s="238"/>
      <c r="D1810" s="349"/>
      <c r="E1810" s="237">
        <v>195</v>
      </c>
      <c r="F1810" s="242" t="s">
        <v>27</v>
      </c>
      <c r="G1810" s="239" t="s">
        <v>943</v>
      </c>
      <c r="H1810" s="240">
        <f t="shared" si="28"/>
        <v>232705</v>
      </c>
      <c r="I1810" s="241"/>
      <c r="J1810" s="221" t="b">
        <f>EXACT(E1811,[1]Main!E1811)</f>
        <v>1</v>
      </c>
    </row>
    <row r="1811" spans="1:10" x14ac:dyDescent="0.25">
      <c r="A1811" s="249">
        <v>45130</v>
      </c>
      <c r="B1811" s="237"/>
      <c r="C1811" s="238"/>
      <c r="D1811" s="349"/>
      <c r="E1811" s="237">
        <v>3450</v>
      </c>
      <c r="F1811" s="242" t="s">
        <v>1332</v>
      </c>
      <c r="G1811" s="239" t="s">
        <v>464</v>
      </c>
      <c r="H1811" s="240">
        <f t="shared" si="28"/>
        <v>229255</v>
      </c>
      <c r="I1811" s="241"/>
      <c r="J1811" s="221" t="b">
        <f>EXACT(E1812,[1]Main!E1812)</f>
        <v>1</v>
      </c>
    </row>
    <row r="1812" spans="1:10" x14ac:dyDescent="0.25">
      <c r="A1812" s="249">
        <v>45130</v>
      </c>
      <c r="B1812" s="237"/>
      <c r="C1812" s="238"/>
      <c r="D1812" s="349"/>
      <c r="E1812" s="237">
        <v>105</v>
      </c>
      <c r="F1812" s="242" t="s">
        <v>19</v>
      </c>
      <c r="G1812" s="239" t="s">
        <v>1098</v>
      </c>
      <c r="H1812" s="240">
        <f t="shared" si="28"/>
        <v>229150</v>
      </c>
      <c r="I1812" s="241"/>
      <c r="J1812" s="221" t="b">
        <f>EXACT(E1813,[1]Main!E1813)</f>
        <v>1</v>
      </c>
    </row>
    <row r="1813" spans="1:10" x14ac:dyDescent="0.25">
      <c r="A1813" s="249">
        <v>45130</v>
      </c>
      <c r="B1813" s="237"/>
      <c r="C1813" s="238"/>
      <c r="D1813" s="349"/>
      <c r="E1813" s="237">
        <v>610</v>
      </c>
      <c r="F1813" s="242" t="s">
        <v>11</v>
      </c>
      <c r="G1813" s="239" t="s">
        <v>935</v>
      </c>
      <c r="H1813" s="240">
        <f t="shared" si="28"/>
        <v>228540</v>
      </c>
      <c r="I1813" s="241"/>
      <c r="J1813" s="221" t="b">
        <f>EXACT(E1814,[1]Main!E1814)</f>
        <v>1</v>
      </c>
    </row>
    <row r="1814" spans="1:10" x14ac:dyDescent="0.25">
      <c r="A1814" s="249">
        <v>45130</v>
      </c>
      <c r="B1814" s="237"/>
      <c r="C1814" s="238"/>
      <c r="D1814" s="349"/>
      <c r="E1814" s="237">
        <v>520</v>
      </c>
      <c r="F1814" s="242" t="s">
        <v>1345</v>
      </c>
      <c r="G1814" s="239" t="s">
        <v>928</v>
      </c>
      <c r="H1814" s="240">
        <f t="shared" si="28"/>
        <v>228020</v>
      </c>
      <c r="I1814" s="241"/>
      <c r="J1814" s="221" t="b">
        <f>EXACT(E1815,[1]Main!E1815)</f>
        <v>1</v>
      </c>
    </row>
    <row r="1815" spans="1:10" x14ac:dyDescent="0.25">
      <c r="A1815" s="249">
        <v>45130</v>
      </c>
      <c r="B1815" s="237"/>
      <c r="C1815" s="238"/>
      <c r="D1815" s="349"/>
      <c r="E1815" s="237">
        <v>260</v>
      </c>
      <c r="F1815" s="242" t="s">
        <v>400</v>
      </c>
      <c r="G1815" s="239" t="s">
        <v>935</v>
      </c>
      <c r="H1815" s="240">
        <f t="shared" si="28"/>
        <v>227760</v>
      </c>
      <c r="I1815" s="241"/>
      <c r="J1815" s="221" t="b">
        <f>EXACT(E1816,[1]Main!E1816)</f>
        <v>1</v>
      </c>
    </row>
    <row r="1816" spans="1:10" x14ac:dyDescent="0.25">
      <c r="A1816" s="249">
        <v>45130</v>
      </c>
      <c r="B1816" s="237"/>
      <c r="C1816" s="238"/>
      <c r="D1816" s="349"/>
      <c r="E1816" s="237">
        <v>400</v>
      </c>
      <c r="F1816" s="242" t="s">
        <v>37</v>
      </c>
      <c r="G1816" s="239" t="s">
        <v>928</v>
      </c>
      <c r="H1816" s="240">
        <f t="shared" si="28"/>
        <v>227360</v>
      </c>
      <c r="I1816" s="241"/>
      <c r="J1816" s="221" t="b">
        <f>EXACT(E1817,[1]Main!E1817)</f>
        <v>1</v>
      </c>
    </row>
    <row r="1817" spans="1:10" x14ac:dyDescent="0.25">
      <c r="A1817" s="249">
        <v>45130</v>
      </c>
      <c r="B1817" s="237"/>
      <c r="C1817" s="238"/>
      <c r="D1817" s="349"/>
      <c r="E1817" s="237">
        <v>400</v>
      </c>
      <c r="F1817" s="242" t="s">
        <v>1346</v>
      </c>
      <c r="G1817" s="239" t="s">
        <v>931</v>
      </c>
      <c r="H1817" s="240">
        <f t="shared" si="28"/>
        <v>226960</v>
      </c>
      <c r="I1817" s="241"/>
      <c r="J1817" s="221" t="b">
        <f>EXACT(E1818,[1]Main!E1818)</f>
        <v>1</v>
      </c>
    </row>
    <row r="1818" spans="1:10" x14ac:dyDescent="0.25">
      <c r="A1818" s="249">
        <v>45130</v>
      </c>
      <c r="B1818" s="237"/>
      <c r="C1818" s="238"/>
      <c r="D1818" s="349"/>
      <c r="E1818" s="237">
        <v>10000</v>
      </c>
      <c r="F1818" s="242" t="s">
        <v>182</v>
      </c>
      <c r="G1818" s="239" t="s">
        <v>941</v>
      </c>
      <c r="H1818" s="240">
        <f t="shared" si="28"/>
        <v>216960</v>
      </c>
      <c r="I1818" s="241"/>
      <c r="J1818" s="221" t="b">
        <f>EXACT(E1819,[1]Main!E1819)</f>
        <v>1</v>
      </c>
    </row>
    <row r="1819" spans="1:10" x14ac:dyDescent="0.25">
      <c r="A1819" s="249">
        <v>45130</v>
      </c>
      <c r="B1819" s="237"/>
      <c r="C1819" s="238"/>
      <c r="D1819" s="349"/>
      <c r="E1819" s="237">
        <v>1000</v>
      </c>
      <c r="F1819" s="242" t="s">
        <v>1347</v>
      </c>
      <c r="G1819" s="239" t="s">
        <v>464</v>
      </c>
      <c r="H1819" s="240">
        <f t="shared" si="28"/>
        <v>215960</v>
      </c>
      <c r="I1819" s="241"/>
      <c r="J1819" s="221" t="b">
        <f>EXACT(E1820,[1]Main!E1820)</f>
        <v>1</v>
      </c>
    </row>
    <row r="1820" spans="1:10" x14ac:dyDescent="0.25">
      <c r="A1820" s="249">
        <v>45130</v>
      </c>
      <c r="B1820" s="237"/>
      <c r="C1820" s="238"/>
      <c r="D1820" s="349"/>
      <c r="E1820" s="237">
        <f>30*113+128*5+2260</f>
        <v>6290</v>
      </c>
      <c r="F1820" s="242" t="s">
        <v>16</v>
      </c>
      <c r="G1820" s="239" t="s">
        <v>936</v>
      </c>
      <c r="H1820" s="240">
        <f t="shared" si="28"/>
        <v>209670</v>
      </c>
      <c r="I1820" s="241"/>
      <c r="J1820" s="221" t="b">
        <f>EXACT(E1821,[1]Main!E1821)</f>
        <v>1</v>
      </c>
    </row>
    <row r="1821" spans="1:10" x14ac:dyDescent="0.25">
      <c r="A1821" s="249">
        <v>45130</v>
      </c>
      <c r="B1821" s="237"/>
      <c r="C1821" s="238"/>
      <c r="D1821" s="349"/>
      <c r="E1821" s="237">
        <v>3410</v>
      </c>
      <c r="F1821" s="242" t="s">
        <v>1348</v>
      </c>
      <c r="G1821" s="239" t="s">
        <v>929</v>
      </c>
      <c r="H1821" s="240">
        <f t="shared" si="28"/>
        <v>206260</v>
      </c>
      <c r="I1821" s="241"/>
      <c r="J1821" s="221" t="b">
        <f>EXACT(E1822,[1]Main!E1822)</f>
        <v>1</v>
      </c>
    </row>
    <row r="1822" spans="1:10" x14ac:dyDescent="0.25">
      <c r="A1822" s="249">
        <v>45130</v>
      </c>
      <c r="B1822" s="237"/>
      <c r="C1822" s="238"/>
      <c r="D1822" s="349"/>
      <c r="E1822" s="237">
        <v>2640</v>
      </c>
      <c r="F1822" s="242" t="s">
        <v>1349</v>
      </c>
      <c r="G1822" s="239" t="s">
        <v>928</v>
      </c>
      <c r="H1822" s="240">
        <f t="shared" si="28"/>
        <v>203620</v>
      </c>
      <c r="I1822" s="241" t="s">
        <v>1350</v>
      </c>
      <c r="J1822" s="221" t="b">
        <f>EXACT(E1823,[1]Main!E1823)</f>
        <v>1</v>
      </c>
    </row>
    <row r="1823" spans="1:10" x14ac:dyDescent="0.25">
      <c r="A1823" s="249">
        <v>45130</v>
      </c>
      <c r="B1823" s="237"/>
      <c r="C1823" s="238"/>
      <c r="D1823" s="349"/>
      <c r="E1823" s="237">
        <v>1980</v>
      </c>
      <c r="F1823" s="242" t="s">
        <v>27</v>
      </c>
      <c r="G1823" s="239" t="s">
        <v>943</v>
      </c>
      <c r="H1823" s="240">
        <f t="shared" si="28"/>
        <v>201640</v>
      </c>
      <c r="I1823" s="241"/>
      <c r="J1823" s="221" t="b">
        <f>EXACT(E1824,[1]Main!E1824)</f>
        <v>1</v>
      </c>
    </row>
    <row r="1824" spans="1:10" x14ac:dyDescent="0.25">
      <c r="A1824" s="249">
        <v>45130</v>
      </c>
      <c r="B1824" s="237"/>
      <c r="C1824" s="238"/>
      <c r="D1824" s="349"/>
      <c r="E1824" s="237">
        <v>95</v>
      </c>
      <c r="F1824" s="242" t="s">
        <v>27</v>
      </c>
      <c r="G1824" s="239" t="s">
        <v>943</v>
      </c>
      <c r="H1824" s="240">
        <f t="shared" si="28"/>
        <v>201545</v>
      </c>
      <c r="I1824" s="241"/>
      <c r="J1824" s="221" t="b">
        <f>EXACT(E1825,[1]Main!E1825)</f>
        <v>1</v>
      </c>
    </row>
    <row r="1825" spans="1:10" x14ac:dyDescent="0.25">
      <c r="A1825" s="249">
        <v>45130</v>
      </c>
      <c r="B1825" s="237"/>
      <c r="C1825" s="238"/>
      <c r="D1825" s="349"/>
      <c r="E1825" s="237">
        <v>1500</v>
      </c>
      <c r="F1825" s="242" t="s">
        <v>1289</v>
      </c>
      <c r="G1825" s="239" t="s">
        <v>935</v>
      </c>
      <c r="H1825" s="240">
        <f t="shared" si="28"/>
        <v>200045</v>
      </c>
      <c r="I1825" s="241"/>
      <c r="J1825" s="221" t="b">
        <f>EXACT(E1826,[1]Main!E1826)</f>
        <v>1</v>
      </c>
    </row>
    <row r="1826" spans="1:10" x14ac:dyDescent="0.25">
      <c r="A1826" s="249">
        <v>45130</v>
      </c>
      <c r="B1826" s="237"/>
      <c r="C1826" s="238"/>
      <c r="D1826" s="349"/>
      <c r="E1826" s="237">
        <v>18700</v>
      </c>
      <c r="F1826" s="242" t="s">
        <v>1015</v>
      </c>
      <c r="G1826" s="239" t="s">
        <v>928</v>
      </c>
      <c r="H1826" s="240">
        <f t="shared" si="28"/>
        <v>181345</v>
      </c>
      <c r="I1826" s="241"/>
      <c r="J1826" s="221" t="b">
        <f>EXACT(E1827,[1]Main!E1827)</f>
        <v>1</v>
      </c>
    </row>
    <row r="1827" spans="1:10" x14ac:dyDescent="0.25">
      <c r="A1827" s="249">
        <v>45130</v>
      </c>
      <c r="B1827" s="237"/>
      <c r="C1827" s="238"/>
      <c r="D1827" s="349"/>
      <c r="E1827" s="237">
        <v>3000</v>
      </c>
      <c r="F1827" s="242" t="s">
        <v>338</v>
      </c>
      <c r="G1827" s="239" t="s">
        <v>928</v>
      </c>
      <c r="H1827" s="240">
        <f t="shared" si="28"/>
        <v>178345</v>
      </c>
      <c r="I1827" s="241" t="s">
        <v>1137</v>
      </c>
      <c r="J1827" s="221" t="b">
        <f>EXACT(E1828,[1]Main!E1828)</f>
        <v>1</v>
      </c>
    </row>
    <row r="1828" spans="1:10" x14ac:dyDescent="0.25">
      <c r="A1828" s="249">
        <v>45130</v>
      </c>
      <c r="B1828" s="237"/>
      <c r="C1828" s="238"/>
      <c r="D1828" s="349"/>
      <c r="E1828" s="237">
        <v>3000</v>
      </c>
      <c r="F1828" s="242" t="s">
        <v>1351</v>
      </c>
      <c r="G1828" s="239" t="s">
        <v>928</v>
      </c>
      <c r="H1828" s="240">
        <f t="shared" si="28"/>
        <v>175345</v>
      </c>
      <c r="I1828" s="241" t="s">
        <v>1352</v>
      </c>
      <c r="J1828" s="221" t="b">
        <f>EXACT(E1829,[1]Main!E1829)</f>
        <v>1</v>
      </c>
    </row>
    <row r="1829" spans="1:10" x14ac:dyDescent="0.25">
      <c r="A1829" s="249">
        <v>45130</v>
      </c>
      <c r="B1829" s="237"/>
      <c r="C1829" s="238"/>
      <c r="D1829" s="349"/>
      <c r="E1829" s="237">
        <v>175</v>
      </c>
      <c r="F1829" s="242" t="s">
        <v>915</v>
      </c>
      <c r="G1829" s="239" t="s">
        <v>1098</v>
      </c>
      <c r="H1829" s="240">
        <f t="shared" si="28"/>
        <v>175170</v>
      </c>
      <c r="I1829" s="241"/>
      <c r="J1829" s="221" t="b">
        <f>EXACT(E1830,[1]Main!E1830)</f>
        <v>1</v>
      </c>
    </row>
    <row r="1830" spans="1:10" x14ac:dyDescent="0.25">
      <c r="A1830" s="249">
        <v>45130</v>
      </c>
      <c r="B1830" s="237"/>
      <c r="C1830" s="238"/>
      <c r="D1830" s="349"/>
      <c r="E1830" s="237">
        <v>40</v>
      </c>
      <c r="F1830" s="242" t="s">
        <v>1353</v>
      </c>
      <c r="G1830" s="239" t="s">
        <v>464</v>
      </c>
      <c r="H1830" s="240">
        <f t="shared" si="28"/>
        <v>175130</v>
      </c>
      <c r="I1830" s="241"/>
      <c r="J1830" s="221" t="b">
        <f>EXACT(E1831,[1]Main!E1831)</f>
        <v>1</v>
      </c>
    </row>
    <row r="1831" spans="1:10" x14ac:dyDescent="0.25">
      <c r="A1831" s="249">
        <v>45130</v>
      </c>
      <c r="B1831" s="237"/>
      <c r="C1831" s="238"/>
      <c r="D1831" s="349"/>
      <c r="E1831" s="237">
        <v>170</v>
      </c>
      <c r="F1831" s="242" t="s">
        <v>1354</v>
      </c>
      <c r="G1831" s="239" t="s">
        <v>1098</v>
      </c>
      <c r="H1831" s="240">
        <f t="shared" si="28"/>
        <v>174960</v>
      </c>
      <c r="I1831" s="241"/>
      <c r="J1831" s="221" t="b">
        <f>EXACT(E1832,[1]Main!E1832)</f>
        <v>1</v>
      </c>
    </row>
    <row r="1832" spans="1:10" x14ac:dyDescent="0.25">
      <c r="A1832" s="249">
        <v>45130</v>
      </c>
      <c r="B1832" s="237"/>
      <c r="C1832" s="238"/>
      <c r="D1832" s="349"/>
      <c r="E1832" s="237">
        <v>175</v>
      </c>
      <c r="F1832" s="242" t="s">
        <v>1355</v>
      </c>
      <c r="G1832" s="239" t="s">
        <v>1098</v>
      </c>
      <c r="H1832" s="240">
        <f t="shared" si="28"/>
        <v>174785</v>
      </c>
      <c r="I1832" s="241"/>
      <c r="J1832" s="221" t="b">
        <f>EXACT(E1833,[1]Main!E1833)</f>
        <v>1</v>
      </c>
    </row>
    <row r="1833" spans="1:10" x14ac:dyDescent="0.25">
      <c r="A1833" s="249">
        <v>45130</v>
      </c>
      <c r="B1833" s="237"/>
      <c r="C1833" s="238"/>
      <c r="D1833" s="349"/>
      <c r="E1833" s="237">
        <v>140</v>
      </c>
      <c r="F1833" s="242" t="s">
        <v>1278</v>
      </c>
      <c r="G1833" s="239" t="s">
        <v>1098</v>
      </c>
      <c r="H1833" s="240">
        <f t="shared" si="28"/>
        <v>174645</v>
      </c>
      <c r="I1833" s="241"/>
      <c r="J1833" s="221" t="b">
        <f>EXACT(E1834,[1]Main!E1834)</f>
        <v>1</v>
      </c>
    </row>
    <row r="1834" spans="1:10" x14ac:dyDescent="0.25">
      <c r="A1834" s="249">
        <v>45130</v>
      </c>
      <c r="B1834" s="237"/>
      <c r="C1834" s="238"/>
      <c r="D1834" s="349"/>
      <c r="E1834" s="237">
        <v>140</v>
      </c>
      <c r="F1834" s="242" t="s">
        <v>1006</v>
      </c>
      <c r="G1834" s="239" t="s">
        <v>1098</v>
      </c>
      <c r="H1834" s="240">
        <f t="shared" si="28"/>
        <v>174505</v>
      </c>
      <c r="I1834" s="241"/>
      <c r="J1834" s="221" t="b">
        <f>EXACT(E1835,[1]Main!E1835)</f>
        <v>1</v>
      </c>
    </row>
    <row r="1835" spans="1:10" x14ac:dyDescent="0.25">
      <c r="A1835" s="249">
        <v>45130</v>
      </c>
      <c r="B1835" s="237"/>
      <c r="C1835" s="238"/>
      <c r="D1835" s="349"/>
      <c r="E1835" s="237">
        <v>100</v>
      </c>
      <c r="F1835" s="242" t="s">
        <v>1356</v>
      </c>
      <c r="G1835" s="239" t="s">
        <v>1098</v>
      </c>
      <c r="H1835" s="240">
        <f t="shared" si="28"/>
        <v>174405</v>
      </c>
      <c r="I1835" s="241"/>
      <c r="J1835" s="221" t="b">
        <f>EXACT(E1836,[1]Main!E1836)</f>
        <v>1</v>
      </c>
    </row>
    <row r="1836" spans="1:10" x14ac:dyDescent="0.25">
      <c r="A1836" s="249">
        <v>45130</v>
      </c>
      <c r="B1836" s="237"/>
      <c r="C1836" s="238"/>
      <c r="D1836" s="349"/>
      <c r="E1836" s="237">
        <v>250</v>
      </c>
      <c r="F1836" s="242" t="s">
        <v>133</v>
      </c>
      <c r="G1836" s="239" t="s">
        <v>935</v>
      </c>
      <c r="H1836" s="240">
        <f t="shared" si="28"/>
        <v>174155</v>
      </c>
      <c r="I1836" s="241"/>
      <c r="J1836" s="221" t="b">
        <f>EXACT(E1837,[1]Main!E1837)</f>
        <v>1</v>
      </c>
    </row>
    <row r="1837" spans="1:10" x14ac:dyDescent="0.25">
      <c r="A1837" s="249">
        <v>45130</v>
      </c>
      <c r="B1837" s="237"/>
      <c r="C1837" s="238"/>
      <c r="D1837" s="349"/>
      <c r="E1837" s="237">
        <v>870</v>
      </c>
      <c r="F1837" s="242" t="s">
        <v>1357</v>
      </c>
      <c r="G1837" s="239" t="s">
        <v>928</v>
      </c>
      <c r="H1837" s="240">
        <f t="shared" si="28"/>
        <v>173285</v>
      </c>
      <c r="I1837" s="241"/>
      <c r="J1837" s="221" t="b">
        <f>EXACT(E1838,[1]Main!E1838)</f>
        <v>1</v>
      </c>
    </row>
    <row r="1838" spans="1:10" x14ac:dyDescent="0.25">
      <c r="A1838" s="249">
        <v>45130</v>
      </c>
      <c r="B1838" s="237"/>
      <c r="C1838" s="238"/>
      <c r="D1838" s="349"/>
      <c r="E1838" s="237">
        <v>2135</v>
      </c>
      <c r="F1838" s="242" t="s">
        <v>1082</v>
      </c>
      <c r="G1838" s="239" t="s">
        <v>974</v>
      </c>
      <c r="H1838" s="240">
        <f t="shared" si="28"/>
        <v>171150</v>
      </c>
      <c r="I1838" s="241"/>
      <c r="J1838" s="221" t="b">
        <f>EXACT(E1839,[1]Main!E1839)</f>
        <v>1</v>
      </c>
    </row>
    <row r="1839" spans="1:10" x14ac:dyDescent="0.25">
      <c r="A1839" s="249">
        <v>45130</v>
      </c>
      <c r="B1839" s="237"/>
      <c r="C1839" s="238"/>
      <c r="D1839" s="349"/>
      <c r="E1839" s="237">
        <v>140</v>
      </c>
      <c r="F1839" s="242" t="s">
        <v>1358</v>
      </c>
      <c r="G1839" s="239" t="s">
        <v>928</v>
      </c>
      <c r="H1839" s="240">
        <f t="shared" si="28"/>
        <v>171010</v>
      </c>
      <c r="I1839" s="241"/>
      <c r="J1839" s="221" t="b">
        <f>EXACT(E1840,[1]Main!E1840)</f>
        <v>1</v>
      </c>
    </row>
    <row r="1840" spans="1:10" x14ac:dyDescent="0.25">
      <c r="A1840" s="249">
        <v>45130</v>
      </c>
      <c r="B1840" s="237"/>
      <c r="C1840" s="238"/>
      <c r="D1840" s="349"/>
      <c r="E1840" s="237">
        <v>730</v>
      </c>
      <c r="F1840" s="242" t="s">
        <v>1359</v>
      </c>
      <c r="G1840" s="239" t="s">
        <v>928</v>
      </c>
      <c r="H1840" s="240">
        <f t="shared" si="28"/>
        <v>170280</v>
      </c>
      <c r="I1840" s="241"/>
      <c r="J1840" s="221" t="b">
        <f>EXACT(E1841,[1]Main!E1841)</f>
        <v>1</v>
      </c>
    </row>
    <row r="1841" spans="1:10" x14ac:dyDescent="0.25">
      <c r="A1841" s="249">
        <v>45130</v>
      </c>
      <c r="B1841" s="237"/>
      <c r="C1841" s="238"/>
      <c r="D1841" s="349"/>
      <c r="E1841" s="237">
        <v>51</v>
      </c>
      <c r="F1841" s="242" t="s">
        <v>1279</v>
      </c>
      <c r="G1841" s="239" t="s">
        <v>464</v>
      </c>
      <c r="H1841" s="240">
        <f t="shared" si="28"/>
        <v>170229</v>
      </c>
      <c r="I1841" s="241"/>
      <c r="J1841" s="221" t="b">
        <f>EXACT(E1842,[1]Main!E1842)</f>
        <v>1</v>
      </c>
    </row>
    <row r="1842" spans="1:10" x14ac:dyDescent="0.25">
      <c r="A1842" s="249">
        <v>45130</v>
      </c>
      <c r="B1842" s="237"/>
      <c r="C1842" s="238"/>
      <c r="D1842" s="349"/>
      <c r="E1842" s="237">
        <v>965</v>
      </c>
      <c r="F1842" s="242" t="s">
        <v>1360</v>
      </c>
      <c r="G1842" s="239" t="s">
        <v>928</v>
      </c>
      <c r="H1842" s="240">
        <f t="shared" si="28"/>
        <v>169264</v>
      </c>
      <c r="I1842" s="241"/>
      <c r="J1842" s="221" t="b">
        <f>EXACT(E1843,[1]Main!E1843)</f>
        <v>1</v>
      </c>
    </row>
    <row r="1843" spans="1:10" x14ac:dyDescent="0.25">
      <c r="A1843" s="249">
        <v>45130</v>
      </c>
      <c r="B1843" s="237"/>
      <c r="C1843" s="238"/>
      <c r="D1843" s="349"/>
      <c r="E1843" s="237">
        <v>195</v>
      </c>
      <c r="F1843" s="242" t="s">
        <v>799</v>
      </c>
      <c r="G1843" s="239" t="s">
        <v>1098</v>
      </c>
      <c r="H1843" s="240">
        <f t="shared" si="28"/>
        <v>169069</v>
      </c>
      <c r="I1843" s="241"/>
      <c r="J1843" s="221" t="b">
        <f>EXACT(E1844,[1]Main!E1844)</f>
        <v>1</v>
      </c>
    </row>
    <row r="1844" spans="1:10" x14ac:dyDescent="0.25">
      <c r="A1844" s="249">
        <v>45130</v>
      </c>
      <c r="B1844" s="237"/>
      <c r="C1844" s="238"/>
      <c r="D1844" s="349"/>
      <c r="E1844" s="237">
        <v>500</v>
      </c>
      <c r="F1844" s="242" t="s">
        <v>1361</v>
      </c>
      <c r="G1844" s="239" t="s">
        <v>935</v>
      </c>
      <c r="H1844" s="240">
        <f t="shared" si="28"/>
        <v>168569</v>
      </c>
      <c r="I1844" s="241"/>
      <c r="J1844" s="221" t="b">
        <f>EXACT(E1845,[1]Main!E1845)</f>
        <v>1</v>
      </c>
    </row>
    <row r="1845" spans="1:10" x14ac:dyDescent="0.25">
      <c r="A1845" s="249">
        <v>45130</v>
      </c>
      <c r="B1845" s="237"/>
      <c r="C1845" s="238"/>
      <c r="D1845" s="349"/>
      <c r="E1845" s="237">
        <v>310</v>
      </c>
      <c r="F1845" s="242" t="s">
        <v>1362</v>
      </c>
      <c r="G1845" s="239" t="s">
        <v>930</v>
      </c>
      <c r="H1845" s="240">
        <f t="shared" si="28"/>
        <v>168259</v>
      </c>
      <c r="I1845" s="241"/>
      <c r="J1845" s="221" t="b">
        <f>EXACT(E1846,[1]Main!E1846)</f>
        <v>1</v>
      </c>
    </row>
    <row r="1846" spans="1:10" x14ac:dyDescent="0.25">
      <c r="A1846" s="249">
        <v>45130</v>
      </c>
      <c r="B1846" s="237"/>
      <c r="C1846" s="238"/>
      <c r="D1846" s="349"/>
      <c r="E1846" s="237">
        <v>140</v>
      </c>
      <c r="F1846" s="242" t="s">
        <v>1363</v>
      </c>
      <c r="G1846" s="239" t="s">
        <v>930</v>
      </c>
      <c r="H1846" s="240">
        <f t="shared" si="28"/>
        <v>168119</v>
      </c>
      <c r="I1846" s="241"/>
      <c r="J1846" s="221" t="b">
        <f>EXACT(E1847,[1]Main!E1847)</f>
        <v>1</v>
      </c>
    </row>
    <row r="1847" spans="1:10" x14ac:dyDescent="0.25">
      <c r="A1847" s="249">
        <v>45130</v>
      </c>
      <c r="B1847" s="237"/>
      <c r="C1847" s="238"/>
      <c r="D1847" s="349"/>
      <c r="E1847" s="237">
        <v>65</v>
      </c>
      <c r="F1847" s="242" t="s">
        <v>1364</v>
      </c>
      <c r="G1847" s="239" t="s">
        <v>935</v>
      </c>
      <c r="H1847" s="240">
        <f t="shared" si="28"/>
        <v>168054</v>
      </c>
      <c r="I1847" s="241"/>
      <c r="J1847" s="221" t="b">
        <f>EXACT(E1848,[1]Main!E1848)</f>
        <v>1</v>
      </c>
    </row>
    <row r="1848" spans="1:10" x14ac:dyDescent="0.25">
      <c r="A1848" s="249">
        <v>45130</v>
      </c>
      <c r="B1848" s="237"/>
      <c r="C1848" s="238"/>
      <c r="D1848" s="349"/>
      <c r="E1848" s="237">
        <v>29</v>
      </c>
      <c r="F1848" s="242" t="s">
        <v>1365</v>
      </c>
      <c r="G1848" s="239" t="s">
        <v>464</v>
      </c>
      <c r="H1848" s="240">
        <f t="shared" si="28"/>
        <v>168025</v>
      </c>
      <c r="I1848" s="241"/>
      <c r="J1848" s="221" t="b">
        <f>EXACT(E1849,[1]Main!E1849)</f>
        <v>1</v>
      </c>
    </row>
    <row r="1849" spans="1:10" x14ac:dyDescent="0.25">
      <c r="A1849" s="249">
        <v>45130</v>
      </c>
      <c r="B1849" s="237"/>
      <c r="C1849" s="238"/>
      <c r="D1849" s="349"/>
      <c r="E1849" s="237">
        <v>125</v>
      </c>
      <c r="F1849" s="242" t="s">
        <v>1366</v>
      </c>
      <c r="G1849" s="239" t="s">
        <v>464</v>
      </c>
      <c r="H1849" s="240">
        <f t="shared" si="28"/>
        <v>167900</v>
      </c>
      <c r="I1849" s="241" t="s">
        <v>78</v>
      </c>
      <c r="J1849" s="221" t="b">
        <f>EXACT(E1850,[1]Main!E1850)</f>
        <v>1</v>
      </c>
    </row>
    <row r="1850" spans="1:10" x14ac:dyDescent="0.25">
      <c r="A1850" s="249">
        <v>45130</v>
      </c>
      <c r="B1850" s="237"/>
      <c r="C1850" s="238"/>
      <c r="D1850" s="349"/>
      <c r="E1850" s="237">
        <v>50</v>
      </c>
      <c r="F1850" s="242" t="s">
        <v>1367</v>
      </c>
      <c r="G1850" s="239" t="s">
        <v>930</v>
      </c>
      <c r="H1850" s="240">
        <f t="shared" si="28"/>
        <v>167850</v>
      </c>
      <c r="I1850" s="241"/>
      <c r="J1850" s="221" t="b">
        <f>EXACT(E1851,[1]Main!E1851)</f>
        <v>1</v>
      </c>
    </row>
    <row r="1851" spans="1:10" x14ac:dyDescent="0.25">
      <c r="A1851" s="249">
        <v>45130</v>
      </c>
      <c r="B1851" s="237"/>
      <c r="C1851" s="238"/>
      <c r="D1851" s="349"/>
      <c r="E1851" s="237">
        <v>125</v>
      </c>
      <c r="F1851" s="242" t="s">
        <v>1368</v>
      </c>
      <c r="G1851" s="239" t="s">
        <v>464</v>
      </c>
      <c r="H1851" s="240">
        <f t="shared" si="28"/>
        <v>167725</v>
      </c>
      <c r="I1851" s="241"/>
      <c r="J1851" s="221" t="b">
        <f>EXACT(E1852,[1]Main!E1852)</f>
        <v>1</v>
      </c>
    </row>
    <row r="1852" spans="1:10" x14ac:dyDescent="0.25">
      <c r="A1852" s="249">
        <v>45130</v>
      </c>
      <c r="B1852" s="237"/>
      <c r="C1852" s="238"/>
      <c r="D1852" s="349"/>
      <c r="E1852" s="237">
        <v>90</v>
      </c>
      <c r="F1852" s="242" t="s">
        <v>510</v>
      </c>
      <c r="G1852" s="239" t="s">
        <v>930</v>
      </c>
      <c r="H1852" s="240">
        <f t="shared" si="28"/>
        <v>167635</v>
      </c>
      <c r="I1852" s="241"/>
      <c r="J1852" s="221" t="b">
        <f>EXACT(E1853,[1]Main!E1853)</f>
        <v>1</v>
      </c>
    </row>
    <row r="1853" spans="1:10" x14ac:dyDescent="0.25">
      <c r="A1853" s="249">
        <v>45130</v>
      </c>
      <c r="B1853" s="237"/>
      <c r="C1853" s="238"/>
      <c r="D1853" s="349"/>
      <c r="E1853" s="237">
        <v>105</v>
      </c>
      <c r="F1853" s="242" t="s">
        <v>32</v>
      </c>
      <c r="G1853" s="239" t="s">
        <v>930</v>
      </c>
      <c r="H1853" s="240">
        <f t="shared" si="28"/>
        <v>167530</v>
      </c>
      <c r="I1853" s="241"/>
      <c r="J1853" s="221" t="b">
        <f>EXACT(E1854,[1]Main!E1854)</f>
        <v>1</v>
      </c>
    </row>
    <row r="1854" spans="1:10" x14ac:dyDescent="0.25">
      <c r="A1854" s="249">
        <v>45130</v>
      </c>
      <c r="B1854" s="237"/>
      <c r="C1854" s="238"/>
      <c r="D1854" s="349"/>
      <c r="E1854" s="237">
        <v>345</v>
      </c>
      <c r="F1854" s="242" t="s">
        <v>1369</v>
      </c>
      <c r="G1854" s="239" t="s">
        <v>928</v>
      </c>
      <c r="H1854" s="240">
        <f t="shared" si="28"/>
        <v>167185</v>
      </c>
      <c r="I1854" s="241"/>
      <c r="J1854" s="221" t="b">
        <f>EXACT(E1855,[1]Main!E1855)</f>
        <v>1</v>
      </c>
    </row>
    <row r="1855" spans="1:10" x14ac:dyDescent="0.25">
      <c r="A1855" s="249">
        <v>45130</v>
      </c>
      <c r="B1855" s="237"/>
      <c r="C1855" s="238"/>
      <c r="D1855" s="349"/>
      <c r="E1855" s="237">
        <v>2530</v>
      </c>
      <c r="F1855" s="242" t="s">
        <v>645</v>
      </c>
      <c r="G1855" s="239" t="s">
        <v>928</v>
      </c>
      <c r="H1855" s="240">
        <f t="shared" si="28"/>
        <v>164655</v>
      </c>
      <c r="I1855" s="241"/>
      <c r="J1855" s="221" t="b">
        <f>EXACT(E1856,[1]Main!E1856)</f>
        <v>1</v>
      </c>
    </row>
    <row r="1856" spans="1:10" x14ac:dyDescent="0.25">
      <c r="A1856" s="249">
        <v>45130</v>
      </c>
      <c r="B1856" s="237"/>
      <c r="C1856" s="238"/>
      <c r="D1856" s="349"/>
      <c r="E1856" s="237">
        <v>445</v>
      </c>
      <c r="F1856" s="242" t="s">
        <v>1370</v>
      </c>
      <c r="G1856" s="239" t="s">
        <v>928</v>
      </c>
      <c r="H1856" s="240">
        <f t="shared" si="28"/>
        <v>164210</v>
      </c>
      <c r="I1856" s="241"/>
      <c r="J1856" s="221" t="b">
        <f>EXACT(E1857,[1]Main!E1857)</f>
        <v>1</v>
      </c>
    </row>
    <row r="1857" spans="1:10" x14ac:dyDescent="0.25">
      <c r="A1857" s="249">
        <v>45130</v>
      </c>
      <c r="B1857" s="237"/>
      <c r="C1857" s="238"/>
      <c r="D1857" s="349"/>
      <c r="E1857" s="237">
        <v>36</v>
      </c>
      <c r="F1857" s="242" t="s">
        <v>458</v>
      </c>
      <c r="G1857" s="239" t="s">
        <v>464</v>
      </c>
      <c r="H1857" s="240">
        <f t="shared" si="28"/>
        <v>164174</v>
      </c>
      <c r="I1857" s="241"/>
      <c r="J1857" s="221" t="b">
        <f>EXACT(E1858,[1]Main!E1858)</f>
        <v>1</v>
      </c>
    </row>
    <row r="1858" spans="1:10" x14ac:dyDescent="0.25">
      <c r="A1858" s="249">
        <v>45130</v>
      </c>
      <c r="B1858" s="237"/>
      <c r="C1858" s="238"/>
      <c r="D1858" s="349"/>
      <c r="E1858" s="237">
        <v>1880</v>
      </c>
      <c r="F1858" s="242" t="s">
        <v>20</v>
      </c>
      <c r="G1858" s="239" t="s">
        <v>928</v>
      </c>
      <c r="H1858" s="240">
        <f t="shared" si="28"/>
        <v>162294</v>
      </c>
      <c r="I1858" s="241"/>
      <c r="J1858" s="221" t="b">
        <f>EXACT(E1859,[1]Main!E1859)</f>
        <v>1</v>
      </c>
    </row>
    <row r="1859" spans="1:10" x14ac:dyDescent="0.25">
      <c r="A1859" s="249">
        <v>45130</v>
      </c>
      <c r="B1859" s="237"/>
      <c r="C1859" s="238"/>
      <c r="D1859" s="349"/>
      <c r="E1859" s="237">
        <v>210</v>
      </c>
      <c r="F1859" s="242" t="s">
        <v>1319</v>
      </c>
      <c r="G1859" s="239" t="s">
        <v>930</v>
      </c>
      <c r="H1859" s="240">
        <f t="shared" si="28"/>
        <v>162084</v>
      </c>
      <c r="I1859" s="241"/>
      <c r="J1859" s="221" t="b">
        <f>EXACT(E1860,[1]Main!E1860)</f>
        <v>1</v>
      </c>
    </row>
    <row r="1860" spans="1:10" x14ac:dyDescent="0.25">
      <c r="A1860" s="249">
        <v>45130</v>
      </c>
      <c r="B1860" s="237"/>
      <c r="C1860" s="238"/>
      <c r="D1860" s="349"/>
      <c r="E1860" s="237">
        <v>508</v>
      </c>
      <c r="F1860" s="242" t="s">
        <v>439</v>
      </c>
      <c r="G1860" s="239" t="s">
        <v>928</v>
      </c>
      <c r="H1860" s="240">
        <f t="shared" si="28"/>
        <v>161576</v>
      </c>
      <c r="I1860" s="241"/>
      <c r="J1860" s="221" t="b">
        <f>EXACT(E1861,[1]Main!E1861)</f>
        <v>1</v>
      </c>
    </row>
    <row r="1861" spans="1:10" x14ac:dyDescent="0.25">
      <c r="A1861" s="249">
        <v>45130</v>
      </c>
      <c r="B1861" s="237"/>
      <c r="C1861" s="238"/>
      <c r="D1861" s="349"/>
      <c r="E1861" s="237">
        <v>100</v>
      </c>
      <c r="F1861" s="242" t="s">
        <v>1264</v>
      </c>
      <c r="G1861" s="239" t="s">
        <v>930</v>
      </c>
      <c r="H1861" s="240">
        <f t="shared" si="28"/>
        <v>161476</v>
      </c>
      <c r="I1861" s="241"/>
      <c r="J1861" s="221" t="b">
        <f>EXACT(E1862,[1]Main!E1862)</f>
        <v>1</v>
      </c>
    </row>
    <row r="1862" spans="1:10" x14ac:dyDescent="0.25">
      <c r="A1862" s="249">
        <v>45130</v>
      </c>
      <c r="B1862" s="237"/>
      <c r="C1862" s="238"/>
      <c r="D1862" s="239"/>
      <c r="E1862" s="237">
        <v>100</v>
      </c>
      <c r="F1862" s="242" t="s">
        <v>29</v>
      </c>
      <c r="G1862" s="239" t="s">
        <v>930</v>
      </c>
      <c r="H1862" s="240">
        <f t="shared" si="28"/>
        <v>161376</v>
      </c>
      <c r="I1862" s="329"/>
      <c r="J1862" s="221" t="b">
        <f>EXACT(E1863,[1]Main!E1863)</f>
        <v>1</v>
      </c>
    </row>
    <row r="1863" spans="1:10" x14ac:dyDescent="0.25">
      <c r="A1863" s="249">
        <v>45130</v>
      </c>
      <c r="B1863" s="237"/>
      <c r="C1863" s="238"/>
      <c r="D1863" s="349"/>
      <c r="E1863" s="237">
        <v>1300</v>
      </c>
      <c r="F1863" s="242" t="s">
        <v>1371</v>
      </c>
      <c r="G1863" s="239" t="s">
        <v>464</v>
      </c>
      <c r="H1863" s="240">
        <f t="shared" ref="H1863:H1926" si="29">H1862+B1863-E1863</f>
        <v>160076</v>
      </c>
      <c r="I1863" s="241"/>
      <c r="J1863" s="221" t="b">
        <f>EXACT(E1864,[1]Main!E1864)</f>
        <v>1</v>
      </c>
    </row>
    <row r="1864" spans="1:10" x14ac:dyDescent="0.25">
      <c r="A1864" s="249">
        <v>45130</v>
      </c>
      <c r="B1864" s="237"/>
      <c r="C1864" s="238"/>
      <c r="D1864" s="349"/>
      <c r="E1864" s="237">
        <v>170</v>
      </c>
      <c r="F1864" s="242" t="s">
        <v>86</v>
      </c>
      <c r="G1864" s="239" t="s">
        <v>930</v>
      </c>
      <c r="H1864" s="240">
        <f t="shared" si="29"/>
        <v>159906</v>
      </c>
      <c r="I1864" s="241"/>
      <c r="J1864" s="221" t="b">
        <f>EXACT(E1865,[1]Main!E1865)</f>
        <v>1</v>
      </c>
    </row>
    <row r="1865" spans="1:10" x14ac:dyDescent="0.25">
      <c r="A1865" s="249">
        <v>45130</v>
      </c>
      <c r="B1865" s="237"/>
      <c r="C1865" s="238"/>
      <c r="D1865" s="349"/>
      <c r="E1865" s="237">
        <v>540</v>
      </c>
      <c r="F1865" s="242" t="s">
        <v>715</v>
      </c>
      <c r="G1865" s="239" t="s">
        <v>928</v>
      </c>
      <c r="H1865" s="240">
        <f t="shared" si="29"/>
        <v>159366</v>
      </c>
      <c r="I1865" s="241"/>
      <c r="J1865" s="221" t="b">
        <f>EXACT(E1866,[1]Main!E1866)</f>
        <v>1</v>
      </c>
    </row>
    <row r="1866" spans="1:10" x14ac:dyDescent="0.25">
      <c r="A1866" s="249">
        <v>45130</v>
      </c>
      <c r="B1866" s="237"/>
      <c r="C1866" s="238"/>
      <c r="D1866" s="349"/>
      <c r="E1866" s="237">
        <v>100</v>
      </c>
      <c r="F1866" s="242" t="s">
        <v>1372</v>
      </c>
      <c r="G1866" s="239" t="s">
        <v>930</v>
      </c>
      <c r="H1866" s="240">
        <f t="shared" si="29"/>
        <v>159266</v>
      </c>
      <c r="I1866" s="241"/>
      <c r="J1866" s="221" t="b">
        <f>EXACT(E1867,[1]Main!E1867)</f>
        <v>1</v>
      </c>
    </row>
    <row r="1867" spans="1:10" x14ac:dyDescent="0.25">
      <c r="A1867" s="249">
        <v>45130</v>
      </c>
      <c r="B1867" s="237"/>
      <c r="C1867" s="238"/>
      <c r="D1867" s="349"/>
      <c r="E1867" s="237">
        <v>160</v>
      </c>
      <c r="F1867" s="242" t="s">
        <v>498</v>
      </c>
      <c r="G1867" s="239" t="s">
        <v>930</v>
      </c>
      <c r="H1867" s="240">
        <f t="shared" si="29"/>
        <v>159106</v>
      </c>
      <c r="I1867" s="241"/>
      <c r="J1867" s="221" t="b">
        <f>EXACT(E1868,[1]Main!E1868)</f>
        <v>1</v>
      </c>
    </row>
    <row r="1868" spans="1:10" x14ac:dyDescent="0.25">
      <c r="A1868" s="249">
        <v>45130</v>
      </c>
      <c r="B1868" s="237"/>
      <c r="C1868" s="238"/>
      <c r="D1868" s="349"/>
      <c r="E1868" s="237">
        <v>170</v>
      </c>
      <c r="F1868" s="242" t="s">
        <v>15</v>
      </c>
      <c r="G1868" s="239" t="s">
        <v>930</v>
      </c>
      <c r="H1868" s="240">
        <f t="shared" si="29"/>
        <v>158936</v>
      </c>
      <c r="I1868" s="241"/>
      <c r="J1868" s="221" t="b">
        <f>EXACT(E1869,[1]Main!E1869)</f>
        <v>1</v>
      </c>
    </row>
    <row r="1869" spans="1:10" x14ac:dyDescent="0.25">
      <c r="A1869" s="249">
        <v>45130</v>
      </c>
      <c r="B1869" s="237"/>
      <c r="C1869" s="238"/>
      <c r="D1869" s="349"/>
      <c r="E1869" s="237">
        <v>4750</v>
      </c>
      <c r="F1869" s="242" t="s">
        <v>27</v>
      </c>
      <c r="G1869" s="239" t="s">
        <v>943</v>
      </c>
      <c r="H1869" s="240">
        <f t="shared" si="29"/>
        <v>154186</v>
      </c>
      <c r="I1869" s="241"/>
      <c r="J1869" s="221" t="b">
        <f>EXACT(E1870,[1]Main!E1870)</f>
        <v>1</v>
      </c>
    </row>
    <row r="1870" spans="1:10" x14ac:dyDescent="0.25">
      <c r="A1870" s="249">
        <v>45130</v>
      </c>
      <c r="B1870" s="237"/>
      <c r="C1870" s="238"/>
      <c r="D1870" s="349"/>
      <c r="E1870" s="237">
        <v>16</v>
      </c>
      <c r="F1870" s="242" t="s">
        <v>1373</v>
      </c>
      <c r="G1870" s="239" t="s">
        <v>945</v>
      </c>
      <c r="H1870" s="240">
        <f t="shared" si="29"/>
        <v>154170</v>
      </c>
      <c r="I1870" s="241"/>
      <c r="J1870" s="221" t="b">
        <f>EXACT(E1871,[1]Main!E1871)</f>
        <v>1</v>
      </c>
    </row>
    <row r="1871" spans="1:10" x14ac:dyDescent="0.25">
      <c r="A1871" s="249">
        <v>45130</v>
      </c>
      <c r="B1871" s="237"/>
      <c r="C1871" s="238"/>
      <c r="D1871" s="349"/>
      <c r="E1871" s="237">
        <v>185</v>
      </c>
      <c r="F1871" s="242" t="s">
        <v>1374</v>
      </c>
      <c r="G1871" s="239" t="s">
        <v>928</v>
      </c>
      <c r="H1871" s="240">
        <f t="shared" si="29"/>
        <v>153985</v>
      </c>
      <c r="I1871" s="241"/>
      <c r="J1871" s="221" t="b">
        <f>EXACT(E1872,[1]Main!E1872)</f>
        <v>1</v>
      </c>
    </row>
    <row r="1872" spans="1:10" x14ac:dyDescent="0.25">
      <c r="A1872" s="249">
        <v>45130</v>
      </c>
      <c r="B1872" s="237"/>
      <c r="C1872" s="238"/>
      <c r="D1872" s="349"/>
      <c r="E1872" s="237">
        <v>400</v>
      </c>
      <c r="F1872" s="242" t="s">
        <v>1226</v>
      </c>
      <c r="G1872" s="239" t="s">
        <v>931</v>
      </c>
      <c r="H1872" s="240">
        <f t="shared" si="29"/>
        <v>153585</v>
      </c>
      <c r="I1872" s="241"/>
      <c r="J1872" s="221" t="b">
        <f>EXACT(E1873,[1]Main!E1873)</f>
        <v>1</v>
      </c>
    </row>
    <row r="1873" spans="1:10" x14ac:dyDescent="0.25">
      <c r="A1873" s="249">
        <v>45130</v>
      </c>
      <c r="B1873" s="237"/>
      <c r="C1873" s="238"/>
      <c r="D1873" s="349"/>
      <c r="E1873" s="237">
        <v>75</v>
      </c>
      <c r="F1873" s="242" t="s">
        <v>26</v>
      </c>
      <c r="G1873" s="239" t="s">
        <v>930</v>
      </c>
      <c r="H1873" s="240">
        <f t="shared" si="29"/>
        <v>153510</v>
      </c>
      <c r="I1873" s="241"/>
      <c r="J1873" s="221" t="b">
        <f>EXACT(E1874,[1]Main!E1874)</f>
        <v>1</v>
      </c>
    </row>
    <row r="1874" spans="1:10" x14ac:dyDescent="0.25">
      <c r="A1874" s="249">
        <v>45130</v>
      </c>
      <c r="B1874" s="237"/>
      <c r="C1874" s="238"/>
      <c r="D1874" s="349"/>
      <c r="E1874" s="237">
        <v>100</v>
      </c>
      <c r="F1874" s="242" t="s">
        <v>1375</v>
      </c>
      <c r="G1874" s="239" t="s">
        <v>931</v>
      </c>
      <c r="H1874" s="240">
        <f t="shared" si="29"/>
        <v>153410</v>
      </c>
      <c r="I1874" s="241"/>
      <c r="J1874" s="221" t="b">
        <f>EXACT(E1875,[1]Main!E1875)</f>
        <v>1</v>
      </c>
    </row>
    <row r="1875" spans="1:10" x14ac:dyDescent="0.25">
      <c r="A1875" s="249">
        <v>45130</v>
      </c>
      <c r="B1875" s="237"/>
      <c r="C1875" s="238"/>
      <c r="D1875" s="349"/>
      <c r="E1875" s="237">
        <v>4950</v>
      </c>
      <c r="F1875" s="242" t="s">
        <v>882</v>
      </c>
      <c r="G1875" s="239" t="s">
        <v>928</v>
      </c>
      <c r="H1875" s="240">
        <f t="shared" si="29"/>
        <v>148460</v>
      </c>
      <c r="I1875" s="241" t="s">
        <v>1137</v>
      </c>
      <c r="J1875" s="221" t="b">
        <f>EXACT(E1876,[1]Main!E1876)</f>
        <v>1</v>
      </c>
    </row>
    <row r="1876" spans="1:10" x14ac:dyDescent="0.25">
      <c r="A1876" s="249">
        <v>45130</v>
      </c>
      <c r="B1876" s="237"/>
      <c r="C1876" s="238"/>
      <c r="D1876" s="349"/>
      <c r="E1876" s="237">
        <v>4075</v>
      </c>
      <c r="F1876" s="242" t="s">
        <v>20</v>
      </c>
      <c r="G1876" s="239" t="s">
        <v>928</v>
      </c>
      <c r="H1876" s="240">
        <f t="shared" si="29"/>
        <v>144385</v>
      </c>
      <c r="I1876" s="241"/>
      <c r="J1876" s="221" t="b">
        <f>EXACT(E1877,[1]Main!E1877)</f>
        <v>1</v>
      </c>
    </row>
    <row r="1877" spans="1:10" x14ac:dyDescent="0.25">
      <c r="A1877" s="249">
        <v>45130</v>
      </c>
      <c r="B1877" s="237"/>
      <c r="C1877" s="238"/>
      <c r="D1877" s="349"/>
      <c r="E1877" s="237">
        <v>5</v>
      </c>
      <c r="F1877" s="242" t="s">
        <v>357</v>
      </c>
      <c r="G1877" s="239" t="s">
        <v>931</v>
      </c>
      <c r="H1877" s="240">
        <f t="shared" si="29"/>
        <v>144380</v>
      </c>
      <c r="I1877" s="241"/>
      <c r="J1877" s="221" t="b">
        <f>EXACT(E1878,[1]Main!E1878)</f>
        <v>1</v>
      </c>
    </row>
    <row r="1878" spans="1:10" x14ac:dyDescent="0.25">
      <c r="A1878" s="249">
        <v>45130</v>
      </c>
      <c r="B1878" s="237"/>
      <c r="C1878" s="238"/>
      <c r="D1878" s="349"/>
      <c r="E1878" s="237">
        <v>18</v>
      </c>
      <c r="F1878" s="242" t="s">
        <v>1376</v>
      </c>
      <c r="G1878" s="239" t="s">
        <v>464</v>
      </c>
      <c r="H1878" s="240">
        <f t="shared" si="29"/>
        <v>144362</v>
      </c>
      <c r="I1878" s="241"/>
      <c r="J1878" s="221" t="b">
        <f>EXACT(E1879,[1]Main!E1879)</f>
        <v>1</v>
      </c>
    </row>
    <row r="1879" spans="1:10" x14ac:dyDescent="0.25">
      <c r="A1879" s="249">
        <v>45130</v>
      </c>
      <c r="B1879" s="237"/>
      <c r="C1879" s="238"/>
      <c r="D1879" s="349"/>
      <c r="E1879" s="237">
        <v>50</v>
      </c>
      <c r="F1879" s="242" t="s">
        <v>373</v>
      </c>
      <c r="G1879" s="239" t="s">
        <v>931</v>
      </c>
      <c r="H1879" s="240">
        <f t="shared" si="29"/>
        <v>144312</v>
      </c>
      <c r="I1879" s="241"/>
      <c r="J1879" s="221" t="b">
        <f>EXACT(E1880,[1]Main!E1880)</f>
        <v>1</v>
      </c>
    </row>
    <row r="1880" spans="1:10" x14ac:dyDescent="0.25">
      <c r="A1880" s="249">
        <v>45130</v>
      </c>
      <c r="B1880" s="237"/>
      <c r="C1880" s="238"/>
      <c r="D1880" s="349"/>
      <c r="E1880" s="237">
        <v>105</v>
      </c>
      <c r="F1880" s="242" t="s">
        <v>376</v>
      </c>
      <c r="G1880" s="239" t="s">
        <v>930</v>
      </c>
      <c r="H1880" s="240">
        <f t="shared" si="29"/>
        <v>144207</v>
      </c>
      <c r="I1880" s="241"/>
      <c r="J1880" s="221" t="b">
        <f>EXACT(E1881,[1]Main!E1881)</f>
        <v>1</v>
      </c>
    </row>
    <row r="1881" spans="1:10" x14ac:dyDescent="0.25">
      <c r="A1881" s="249">
        <v>45130</v>
      </c>
      <c r="B1881" s="237"/>
      <c r="C1881" s="238"/>
      <c r="D1881" s="349"/>
      <c r="E1881" s="237">
        <v>190</v>
      </c>
      <c r="F1881" s="242" t="s">
        <v>341</v>
      </c>
      <c r="G1881" s="239" t="s">
        <v>930</v>
      </c>
      <c r="H1881" s="240">
        <f t="shared" si="29"/>
        <v>144017</v>
      </c>
      <c r="I1881" s="241"/>
      <c r="J1881" s="221" t="b">
        <f>EXACT(E1882,[1]Main!E1882)</f>
        <v>1</v>
      </c>
    </row>
    <row r="1882" spans="1:10" x14ac:dyDescent="0.25">
      <c r="A1882" s="249">
        <v>45130</v>
      </c>
      <c r="B1882" s="237"/>
      <c r="C1882" s="238"/>
      <c r="D1882" s="349"/>
      <c r="E1882" s="237">
        <v>85</v>
      </c>
      <c r="F1882" s="242" t="s">
        <v>1219</v>
      </c>
      <c r="G1882" s="239" t="s">
        <v>930</v>
      </c>
      <c r="H1882" s="240">
        <f t="shared" si="29"/>
        <v>143932</v>
      </c>
      <c r="I1882" s="241"/>
      <c r="J1882" s="221" t="b">
        <f>EXACT(E1883,[1]Main!E1883)</f>
        <v>1</v>
      </c>
    </row>
    <row r="1883" spans="1:10" x14ac:dyDescent="0.25">
      <c r="A1883" s="249">
        <v>45130</v>
      </c>
      <c r="B1883" s="237"/>
      <c r="C1883" s="238"/>
      <c r="D1883" s="349"/>
      <c r="E1883" s="237">
        <v>90</v>
      </c>
      <c r="F1883" s="242" t="s">
        <v>223</v>
      </c>
      <c r="G1883" s="239" t="s">
        <v>930</v>
      </c>
      <c r="H1883" s="240">
        <f t="shared" si="29"/>
        <v>143842</v>
      </c>
      <c r="I1883" s="241"/>
      <c r="J1883" s="221" t="b">
        <f>EXACT(E1884,[1]Main!E1884)</f>
        <v>1</v>
      </c>
    </row>
    <row r="1884" spans="1:10" x14ac:dyDescent="0.25">
      <c r="A1884" s="249">
        <v>45130</v>
      </c>
      <c r="B1884" s="237"/>
      <c r="C1884" s="238"/>
      <c r="D1884" s="349"/>
      <c r="E1884" s="237">
        <v>110</v>
      </c>
      <c r="F1884" s="242" t="s">
        <v>741</v>
      </c>
      <c r="G1884" s="239" t="s">
        <v>930</v>
      </c>
      <c r="H1884" s="240">
        <f t="shared" si="29"/>
        <v>143732</v>
      </c>
      <c r="I1884" s="241"/>
      <c r="J1884" s="221" t="b">
        <f>EXACT(E1885,[1]Main!E1885)</f>
        <v>1</v>
      </c>
    </row>
    <row r="1885" spans="1:10" x14ac:dyDescent="0.25">
      <c r="A1885" s="249">
        <v>45130</v>
      </c>
      <c r="B1885" s="237"/>
      <c r="C1885" s="238"/>
      <c r="D1885" s="349"/>
      <c r="E1885" s="237">
        <v>15</v>
      </c>
      <c r="F1885" s="242" t="s">
        <v>1318</v>
      </c>
      <c r="G1885" s="239" t="s">
        <v>464</v>
      </c>
      <c r="H1885" s="240">
        <f t="shared" si="29"/>
        <v>143717</v>
      </c>
      <c r="I1885" s="241"/>
      <c r="J1885" s="221" t="b">
        <f>EXACT(E1886,[1]Main!E1886)</f>
        <v>1</v>
      </c>
    </row>
    <row r="1886" spans="1:10" x14ac:dyDescent="0.25">
      <c r="A1886" s="249">
        <v>45130</v>
      </c>
      <c r="B1886" s="237"/>
      <c r="C1886" s="238"/>
      <c r="D1886" s="349"/>
      <c r="E1886" s="237">
        <v>72</v>
      </c>
      <c r="F1886" s="242" t="s">
        <v>1377</v>
      </c>
      <c r="G1886" s="239" t="s">
        <v>931</v>
      </c>
      <c r="H1886" s="240">
        <f t="shared" si="29"/>
        <v>143645</v>
      </c>
      <c r="I1886" s="241"/>
      <c r="J1886" s="221" t="b">
        <f>EXACT(E1887,[1]Main!E1887)</f>
        <v>1</v>
      </c>
    </row>
    <row r="1887" spans="1:10" x14ac:dyDescent="0.25">
      <c r="A1887" s="249">
        <v>45130</v>
      </c>
      <c r="B1887" s="237"/>
      <c r="C1887" s="238"/>
      <c r="D1887" s="349"/>
      <c r="E1887" s="237">
        <v>275</v>
      </c>
      <c r="F1887" s="242" t="s">
        <v>1378</v>
      </c>
      <c r="G1887" s="239" t="s">
        <v>945</v>
      </c>
      <c r="H1887" s="240">
        <f t="shared" si="29"/>
        <v>143370</v>
      </c>
      <c r="I1887" s="241"/>
      <c r="J1887" s="221" t="b">
        <f>EXACT(E1888,[1]Main!E1888)</f>
        <v>1</v>
      </c>
    </row>
    <row r="1888" spans="1:10" x14ac:dyDescent="0.25">
      <c r="A1888" s="249">
        <v>45130</v>
      </c>
      <c r="B1888" s="237"/>
      <c r="C1888" s="238"/>
      <c r="D1888" s="349"/>
      <c r="E1888" s="237">
        <v>20</v>
      </c>
      <c r="F1888" s="242" t="s">
        <v>373</v>
      </c>
      <c r="G1888" s="239" t="s">
        <v>931</v>
      </c>
      <c r="H1888" s="240">
        <f t="shared" si="29"/>
        <v>143350</v>
      </c>
      <c r="I1888" s="241"/>
      <c r="J1888" s="221" t="b">
        <f>EXACT(E1889,[1]Main!E1889)</f>
        <v>1</v>
      </c>
    </row>
    <row r="1889" spans="1:10" x14ac:dyDescent="0.25">
      <c r="A1889" s="249">
        <v>45130</v>
      </c>
      <c r="B1889" s="237"/>
      <c r="C1889" s="238"/>
      <c r="D1889" s="349"/>
      <c r="E1889" s="237">
        <v>100</v>
      </c>
      <c r="F1889" s="242" t="s">
        <v>1379</v>
      </c>
      <c r="G1889" s="239" t="s">
        <v>464</v>
      </c>
      <c r="H1889" s="240">
        <f t="shared" si="29"/>
        <v>143250</v>
      </c>
      <c r="I1889" s="241"/>
      <c r="J1889" s="221" t="b">
        <f>EXACT(E1890,[1]Main!E1890)</f>
        <v>1</v>
      </c>
    </row>
    <row r="1890" spans="1:10" x14ac:dyDescent="0.25">
      <c r="A1890" s="249">
        <v>45130</v>
      </c>
      <c r="B1890" s="237"/>
      <c r="C1890" s="238"/>
      <c r="D1890" s="349"/>
      <c r="E1890" s="237">
        <f>125+105</f>
        <v>230</v>
      </c>
      <c r="F1890" s="242" t="s">
        <v>1380</v>
      </c>
      <c r="G1890" s="239" t="s">
        <v>1098</v>
      </c>
      <c r="H1890" s="240">
        <f t="shared" si="29"/>
        <v>143020</v>
      </c>
      <c r="I1890" s="241" t="s">
        <v>778</v>
      </c>
      <c r="J1890" s="221" t="b">
        <f>EXACT(E1891,[1]Main!E1891)</f>
        <v>1</v>
      </c>
    </row>
    <row r="1891" spans="1:10" x14ac:dyDescent="0.25">
      <c r="A1891" s="249">
        <v>45130</v>
      </c>
      <c r="B1891" s="237"/>
      <c r="C1891" s="238"/>
      <c r="D1891" s="349"/>
      <c r="E1891" s="237">
        <v>10000</v>
      </c>
      <c r="F1891" s="242" t="s">
        <v>1381</v>
      </c>
      <c r="G1891" s="239" t="s">
        <v>928</v>
      </c>
      <c r="H1891" s="240">
        <f t="shared" si="29"/>
        <v>133020</v>
      </c>
      <c r="I1891" s="241"/>
      <c r="J1891" s="221" t="b">
        <f>EXACT(E1892,[1]Main!E1892)</f>
        <v>1</v>
      </c>
    </row>
    <row r="1892" spans="1:10" x14ac:dyDescent="0.25">
      <c r="A1892" s="350">
        <v>45130</v>
      </c>
      <c r="B1892" s="351"/>
      <c r="C1892" s="352"/>
      <c r="D1892" s="354"/>
      <c r="E1892" s="351"/>
      <c r="F1892" s="353"/>
      <c r="G1892" s="354"/>
      <c r="H1892" s="240">
        <f t="shared" si="29"/>
        <v>133020</v>
      </c>
      <c r="I1892" s="355"/>
      <c r="J1892" s="221" t="b">
        <f>EXACT(E1893,[1]Main!E1893)</f>
        <v>1</v>
      </c>
    </row>
    <row r="1893" spans="1:10" x14ac:dyDescent="0.25">
      <c r="A1893" s="249">
        <v>45131</v>
      </c>
      <c r="B1893" s="237">
        <v>1615</v>
      </c>
      <c r="C1893" s="238" t="s">
        <v>1383</v>
      </c>
      <c r="D1893" s="349" t="s">
        <v>772</v>
      </c>
      <c r="E1893" s="237">
        <v>315</v>
      </c>
      <c r="F1893" s="242" t="s">
        <v>572</v>
      </c>
      <c r="G1893" s="239" t="s">
        <v>928</v>
      </c>
      <c r="H1893" s="240">
        <f t="shared" si="29"/>
        <v>134320</v>
      </c>
      <c r="I1893" s="241"/>
      <c r="J1893" s="221" t="b">
        <f>EXACT(E1894,[1]Main!E1894)</f>
        <v>1</v>
      </c>
    </row>
    <row r="1894" spans="1:10" x14ac:dyDescent="0.25">
      <c r="A1894" s="249">
        <v>45131</v>
      </c>
      <c r="B1894" s="237">
        <v>72</v>
      </c>
      <c r="C1894" s="238" t="s">
        <v>1384</v>
      </c>
      <c r="D1894" s="349" t="s">
        <v>931</v>
      </c>
      <c r="E1894" s="237">
        <v>6200</v>
      </c>
      <c r="F1894" s="242" t="s">
        <v>51</v>
      </c>
      <c r="G1894" s="239" t="s">
        <v>928</v>
      </c>
      <c r="H1894" s="240">
        <f t="shared" si="29"/>
        <v>128192</v>
      </c>
      <c r="I1894" s="241"/>
      <c r="J1894" s="221" t="b">
        <f>EXACT(E1895,[1]Main!E1895)</f>
        <v>1</v>
      </c>
    </row>
    <row r="1895" spans="1:10" x14ac:dyDescent="0.25">
      <c r="A1895" s="249">
        <v>45131</v>
      </c>
      <c r="B1895" s="237">
        <v>51</v>
      </c>
      <c r="C1895" s="238" t="s">
        <v>937</v>
      </c>
      <c r="D1895" s="349" t="s">
        <v>937</v>
      </c>
      <c r="E1895" s="237">
        <v>3308</v>
      </c>
      <c r="F1895" s="242" t="s">
        <v>1382</v>
      </c>
      <c r="G1895" s="239" t="s">
        <v>928</v>
      </c>
      <c r="H1895" s="240">
        <f t="shared" si="29"/>
        <v>124935</v>
      </c>
      <c r="I1895" s="241"/>
      <c r="J1895" s="221" t="b">
        <f>EXACT(E1896,[1]Main!E1896)</f>
        <v>1</v>
      </c>
    </row>
    <row r="1896" spans="1:10" x14ac:dyDescent="0.25">
      <c r="A1896" s="249">
        <v>45131</v>
      </c>
      <c r="B1896" s="237">
        <f>19134+20</f>
        <v>19154</v>
      </c>
      <c r="C1896" s="238" t="s">
        <v>300</v>
      </c>
      <c r="D1896" s="349" t="s">
        <v>763</v>
      </c>
      <c r="E1896" s="237">
        <v>530</v>
      </c>
      <c r="F1896" s="242" t="s">
        <v>580</v>
      </c>
      <c r="G1896" s="239" t="s">
        <v>928</v>
      </c>
      <c r="H1896" s="240">
        <f t="shared" si="29"/>
        <v>143559</v>
      </c>
      <c r="I1896" s="241"/>
      <c r="J1896" s="221" t="b">
        <f>EXACT(E1897,[1]Main!E1897)</f>
        <v>1</v>
      </c>
    </row>
    <row r="1897" spans="1:10" x14ac:dyDescent="0.25">
      <c r="A1897" s="249">
        <v>45131</v>
      </c>
      <c r="B1897" s="237">
        <v>960</v>
      </c>
      <c r="C1897" s="238" t="s">
        <v>989</v>
      </c>
      <c r="D1897" s="349" t="s">
        <v>765</v>
      </c>
      <c r="E1897" s="237">
        <v>6670</v>
      </c>
      <c r="F1897" s="242" t="s">
        <v>47</v>
      </c>
      <c r="G1897" s="239" t="s">
        <v>928</v>
      </c>
      <c r="H1897" s="240">
        <f t="shared" si="29"/>
        <v>137849</v>
      </c>
      <c r="I1897" s="241"/>
      <c r="J1897" s="221" t="b">
        <f>EXACT(E1898,[1]Main!E1898)</f>
        <v>1</v>
      </c>
    </row>
    <row r="1898" spans="1:10" x14ac:dyDescent="0.25">
      <c r="A1898" s="249">
        <v>45131</v>
      </c>
      <c r="B1898" s="237">
        <v>13332</v>
      </c>
      <c r="C1898" s="238" t="s">
        <v>1076</v>
      </c>
      <c r="D1898" s="349" t="s">
        <v>763</v>
      </c>
      <c r="E1898" s="237">
        <v>100</v>
      </c>
      <c r="F1898" s="242" t="s">
        <v>1395</v>
      </c>
      <c r="G1898" s="239" t="s">
        <v>928</v>
      </c>
      <c r="H1898" s="240">
        <f t="shared" si="29"/>
        <v>151081</v>
      </c>
      <c r="I1898" s="241" t="s">
        <v>78</v>
      </c>
      <c r="J1898" s="221" t="b">
        <f>EXACT(E1899,[1]Main!E1899)</f>
        <v>1</v>
      </c>
    </row>
    <row r="1899" spans="1:10" x14ac:dyDescent="0.25">
      <c r="A1899" s="249">
        <v>45131</v>
      </c>
      <c r="B1899" s="237">
        <v>1979</v>
      </c>
      <c r="C1899" s="238" t="s">
        <v>1407</v>
      </c>
      <c r="D1899" s="349" t="s">
        <v>765</v>
      </c>
      <c r="E1899" s="237">
        <v>15</v>
      </c>
      <c r="F1899" s="242" t="s">
        <v>73</v>
      </c>
      <c r="G1899" s="239" t="s">
        <v>945</v>
      </c>
      <c r="H1899" s="240">
        <f t="shared" si="29"/>
        <v>153045</v>
      </c>
      <c r="I1899" s="241"/>
      <c r="J1899" s="221" t="b">
        <f>EXACT(E1900,[1]Main!E1900)</f>
        <v>1</v>
      </c>
    </row>
    <row r="1900" spans="1:10" x14ac:dyDescent="0.25">
      <c r="A1900" s="249">
        <v>45131</v>
      </c>
      <c r="B1900" s="237">
        <v>2020</v>
      </c>
      <c r="C1900" s="238" t="s">
        <v>27</v>
      </c>
      <c r="D1900" s="349" t="s">
        <v>772</v>
      </c>
      <c r="E1900" s="237">
        <v>280</v>
      </c>
      <c r="F1900" s="242" t="s">
        <v>8</v>
      </c>
      <c r="G1900" s="239" t="s">
        <v>930</v>
      </c>
      <c r="H1900" s="240">
        <f t="shared" si="29"/>
        <v>154785</v>
      </c>
      <c r="I1900" s="241"/>
      <c r="J1900" s="221" t="b">
        <f>EXACT(E1901,[1]Main!E1901)</f>
        <v>1</v>
      </c>
    </row>
    <row r="1901" spans="1:10" x14ac:dyDescent="0.25">
      <c r="A1901" s="249">
        <v>45131</v>
      </c>
      <c r="B1901" s="237">
        <v>18575</v>
      </c>
      <c r="C1901" s="238" t="s">
        <v>363</v>
      </c>
      <c r="D1901" s="349" t="s">
        <v>763</v>
      </c>
      <c r="E1901" s="237">
        <v>165</v>
      </c>
      <c r="F1901" s="242" t="s">
        <v>399</v>
      </c>
      <c r="G1901" s="239" t="s">
        <v>930</v>
      </c>
      <c r="H1901" s="240">
        <f t="shared" si="29"/>
        <v>173195</v>
      </c>
      <c r="I1901" s="241"/>
      <c r="J1901" s="221" t="b">
        <f>EXACT(E1902,[1]Main!E1902)</f>
        <v>1</v>
      </c>
    </row>
    <row r="1902" spans="1:10" x14ac:dyDescent="0.25">
      <c r="A1902" s="249">
        <v>45131</v>
      </c>
      <c r="B1902" s="237">
        <v>9245</v>
      </c>
      <c r="C1902" s="238" t="s">
        <v>85</v>
      </c>
      <c r="D1902" s="349" t="s">
        <v>766</v>
      </c>
      <c r="E1902" s="237">
        <v>160</v>
      </c>
      <c r="F1902" s="242" t="s">
        <v>373</v>
      </c>
      <c r="G1902" s="239" t="s">
        <v>930</v>
      </c>
      <c r="H1902" s="240">
        <f t="shared" si="29"/>
        <v>182280</v>
      </c>
      <c r="I1902" s="241"/>
      <c r="J1902" s="221" t="b">
        <f>EXACT(E1903,[1]Main!E1903)</f>
        <v>1</v>
      </c>
    </row>
    <row r="1903" spans="1:10" x14ac:dyDescent="0.25">
      <c r="A1903" s="249">
        <v>45131</v>
      </c>
      <c r="B1903" s="237">
        <v>28004</v>
      </c>
      <c r="C1903" s="238" t="s">
        <v>15</v>
      </c>
      <c r="D1903" s="349"/>
      <c r="E1903" s="237">
        <v>84</v>
      </c>
      <c r="F1903" s="408" t="s">
        <v>1396</v>
      </c>
      <c r="G1903" s="239" t="s">
        <v>931</v>
      </c>
      <c r="H1903" s="240">
        <f t="shared" si="29"/>
        <v>210200</v>
      </c>
      <c r="I1903" s="241"/>
      <c r="J1903" s="221" t="b">
        <f>EXACT(E1904,[1]Main!E1904)</f>
        <v>1</v>
      </c>
    </row>
    <row r="1904" spans="1:10" x14ac:dyDescent="0.25">
      <c r="A1904" s="249">
        <v>45131</v>
      </c>
      <c r="B1904" s="237">
        <v>1552</v>
      </c>
      <c r="C1904" s="238" t="s">
        <v>916</v>
      </c>
      <c r="D1904" s="349"/>
      <c r="E1904" s="237">
        <v>95</v>
      </c>
      <c r="F1904" s="242" t="s">
        <v>1393</v>
      </c>
      <c r="G1904" s="239" t="s">
        <v>931</v>
      </c>
      <c r="H1904" s="240">
        <f t="shared" si="29"/>
        <v>211657</v>
      </c>
      <c r="I1904" s="241"/>
      <c r="J1904" s="221" t="b">
        <f>EXACT(E1905,[1]Main!E1905)</f>
        <v>1</v>
      </c>
    </row>
    <row r="1905" spans="1:10" x14ac:dyDescent="0.25">
      <c r="A1905" s="249">
        <v>45131</v>
      </c>
      <c r="B1905" s="237">
        <v>2315</v>
      </c>
      <c r="C1905" s="238" t="s">
        <v>1425</v>
      </c>
      <c r="D1905" s="349"/>
      <c r="E1905" s="237">
        <v>158</v>
      </c>
      <c r="F1905" s="242" t="s">
        <v>1394</v>
      </c>
      <c r="G1905" s="239" t="s">
        <v>931</v>
      </c>
      <c r="H1905" s="240">
        <f t="shared" si="29"/>
        <v>213814</v>
      </c>
      <c r="I1905" s="241"/>
      <c r="J1905" s="221" t="b">
        <f>EXACT(E1906,[1]Main!E1906)</f>
        <v>1</v>
      </c>
    </row>
    <row r="1906" spans="1:10" x14ac:dyDescent="0.25">
      <c r="A1906" s="249">
        <v>45131</v>
      </c>
      <c r="B1906" s="237">
        <v>8270</v>
      </c>
      <c r="C1906" s="238" t="s">
        <v>1162</v>
      </c>
      <c r="D1906" s="349"/>
      <c r="E1906" s="237">
        <v>312</v>
      </c>
      <c r="F1906" s="242" t="s">
        <v>569</v>
      </c>
      <c r="G1906" s="239" t="s">
        <v>931</v>
      </c>
      <c r="H1906" s="240">
        <f t="shared" si="29"/>
        <v>221772</v>
      </c>
      <c r="I1906" s="241"/>
      <c r="J1906" s="221" t="b">
        <f>EXACT(E1907,[1]Main!E1907)</f>
        <v>1</v>
      </c>
    </row>
    <row r="1907" spans="1:10" x14ac:dyDescent="0.25">
      <c r="A1907" s="249">
        <v>45131</v>
      </c>
      <c r="B1907" s="237">
        <v>4745</v>
      </c>
      <c r="C1907" s="238" t="s">
        <v>1298</v>
      </c>
      <c r="D1907" s="349"/>
      <c r="E1907" s="237">
        <v>1520</v>
      </c>
      <c r="F1907" s="242" t="s">
        <v>281</v>
      </c>
      <c r="G1907" s="239" t="s">
        <v>928</v>
      </c>
      <c r="H1907" s="240">
        <f t="shared" si="29"/>
        <v>224997</v>
      </c>
      <c r="I1907" s="241"/>
      <c r="J1907" s="221" t="b">
        <f>EXACT(E1908,[1]Main!E1908)</f>
        <v>1</v>
      </c>
    </row>
    <row r="1908" spans="1:10" x14ac:dyDescent="0.25">
      <c r="A1908" s="249">
        <v>45131</v>
      </c>
      <c r="B1908" s="237">
        <v>11267</v>
      </c>
      <c r="C1908" s="238" t="s">
        <v>88</v>
      </c>
      <c r="D1908" s="349"/>
      <c r="E1908" s="237">
        <v>5475</v>
      </c>
      <c r="F1908" s="242" t="s">
        <v>44</v>
      </c>
      <c r="G1908" s="239" t="s">
        <v>928</v>
      </c>
      <c r="H1908" s="240">
        <f t="shared" si="29"/>
        <v>230789</v>
      </c>
      <c r="I1908" s="241"/>
      <c r="J1908" s="221" t="b">
        <f>EXACT(E1909,[1]Main!E1909)</f>
        <v>1</v>
      </c>
    </row>
    <row r="1909" spans="1:10" x14ac:dyDescent="0.25">
      <c r="A1909" s="249">
        <v>45131</v>
      </c>
      <c r="B1909" s="237">
        <v>860</v>
      </c>
      <c r="C1909" s="238" t="s">
        <v>1062</v>
      </c>
      <c r="D1909" s="349"/>
      <c r="E1909" s="237">
        <v>155</v>
      </c>
      <c r="F1909" s="242" t="s">
        <v>708</v>
      </c>
      <c r="G1909" s="239" t="s">
        <v>930</v>
      </c>
      <c r="H1909" s="240">
        <f t="shared" si="29"/>
        <v>231494</v>
      </c>
      <c r="I1909" s="241"/>
      <c r="J1909" s="221" t="b">
        <f>EXACT(E1910,[1]Main!E1910)</f>
        <v>1</v>
      </c>
    </row>
    <row r="1910" spans="1:10" x14ac:dyDescent="0.25">
      <c r="A1910" s="249">
        <v>45131</v>
      </c>
      <c r="B1910" s="237">
        <v>100</v>
      </c>
      <c r="C1910" s="238" t="s">
        <v>1061</v>
      </c>
      <c r="D1910" s="349"/>
      <c r="E1910" s="237">
        <v>1500</v>
      </c>
      <c r="F1910" s="242" t="s">
        <v>1038</v>
      </c>
      <c r="G1910" s="239" t="s">
        <v>928</v>
      </c>
      <c r="H1910" s="240">
        <f t="shared" si="29"/>
        <v>230094</v>
      </c>
      <c r="I1910" s="241" t="s">
        <v>1232</v>
      </c>
      <c r="J1910" s="221" t="b">
        <f>EXACT(E1911,[1]Main!E1911)</f>
        <v>1</v>
      </c>
    </row>
    <row r="1911" spans="1:10" x14ac:dyDescent="0.25">
      <c r="A1911" s="249">
        <v>45131</v>
      </c>
      <c r="B1911" s="237">
        <v>380</v>
      </c>
      <c r="C1911" s="238" t="s">
        <v>1429</v>
      </c>
      <c r="D1911" s="349"/>
      <c r="E1911" s="237">
        <v>10000</v>
      </c>
      <c r="F1911" s="242" t="s">
        <v>1496</v>
      </c>
      <c r="G1911" s="239" t="s">
        <v>938</v>
      </c>
      <c r="H1911" s="240">
        <f t="shared" si="29"/>
        <v>220474</v>
      </c>
      <c r="I1911" s="241" t="s">
        <v>1397</v>
      </c>
      <c r="J1911" s="221" t="b">
        <f>EXACT(E1912,[1]Main!E1912)</f>
        <v>1</v>
      </c>
    </row>
    <row r="1912" spans="1:10" x14ac:dyDescent="0.25">
      <c r="A1912" s="249">
        <v>45131</v>
      </c>
      <c r="B1912" s="237">
        <v>422</v>
      </c>
      <c r="C1912" s="238" t="s">
        <v>1299</v>
      </c>
      <c r="D1912" s="349"/>
      <c r="E1912" s="237">
        <v>360</v>
      </c>
      <c r="F1912" s="242" t="s">
        <v>600</v>
      </c>
      <c r="G1912" s="239" t="s">
        <v>464</v>
      </c>
      <c r="H1912" s="240">
        <f t="shared" si="29"/>
        <v>220536</v>
      </c>
      <c r="I1912" s="241"/>
      <c r="J1912" s="221" t="b">
        <f>EXACT(E1913,[1]Main!E1913)</f>
        <v>1</v>
      </c>
    </row>
    <row r="1913" spans="1:10" x14ac:dyDescent="0.25">
      <c r="A1913" s="249">
        <v>45131</v>
      </c>
      <c r="B1913" s="237">
        <v>20</v>
      </c>
      <c r="C1913" s="238" t="s">
        <v>35</v>
      </c>
      <c r="D1913" s="349"/>
      <c r="E1913" s="237">
        <v>10000</v>
      </c>
      <c r="F1913" s="242" t="s">
        <v>1398</v>
      </c>
      <c r="G1913" s="239" t="s">
        <v>928</v>
      </c>
      <c r="H1913" s="240">
        <f t="shared" si="29"/>
        <v>210556</v>
      </c>
      <c r="I1913" s="241" t="s">
        <v>1399</v>
      </c>
      <c r="J1913" s="221" t="b">
        <f>EXACT(E1914,[1]Main!E1914)</f>
        <v>1</v>
      </c>
    </row>
    <row r="1914" spans="1:10" x14ac:dyDescent="0.25">
      <c r="A1914" s="249">
        <v>45131</v>
      </c>
      <c r="B1914" s="237">
        <v>25</v>
      </c>
      <c r="C1914" s="238" t="s">
        <v>27</v>
      </c>
      <c r="D1914" s="349"/>
      <c r="E1914" s="237">
        <v>6675</v>
      </c>
      <c r="F1914" s="242" t="s">
        <v>337</v>
      </c>
      <c r="G1914" s="239" t="s">
        <v>928</v>
      </c>
      <c r="H1914" s="240">
        <f t="shared" si="29"/>
        <v>203906</v>
      </c>
      <c r="I1914" s="241"/>
      <c r="J1914" s="221" t="b">
        <f>EXACT(E1915,[1]Main!E1915)</f>
        <v>1</v>
      </c>
    </row>
    <row r="1915" spans="1:10" x14ac:dyDescent="0.25">
      <c r="A1915" s="249">
        <v>45131</v>
      </c>
      <c r="B1915" s="237"/>
      <c r="C1915" s="238"/>
      <c r="D1915" s="349"/>
      <c r="E1915" s="237"/>
      <c r="F1915" s="242"/>
      <c r="G1915" s="239"/>
      <c r="H1915" s="240">
        <f t="shared" si="29"/>
        <v>203906</v>
      </c>
      <c r="I1915" s="241"/>
      <c r="J1915" s="221" t="b">
        <f>EXACT(E1916,[1]Main!E1916)</f>
        <v>1</v>
      </c>
    </row>
    <row r="1916" spans="1:10" x14ac:dyDescent="0.25">
      <c r="A1916" s="249">
        <v>45131</v>
      </c>
      <c r="B1916" s="237"/>
      <c r="C1916" s="238"/>
      <c r="D1916" s="349"/>
      <c r="E1916" s="237">
        <v>2843</v>
      </c>
      <c r="F1916" s="242" t="s">
        <v>571</v>
      </c>
      <c r="G1916" s="239" t="s">
        <v>928</v>
      </c>
      <c r="H1916" s="240">
        <f t="shared" si="29"/>
        <v>201063</v>
      </c>
      <c r="I1916" s="241"/>
      <c r="J1916" s="221" t="b">
        <f>EXACT(E1917,[1]Main!E1917)</f>
        <v>1</v>
      </c>
    </row>
    <row r="1917" spans="1:10" x14ac:dyDescent="0.25">
      <c r="A1917" s="249">
        <v>45131</v>
      </c>
      <c r="B1917" s="237"/>
      <c r="C1917" s="238"/>
      <c r="D1917" s="349"/>
      <c r="E1917" s="237">
        <v>2455</v>
      </c>
      <c r="F1917" s="242" t="s">
        <v>45</v>
      </c>
      <c r="G1917" s="239" t="s">
        <v>928</v>
      </c>
      <c r="H1917" s="240">
        <f t="shared" si="29"/>
        <v>198608</v>
      </c>
      <c r="I1917" s="241"/>
      <c r="J1917" s="221" t="b">
        <f>EXACT(E1918,[1]Main!E1918)</f>
        <v>1</v>
      </c>
    </row>
    <row r="1918" spans="1:10" x14ac:dyDescent="0.25">
      <c r="A1918" s="249">
        <v>45131</v>
      </c>
      <c r="B1918" s="237"/>
      <c r="C1918" s="238"/>
      <c r="D1918" s="349"/>
      <c r="E1918" s="237">
        <v>120</v>
      </c>
      <c r="F1918" s="242" t="s">
        <v>393</v>
      </c>
      <c r="G1918" s="239" t="s">
        <v>930</v>
      </c>
      <c r="H1918" s="240">
        <f t="shared" si="29"/>
        <v>198488</v>
      </c>
      <c r="I1918" s="241"/>
      <c r="J1918" s="221" t="b">
        <f>EXACT(E1919,[1]Main!E1919)</f>
        <v>1</v>
      </c>
    </row>
    <row r="1919" spans="1:10" x14ac:dyDescent="0.25">
      <c r="A1919" s="249">
        <v>45131</v>
      </c>
      <c r="B1919" s="237"/>
      <c r="C1919" s="238"/>
      <c r="D1919" s="349"/>
      <c r="E1919" s="237">
        <v>115</v>
      </c>
      <c r="F1919" s="242" t="s">
        <v>551</v>
      </c>
      <c r="G1919" s="239" t="s">
        <v>930</v>
      </c>
      <c r="H1919" s="240">
        <f t="shared" si="29"/>
        <v>198373</v>
      </c>
      <c r="I1919" s="241"/>
      <c r="J1919" s="221" t="b">
        <f>EXACT(E1920,[1]Main!E1920)</f>
        <v>1</v>
      </c>
    </row>
    <row r="1920" spans="1:10" x14ac:dyDescent="0.25">
      <c r="A1920" s="249">
        <v>45131</v>
      </c>
      <c r="B1920" s="237"/>
      <c r="C1920" s="238"/>
      <c r="D1920" s="349"/>
      <c r="E1920" s="237">
        <v>270</v>
      </c>
      <c r="F1920" s="242" t="s">
        <v>1400</v>
      </c>
      <c r="G1920" s="239" t="s">
        <v>931</v>
      </c>
      <c r="H1920" s="240">
        <f t="shared" si="29"/>
        <v>198103</v>
      </c>
      <c r="I1920" s="241"/>
      <c r="J1920" s="221" t="b">
        <f>EXACT(E1921,[1]Main!E1921)</f>
        <v>1</v>
      </c>
    </row>
    <row r="1921" spans="1:10" x14ac:dyDescent="0.25">
      <c r="A1921" s="249">
        <v>45131</v>
      </c>
      <c r="B1921" s="237"/>
      <c r="C1921" s="238"/>
      <c r="D1921" s="349"/>
      <c r="E1921" s="237">
        <v>6</v>
      </c>
      <c r="F1921" s="242" t="s">
        <v>1401</v>
      </c>
      <c r="G1921" s="239" t="s">
        <v>464</v>
      </c>
      <c r="H1921" s="240">
        <f t="shared" si="29"/>
        <v>198097</v>
      </c>
      <c r="I1921" s="241"/>
      <c r="J1921" s="221" t="b">
        <f>EXACT(E1922,[1]Main!E1922)</f>
        <v>1</v>
      </c>
    </row>
    <row r="1922" spans="1:10" x14ac:dyDescent="0.25">
      <c r="A1922" s="249">
        <v>45131</v>
      </c>
      <c r="B1922" s="237"/>
      <c r="C1922" s="238"/>
      <c r="D1922" s="349"/>
      <c r="E1922" s="237">
        <v>535</v>
      </c>
      <c r="F1922" s="242" t="s">
        <v>11</v>
      </c>
      <c r="G1922" s="239" t="s">
        <v>928</v>
      </c>
      <c r="H1922" s="240">
        <f t="shared" si="29"/>
        <v>197562</v>
      </c>
      <c r="I1922" s="241"/>
      <c r="J1922" s="221" t="b">
        <f>EXACT(E1923,[1]Main!E1923)</f>
        <v>1</v>
      </c>
    </row>
    <row r="1923" spans="1:10" x14ac:dyDescent="0.25">
      <c r="A1923" s="249">
        <v>45131</v>
      </c>
      <c r="B1923" s="237"/>
      <c r="C1923" s="238"/>
      <c r="D1923" s="349"/>
      <c r="E1923" s="237">
        <v>1065</v>
      </c>
      <c r="F1923" s="242" t="s">
        <v>1402</v>
      </c>
      <c r="G1923" s="239" t="s">
        <v>928</v>
      </c>
      <c r="H1923" s="240">
        <f t="shared" si="29"/>
        <v>196497</v>
      </c>
      <c r="I1923" s="241"/>
      <c r="J1923" s="221" t="b">
        <f>EXACT(E1924,[1]Main!E1924)</f>
        <v>1</v>
      </c>
    </row>
    <row r="1924" spans="1:10" x14ac:dyDescent="0.25">
      <c r="A1924" s="249">
        <v>45131</v>
      </c>
      <c r="B1924" s="237"/>
      <c r="C1924" s="238"/>
      <c r="D1924" s="349"/>
      <c r="E1924" s="237">
        <v>1335</v>
      </c>
      <c r="F1924" s="242" t="s">
        <v>12</v>
      </c>
      <c r="G1924" s="239" t="s">
        <v>928</v>
      </c>
      <c r="H1924" s="240">
        <f t="shared" si="29"/>
        <v>195162</v>
      </c>
      <c r="I1924" s="241"/>
      <c r="J1924" s="221" t="b">
        <f>EXACT(E1925,[1]Main!E1925)</f>
        <v>1</v>
      </c>
    </row>
    <row r="1925" spans="1:10" x14ac:dyDescent="0.25">
      <c r="A1925" s="249">
        <v>45131</v>
      </c>
      <c r="B1925" s="237"/>
      <c r="C1925" s="238"/>
      <c r="D1925" s="349"/>
      <c r="E1925" s="237">
        <v>1585</v>
      </c>
      <c r="F1925" s="242" t="s">
        <v>605</v>
      </c>
      <c r="G1925" s="239" t="s">
        <v>928</v>
      </c>
      <c r="H1925" s="240">
        <f t="shared" si="29"/>
        <v>193577</v>
      </c>
      <c r="I1925" s="241"/>
      <c r="J1925" s="221" t="b">
        <f>EXACT(E1926,[1]Main!E1926)</f>
        <v>1</v>
      </c>
    </row>
    <row r="1926" spans="1:10" x14ac:dyDescent="0.25">
      <c r="A1926" s="249">
        <v>45131</v>
      </c>
      <c r="B1926" s="237"/>
      <c r="C1926" s="238"/>
      <c r="D1926" s="349"/>
      <c r="E1926" s="237">
        <v>736</v>
      </c>
      <c r="F1926" s="242" t="s">
        <v>1403</v>
      </c>
      <c r="G1926" s="239" t="s">
        <v>928</v>
      </c>
      <c r="H1926" s="240">
        <f t="shared" si="29"/>
        <v>192841</v>
      </c>
      <c r="I1926" s="241"/>
      <c r="J1926" s="221" t="b">
        <f>EXACT(E1927,[1]Main!E1927)</f>
        <v>1</v>
      </c>
    </row>
    <row r="1927" spans="1:10" x14ac:dyDescent="0.25">
      <c r="A1927" s="249">
        <v>45131</v>
      </c>
      <c r="B1927" s="237"/>
      <c r="C1927" s="238"/>
      <c r="D1927" s="349"/>
      <c r="E1927" s="237">
        <v>572</v>
      </c>
      <c r="F1927" s="242" t="s">
        <v>63</v>
      </c>
      <c r="G1927" s="239" t="s">
        <v>928</v>
      </c>
      <c r="H1927" s="240">
        <f t="shared" ref="H1927:H1990" si="30">H1926+B1927-E1927</f>
        <v>192269</v>
      </c>
      <c r="I1927" s="241"/>
      <c r="J1927" s="221" t="b">
        <f>EXACT(E1928,[1]Main!E1928)</f>
        <v>1</v>
      </c>
    </row>
    <row r="1928" spans="1:10" x14ac:dyDescent="0.25">
      <c r="A1928" s="249">
        <v>45131</v>
      </c>
      <c r="B1928" s="237"/>
      <c r="C1928" s="238"/>
      <c r="D1928" s="349"/>
      <c r="E1928" s="237">
        <v>80</v>
      </c>
      <c r="F1928" s="242" t="s">
        <v>61</v>
      </c>
      <c r="G1928" s="239" t="s">
        <v>928</v>
      </c>
      <c r="H1928" s="240">
        <f t="shared" si="30"/>
        <v>192189</v>
      </c>
      <c r="I1928" s="241"/>
      <c r="J1928" s="221" t="b">
        <f>EXACT(E1929,[1]Main!E1929)</f>
        <v>1</v>
      </c>
    </row>
    <row r="1929" spans="1:10" x14ac:dyDescent="0.25">
      <c r="A1929" s="249">
        <v>45131</v>
      </c>
      <c r="B1929" s="237"/>
      <c r="C1929" s="238"/>
      <c r="D1929" s="349"/>
      <c r="E1929" s="237">
        <v>1000</v>
      </c>
      <c r="F1929" s="242" t="s">
        <v>1405</v>
      </c>
      <c r="G1929" s="239" t="s">
        <v>928</v>
      </c>
      <c r="H1929" s="240">
        <f t="shared" si="30"/>
        <v>191189</v>
      </c>
      <c r="I1929" s="241" t="s">
        <v>1406</v>
      </c>
      <c r="J1929" s="221" t="b">
        <f>EXACT(E1930,[1]Main!E1930)</f>
        <v>1</v>
      </c>
    </row>
    <row r="1930" spans="1:10" x14ac:dyDescent="0.25">
      <c r="A1930" s="249">
        <v>45131</v>
      </c>
      <c r="B1930" s="237"/>
      <c r="C1930" s="238"/>
      <c r="D1930" s="349"/>
      <c r="E1930" s="237">
        <v>4600</v>
      </c>
      <c r="F1930" s="242" t="s">
        <v>1408</v>
      </c>
      <c r="G1930" s="239" t="s">
        <v>928</v>
      </c>
      <c r="H1930" s="240">
        <f t="shared" si="30"/>
        <v>186589</v>
      </c>
      <c r="I1930" s="241"/>
      <c r="J1930" s="221" t="b">
        <f>EXACT(E1931,[1]Main!E1931)</f>
        <v>1</v>
      </c>
    </row>
    <row r="1931" spans="1:10" x14ac:dyDescent="0.25">
      <c r="A1931" s="249">
        <v>45131</v>
      </c>
      <c r="B1931" s="237"/>
      <c r="C1931" s="238"/>
      <c r="D1931" s="349"/>
      <c r="E1931" s="237">
        <v>14855</v>
      </c>
      <c r="F1931" s="242" t="s">
        <v>1356</v>
      </c>
      <c r="G1931" s="239" t="s">
        <v>928</v>
      </c>
      <c r="H1931" s="240">
        <f t="shared" si="30"/>
        <v>171734</v>
      </c>
      <c r="I1931" s="241"/>
      <c r="J1931" s="221" t="b">
        <f>EXACT(E1932,[1]Main!E1932)</f>
        <v>1</v>
      </c>
    </row>
    <row r="1932" spans="1:10" x14ac:dyDescent="0.25">
      <c r="A1932" s="249">
        <v>45131</v>
      </c>
      <c r="B1932" s="237"/>
      <c r="C1932" s="238"/>
      <c r="D1932" s="349"/>
      <c r="E1932" s="237">
        <v>775</v>
      </c>
      <c r="F1932" s="242" t="s">
        <v>1328</v>
      </c>
      <c r="G1932" s="239" t="s">
        <v>938</v>
      </c>
      <c r="H1932" s="240">
        <f t="shared" si="30"/>
        <v>170959</v>
      </c>
      <c r="I1932" s="241"/>
      <c r="J1932" s="221" t="b">
        <f>EXACT(E1933,[1]Main!E1933)</f>
        <v>1</v>
      </c>
    </row>
    <row r="1933" spans="1:10" x14ac:dyDescent="0.25">
      <c r="A1933" s="249">
        <v>45131</v>
      </c>
      <c r="B1933" s="237"/>
      <c r="C1933" s="238"/>
      <c r="D1933" s="349"/>
      <c r="E1933" s="237">
        <v>5550</v>
      </c>
      <c r="F1933" s="242" t="s">
        <v>16</v>
      </c>
      <c r="G1933" s="239" t="s">
        <v>936</v>
      </c>
      <c r="H1933" s="240">
        <f t="shared" si="30"/>
        <v>165409</v>
      </c>
      <c r="I1933" s="241"/>
      <c r="J1933" s="221" t="b">
        <f>EXACT(E1934,[1]Main!E1934)</f>
        <v>1</v>
      </c>
    </row>
    <row r="1934" spans="1:10" x14ac:dyDescent="0.25">
      <c r="A1934" s="249">
        <v>45131</v>
      </c>
      <c r="B1934" s="237"/>
      <c r="C1934" s="238"/>
      <c r="D1934" s="349"/>
      <c r="E1934" s="237">
        <v>195</v>
      </c>
      <c r="F1934" s="242" t="s">
        <v>610</v>
      </c>
      <c r="G1934" s="239" t="s">
        <v>943</v>
      </c>
      <c r="H1934" s="240">
        <f t="shared" si="30"/>
        <v>165214</v>
      </c>
      <c r="I1934" s="241"/>
      <c r="J1934" s="221" t="b">
        <f>EXACT(E1935,[1]Main!E1935)</f>
        <v>1</v>
      </c>
    </row>
    <row r="1935" spans="1:10" x14ac:dyDescent="0.25">
      <c r="A1935" s="249">
        <v>45131</v>
      </c>
      <c r="B1935" s="237"/>
      <c r="C1935" s="238"/>
      <c r="D1935" s="349"/>
      <c r="E1935" s="237">
        <v>100</v>
      </c>
      <c r="F1935" s="242" t="s">
        <v>610</v>
      </c>
      <c r="G1935" s="239" t="s">
        <v>943</v>
      </c>
      <c r="H1935" s="240">
        <f t="shared" si="30"/>
        <v>165114</v>
      </c>
      <c r="I1935" s="241"/>
      <c r="J1935" s="221" t="b">
        <f>EXACT(E1936,[1]Main!E1936)</f>
        <v>1</v>
      </c>
    </row>
    <row r="1936" spans="1:10" x14ac:dyDescent="0.25">
      <c r="A1936" s="249">
        <v>45131</v>
      </c>
      <c r="B1936" s="237"/>
      <c r="C1936" s="238"/>
      <c r="D1936" s="349"/>
      <c r="E1936" s="237">
        <v>2000</v>
      </c>
      <c r="F1936" s="242" t="s">
        <v>1209</v>
      </c>
      <c r="G1936" s="239" t="s">
        <v>928</v>
      </c>
      <c r="H1936" s="240">
        <f t="shared" si="30"/>
        <v>163114</v>
      </c>
      <c r="I1936" s="241" t="s">
        <v>1137</v>
      </c>
      <c r="J1936" s="221" t="b">
        <f>EXACT(E1937,[1]Main!E1937)</f>
        <v>1</v>
      </c>
    </row>
    <row r="1937" spans="1:10" x14ac:dyDescent="0.25">
      <c r="A1937" s="249">
        <v>45131</v>
      </c>
      <c r="B1937" s="237"/>
      <c r="C1937" s="238"/>
      <c r="D1937" s="349"/>
      <c r="E1937" s="237">
        <v>5000</v>
      </c>
      <c r="F1937" s="242" t="s">
        <v>1311</v>
      </c>
      <c r="G1937" s="239" t="s">
        <v>928</v>
      </c>
      <c r="H1937" s="240">
        <f t="shared" si="30"/>
        <v>158114</v>
      </c>
      <c r="I1937" s="241" t="s">
        <v>1409</v>
      </c>
      <c r="J1937" s="221" t="b">
        <f>EXACT(E1938,[1]Main!E1938)</f>
        <v>1</v>
      </c>
    </row>
    <row r="1938" spans="1:10" x14ac:dyDescent="0.25">
      <c r="A1938" s="249">
        <v>45131</v>
      </c>
      <c r="B1938" s="237"/>
      <c r="C1938" s="238"/>
      <c r="D1938" s="349"/>
      <c r="E1938" s="237">
        <v>950</v>
      </c>
      <c r="F1938" s="242" t="s">
        <v>1411</v>
      </c>
      <c r="G1938" s="239" t="s">
        <v>928</v>
      </c>
      <c r="H1938" s="240">
        <f t="shared" si="30"/>
        <v>157164</v>
      </c>
      <c r="I1938" s="241"/>
      <c r="J1938" s="221" t="b">
        <f>EXACT(E1939,[1]Main!E1939)</f>
        <v>1</v>
      </c>
    </row>
    <row r="1939" spans="1:10" x14ac:dyDescent="0.25">
      <c r="A1939" s="249">
        <v>45131</v>
      </c>
      <c r="B1939" s="237"/>
      <c r="C1939" s="238"/>
      <c r="D1939" s="349"/>
      <c r="E1939" s="237">
        <v>11720</v>
      </c>
      <c r="F1939" s="242" t="s">
        <v>1410</v>
      </c>
      <c r="G1939" s="239" t="s">
        <v>928</v>
      </c>
      <c r="H1939" s="240">
        <f t="shared" si="30"/>
        <v>145444</v>
      </c>
      <c r="I1939" s="241"/>
      <c r="J1939" s="221" t="b">
        <f>EXACT(E1940,[1]Main!E1940)</f>
        <v>1</v>
      </c>
    </row>
    <row r="1940" spans="1:10" x14ac:dyDescent="0.25">
      <c r="A1940" s="249">
        <v>45131</v>
      </c>
      <c r="B1940" s="237"/>
      <c r="C1940" s="238"/>
      <c r="D1940" s="349"/>
      <c r="E1940" s="237">
        <v>200</v>
      </c>
      <c r="F1940" s="242" t="s">
        <v>610</v>
      </c>
      <c r="G1940" s="239" t="s">
        <v>943</v>
      </c>
      <c r="H1940" s="240">
        <f t="shared" si="30"/>
        <v>145244</v>
      </c>
      <c r="I1940" s="241"/>
      <c r="J1940" s="221" t="b">
        <f>EXACT(E1941,[1]Main!E1941)</f>
        <v>1</v>
      </c>
    </row>
    <row r="1941" spans="1:10" x14ac:dyDescent="0.25">
      <c r="A1941" s="249">
        <v>45131</v>
      </c>
      <c r="B1941" s="237"/>
      <c r="C1941" s="238"/>
      <c r="D1941" s="349"/>
      <c r="E1941" s="237">
        <v>5000</v>
      </c>
      <c r="F1941" s="242" t="s">
        <v>182</v>
      </c>
      <c r="G1941" s="239" t="s">
        <v>941</v>
      </c>
      <c r="H1941" s="240">
        <f t="shared" si="30"/>
        <v>140244</v>
      </c>
      <c r="I1941" s="241"/>
      <c r="J1941" s="221" t="b">
        <f>EXACT(E1942,[1]Main!E1942)</f>
        <v>1</v>
      </c>
    </row>
    <row r="1942" spans="1:10" x14ac:dyDescent="0.25">
      <c r="A1942" s="249">
        <v>45131</v>
      </c>
      <c r="B1942" s="237"/>
      <c r="C1942" s="238"/>
      <c r="D1942" s="349"/>
      <c r="E1942" s="237">
        <v>4290</v>
      </c>
      <c r="F1942" s="242" t="s">
        <v>610</v>
      </c>
      <c r="G1942" s="239" t="s">
        <v>943</v>
      </c>
      <c r="H1942" s="240">
        <f t="shared" si="30"/>
        <v>135954</v>
      </c>
      <c r="I1942" s="241"/>
      <c r="J1942" s="221" t="b">
        <f>EXACT(E1943,[1]Main!E1943)</f>
        <v>1</v>
      </c>
    </row>
    <row r="1943" spans="1:10" x14ac:dyDescent="0.25">
      <c r="A1943" s="249">
        <v>45131</v>
      </c>
      <c r="B1943" s="237"/>
      <c r="C1943" s="238"/>
      <c r="D1943" s="349"/>
      <c r="E1943" s="237">
        <v>20</v>
      </c>
      <c r="F1943" s="242" t="s">
        <v>13</v>
      </c>
      <c r="G1943" s="239" t="s">
        <v>930</v>
      </c>
      <c r="H1943" s="240">
        <f t="shared" si="30"/>
        <v>135934</v>
      </c>
      <c r="I1943" s="241"/>
      <c r="J1943" s="221" t="b">
        <f>EXACT(E1944,[1]Main!E1944)</f>
        <v>1</v>
      </c>
    </row>
    <row r="1944" spans="1:10" x14ac:dyDescent="0.25">
      <c r="A1944" s="249">
        <v>45131</v>
      </c>
      <c r="B1944" s="237"/>
      <c r="C1944" s="238"/>
      <c r="D1944" s="349"/>
      <c r="E1944" s="237">
        <v>345</v>
      </c>
      <c r="F1944" s="242" t="s">
        <v>1412</v>
      </c>
      <c r="G1944" s="239" t="s">
        <v>464</v>
      </c>
      <c r="H1944" s="240">
        <f t="shared" si="30"/>
        <v>135589</v>
      </c>
      <c r="I1944" s="241"/>
      <c r="J1944" s="221" t="b">
        <f>EXACT(E1945,[1]Main!E1945)</f>
        <v>1</v>
      </c>
    </row>
    <row r="1945" spans="1:10" x14ac:dyDescent="0.25">
      <c r="A1945" s="249">
        <v>45131</v>
      </c>
      <c r="B1945" s="237"/>
      <c r="C1945" s="238"/>
      <c r="D1945" s="349"/>
      <c r="E1945" s="237">
        <v>2000</v>
      </c>
      <c r="F1945" s="242" t="s">
        <v>338</v>
      </c>
      <c r="G1945" s="239" t="s">
        <v>928</v>
      </c>
      <c r="H1945" s="240">
        <f t="shared" si="30"/>
        <v>133589</v>
      </c>
      <c r="I1945" s="241" t="s">
        <v>815</v>
      </c>
      <c r="J1945" s="221" t="b">
        <f>EXACT(E1946,[1]Main!E1946)</f>
        <v>1</v>
      </c>
    </row>
    <row r="1946" spans="1:10" x14ac:dyDescent="0.25">
      <c r="A1946" s="249">
        <v>45131</v>
      </c>
      <c r="B1946" s="237"/>
      <c r="C1946" s="238"/>
      <c r="D1946" s="349"/>
      <c r="E1946" s="237">
        <v>195</v>
      </c>
      <c r="F1946" s="242" t="s">
        <v>27</v>
      </c>
      <c r="G1946" s="239" t="s">
        <v>943</v>
      </c>
      <c r="H1946" s="240">
        <f t="shared" si="30"/>
        <v>133394</v>
      </c>
      <c r="I1946" s="241"/>
      <c r="J1946" s="221" t="b">
        <f>EXACT(E1947,[1]Main!E1947)</f>
        <v>1</v>
      </c>
    </row>
    <row r="1947" spans="1:10" x14ac:dyDescent="0.25">
      <c r="A1947" s="249">
        <v>45131</v>
      </c>
      <c r="B1947" s="237"/>
      <c r="C1947" s="238"/>
      <c r="D1947" s="349"/>
      <c r="E1947" s="237">
        <v>1600</v>
      </c>
      <c r="F1947" s="242" t="s">
        <v>14</v>
      </c>
      <c r="G1947" s="239" t="s">
        <v>935</v>
      </c>
      <c r="H1947" s="240">
        <f t="shared" si="30"/>
        <v>131794</v>
      </c>
      <c r="I1947" s="241" t="s">
        <v>1413</v>
      </c>
      <c r="J1947" s="221" t="b">
        <f>EXACT(E1948,[1]Main!E1948)</f>
        <v>1</v>
      </c>
    </row>
    <row r="1948" spans="1:10" x14ac:dyDescent="0.25">
      <c r="A1948" s="249">
        <v>45131</v>
      </c>
      <c r="B1948" s="237"/>
      <c r="C1948" s="238"/>
      <c r="D1948" s="349"/>
      <c r="E1948" s="237">
        <v>250</v>
      </c>
      <c r="F1948" s="242" t="s">
        <v>1415</v>
      </c>
      <c r="G1948" s="239" t="s">
        <v>464</v>
      </c>
      <c r="H1948" s="240">
        <f t="shared" si="30"/>
        <v>131544</v>
      </c>
      <c r="I1948" s="241"/>
      <c r="J1948" s="221" t="b">
        <f>EXACT(E1949,[1]Main!E1949)</f>
        <v>1</v>
      </c>
    </row>
    <row r="1949" spans="1:10" x14ac:dyDescent="0.25">
      <c r="A1949" s="249">
        <v>45131</v>
      </c>
      <c r="B1949" s="237"/>
      <c r="C1949" s="238"/>
      <c r="D1949" s="349"/>
      <c r="E1949" s="237">
        <v>170</v>
      </c>
      <c r="F1949" s="242" t="s">
        <v>86</v>
      </c>
      <c r="G1949" s="239" t="s">
        <v>930</v>
      </c>
      <c r="H1949" s="240">
        <f t="shared" si="30"/>
        <v>131374</v>
      </c>
      <c r="I1949" s="241"/>
      <c r="J1949" s="221" t="b">
        <f>EXACT(E1950,[1]Main!E1950)</f>
        <v>1</v>
      </c>
    </row>
    <row r="1950" spans="1:10" x14ac:dyDescent="0.25">
      <c r="A1950" s="249">
        <v>45131</v>
      </c>
      <c r="B1950" s="237"/>
      <c r="C1950" s="238"/>
      <c r="D1950" s="349"/>
      <c r="E1950" s="237">
        <v>495</v>
      </c>
      <c r="F1950" s="242" t="s">
        <v>27</v>
      </c>
      <c r="G1950" s="239" t="s">
        <v>943</v>
      </c>
      <c r="H1950" s="240">
        <f t="shared" si="30"/>
        <v>130879</v>
      </c>
      <c r="I1950" s="241"/>
      <c r="J1950" s="221" t="b">
        <f>EXACT(E1951,[1]Main!E1951)</f>
        <v>1</v>
      </c>
    </row>
    <row r="1951" spans="1:10" x14ac:dyDescent="0.25">
      <c r="A1951" s="249">
        <v>45131</v>
      </c>
      <c r="B1951" s="237"/>
      <c r="C1951" s="238"/>
      <c r="D1951" s="349"/>
      <c r="E1951" s="237">
        <v>50</v>
      </c>
      <c r="F1951" s="242" t="s">
        <v>97</v>
      </c>
      <c r="G1951" s="239" t="s">
        <v>931</v>
      </c>
      <c r="H1951" s="240">
        <f t="shared" si="30"/>
        <v>130829</v>
      </c>
      <c r="I1951" s="241"/>
      <c r="J1951" s="221" t="b">
        <f>EXACT(E1952,[1]Main!E1952)</f>
        <v>1</v>
      </c>
    </row>
    <row r="1952" spans="1:10" x14ac:dyDescent="0.25">
      <c r="A1952" s="249">
        <v>45131</v>
      </c>
      <c r="B1952" s="237"/>
      <c r="C1952" s="238"/>
      <c r="D1952" s="349"/>
      <c r="E1952" s="237">
        <v>140</v>
      </c>
      <c r="F1952" s="242" t="s">
        <v>1416</v>
      </c>
      <c r="G1952" s="239" t="s">
        <v>930</v>
      </c>
      <c r="H1952" s="240">
        <f t="shared" si="30"/>
        <v>130689</v>
      </c>
      <c r="I1952" s="241"/>
      <c r="J1952" s="221" t="b">
        <f>EXACT(E1953,[1]Main!E1953)</f>
        <v>1</v>
      </c>
    </row>
    <row r="1953" spans="1:10" x14ac:dyDescent="0.25">
      <c r="A1953" s="249">
        <v>45131</v>
      </c>
      <c r="B1953" s="237"/>
      <c r="C1953" s="238"/>
      <c r="D1953" s="349"/>
      <c r="E1953" s="237">
        <v>7350</v>
      </c>
      <c r="F1953" s="242" t="s">
        <v>1417</v>
      </c>
      <c r="G1953" s="239" t="s">
        <v>928</v>
      </c>
      <c r="H1953" s="240">
        <f t="shared" si="30"/>
        <v>123339</v>
      </c>
      <c r="I1953" s="241"/>
      <c r="J1953" s="221" t="b">
        <f>EXACT(E1954,[1]Main!E1954)</f>
        <v>1</v>
      </c>
    </row>
    <row r="1954" spans="1:10" x14ac:dyDescent="0.25">
      <c r="A1954" s="249">
        <v>45131</v>
      </c>
      <c r="B1954" s="237"/>
      <c r="C1954" s="238"/>
      <c r="D1954" s="349"/>
      <c r="E1954" s="237">
        <v>225</v>
      </c>
      <c r="F1954" s="242" t="s">
        <v>334</v>
      </c>
      <c r="G1954" s="239" t="s">
        <v>928</v>
      </c>
      <c r="H1954" s="240">
        <f t="shared" si="30"/>
        <v>123114</v>
      </c>
      <c r="I1954" s="241"/>
      <c r="J1954" s="221" t="b">
        <f>EXACT(E1955,[1]Main!E1955)</f>
        <v>1</v>
      </c>
    </row>
    <row r="1955" spans="1:10" x14ac:dyDescent="0.25">
      <c r="A1955" s="249">
        <v>45131</v>
      </c>
      <c r="B1955" s="237"/>
      <c r="C1955" s="238"/>
      <c r="D1955" s="349"/>
      <c r="E1955" s="237">
        <v>6585</v>
      </c>
      <c r="F1955" s="242" t="s">
        <v>1418</v>
      </c>
      <c r="G1955" s="239" t="s">
        <v>928</v>
      </c>
      <c r="H1955" s="240">
        <f t="shared" si="30"/>
        <v>116529</v>
      </c>
      <c r="I1955" s="241"/>
      <c r="J1955" s="221" t="b">
        <f>EXACT(E1956,[1]Main!E1956)</f>
        <v>1</v>
      </c>
    </row>
    <row r="1956" spans="1:10" x14ac:dyDescent="0.25">
      <c r="A1956" s="249">
        <v>45131</v>
      </c>
      <c r="B1956" s="237"/>
      <c r="C1956" s="238"/>
      <c r="D1956" s="349"/>
      <c r="E1956" s="237">
        <v>100</v>
      </c>
      <c r="F1956" s="242" t="s">
        <v>1419</v>
      </c>
      <c r="G1956" s="239" t="s">
        <v>930</v>
      </c>
      <c r="H1956" s="240">
        <f t="shared" si="30"/>
        <v>116429</v>
      </c>
      <c r="I1956" s="241"/>
      <c r="J1956" s="221" t="b">
        <f>EXACT(E1957,[1]Main!E1957)</f>
        <v>1</v>
      </c>
    </row>
    <row r="1957" spans="1:10" x14ac:dyDescent="0.25">
      <c r="A1957" s="249">
        <v>45131</v>
      </c>
      <c r="B1957" s="237"/>
      <c r="C1957" s="238"/>
      <c r="D1957" s="349"/>
      <c r="E1957" s="237">
        <v>14</v>
      </c>
      <c r="F1957" s="242" t="s">
        <v>1420</v>
      </c>
      <c r="G1957" s="239" t="s">
        <v>945</v>
      </c>
      <c r="H1957" s="240">
        <f t="shared" si="30"/>
        <v>116415</v>
      </c>
      <c r="I1957" s="241"/>
      <c r="J1957" s="221" t="b">
        <f>EXACT(E1958,[1]Main!E1958)</f>
        <v>1</v>
      </c>
    </row>
    <row r="1958" spans="1:10" x14ac:dyDescent="0.25">
      <c r="A1958" s="249">
        <v>45131</v>
      </c>
      <c r="B1958" s="237"/>
      <c r="C1958" s="238"/>
      <c r="D1958" s="349"/>
      <c r="E1958" s="237">
        <v>110</v>
      </c>
      <c r="F1958" s="242" t="s">
        <v>29</v>
      </c>
      <c r="G1958" s="239" t="s">
        <v>930</v>
      </c>
      <c r="H1958" s="240">
        <f t="shared" si="30"/>
        <v>116305</v>
      </c>
      <c r="I1958" s="241"/>
      <c r="J1958" s="221" t="b">
        <f>EXACT(E1959,[1]Main!E1959)</f>
        <v>1</v>
      </c>
    </row>
    <row r="1959" spans="1:10" x14ac:dyDescent="0.25">
      <c r="A1959" s="249">
        <v>45131</v>
      </c>
      <c r="B1959" s="237"/>
      <c r="C1959" s="238"/>
      <c r="D1959" s="349"/>
      <c r="E1959" s="237">
        <v>2500</v>
      </c>
      <c r="F1959" s="242" t="s">
        <v>1421</v>
      </c>
      <c r="G1959" s="239" t="s">
        <v>928</v>
      </c>
      <c r="H1959" s="240">
        <f t="shared" si="30"/>
        <v>113805</v>
      </c>
      <c r="I1959" s="241"/>
      <c r="J1959" s="221" t="b">
        <f>EXACT(E1960,[1]Main!E1960)</f>
        <v>1</v>
      </c>
    </row>
    <row r="1960" spans="1:10" x14ac:dyDescent="0.25">
      <c r="A1960" s="249">
        <v>45131</v>
      </c>
      <c r="B1960" s="237"/>
      <c r="C1960" s="238"/>
      <c r="D1960" s="349"/>
      <c r="E1960" s="237">
        <v>110</v>
      </c>
      <c r="F1960" s="242" t="s">
        <v>1422</v>
      </c>
      <c r="G1960" s="239" t="s">
        <v>930</v>
      </c>
      <c r="H1960" s="240">
        <f t="shared" si="30"/>
        <v>113695</v>
      </c>
      <c r="I1960" s="241"/>
      <c r="J1960" s="221" t="b">
        <f>EXACT(E1961,[1]Main!E1961)</f>
        <v>1</v>
      </c>
    </row>
    <row r="1961" spans="1:10" x14ac:dyDescent="0.25">
      <c r="A1961" s="249">
        <v>45131</v>
      </c>
      <c r="B1961" s="237"/>
      <c r="C1961" s="238"/>
      <c r="D1961" s="349"/>
      <c r="E1961" s="237">
        <v>215</v>
      </c>
      <c r="F1961" s="242" t="s">
        <v>1319</v>
      </c>
      <c r="G1961" s="239" t="s">
        <v>930</v>
      </c>
      <c r="H1961" s="240">
        <f t="shared" si="30"/>
        <v>113480</v>
      </c>
      <c r="I1961" s="241"/>
      <c r="J1961" s="221" t="b">
        <f>EXACT(E1962,[1]Main!E1962)</f>
        <v>1</v>
      </c>
    </row>
    <row r="1962" spans="1:10" x14ac:dyDescent="0.25">
      <c r="A1962" s="249">
        <v>45131</v>
      </c>
      <c r="B1962" s="237"/>
      <c r="C1962" s="238"/>
      <c r="D1962" s="349"/>
      <c r="E1962" s="237">
        <v>80</v>
      </c>
      <c r="F1962" s="242" t="s">
        <v>510</v>
      </c>
      <c r="G1962" s="239" t="s">
        <v>930</v>
      </c>
      <c r="H1962" s="240">
        <f t="shared" si="30"/>
        <v>113400</v>
      </c>
      <c r="I1962" s="241"/>
      <c r="J1962" s="221" t="b">
        <f>EXACT(E1963,[1]Main!E1963)</f>
        <v>1</v>
      </c>
    </row>
    <row r="1963" spans="1:10" x14ac:dyDescent="0.25">
      <c r="A1963" s="249">
        <v>45131</v>
      </c>
      <c r="B1963" s="237"/>
      <c r="C1963" s="238"/>
      <c r="D1963" s="349"/>
      <c r="E1963" s="237">
        <v>160</v>
      </c>
      <c r="F1963" s="242" t="s">
        <v>498</v>
      </c>
      <c r="G1963" s="239" t="s">
        <v>930</v>
      </c>
      <c r="H1963" s="240">
        <f t="shared" si="30"/>
        <v>113240</v>
      </c>
      <c r="I1963" s="241"/>
      <c r="J1963" s="221" t="b">
        <f>EXACT(E1964,[1]Main!E1964)</f>
        <v>1</v>
      </c>
    </row>
    <row r="1964" spans="1:10" x14ac:dyDescent="0.25">
      <c r="A1964" s="249">
        <v>45131</v>
      </c>
      <c r="B1964" s="237"/>
      <c r="C1964" s="238"/>
      <c r="D1964" s="349"/>
      <c r="E1964" s="237">
        <v>185</v>
      </c>
      <c r="F1964" s="242" t="s">
        <v>15</v>
      </c>
      <c r="G1964" s="239" t="s">
        <v>930</v>
      </c>
      <c r="H1964" s="240">
        <f t="shared" si="30"/>
        <v>113055</v>
      </c>
      <c r="I1964" s="241"/>
      <c r="J1964" s="221" t="b">
        <f>EXACT(E1965,[1]Main!E1965)</f>
        <v>1</v>
      </c>
    </row>
    <row r="1965" spans="1:10" x14ac:dyDescent="0.25">
      <c r="A1965" s="249">
        <v>45131</v>
      </c>
      <c r="B1965" s="237"/>
      <c r="C1965" s="238"/>
      <c r="D1965" s="349"/>
      <c r="E1965" s="237">
        <v>286</v>
      </c>
      <c r="F1965" s="242" t="s">
        <v>1424</v>
      </c>
      <c r="G1965" s="239" t="s">
        <v>464</v>
      </c>
      <c r="H1965" s="240">
        <f t="shared" si="30"/>
        <v>112769</v>
      </c>
      <c r="I1965" s="241"/>
      <c r="J1965" s="221" t="b">
        <f>EXACT(E1966,[1]Main!E1966)</f>
        <v>1</v>
      </c>
    </row>
    <row r="1966" spans="1:10" x14ac:dyDescent="0.25">
      <c r="A1966" s="249">
        <v>45131</v>
      </c>
      <c r="B1966" s="237"/>
      <c r="C1966" s="238"/>
      <c r="D1966" s="349"/>
      <c r="E1966" s="237">
        <v>123</v>
      </c>
      <c r="F1966" s="242" t="s">
        <v>27</v>
      </c>
      <c r="G1966" s="239" t="s">
        <v>943</v>
      </c>
      <c r="H1966" s="240">
        <f t="shared" si="30"/>
        <v>112646</v>
      </c>
      <c r="I1966" s="241"/>
      <c r="J1966" s="221" t="b">
        <f>EXACT(E1967,[1]Main!E1967)</f>
        <v>1</v>
      </c>
    </row>
    <row r="1967" spans="1:10" x14ac:dyDescent="0.25">
      <c r="A1967" s="249">
        <v>45131</v>
      </c>
      <c r="B1967" s="237"/>
      <c r="C1967" s="238"/>
      <c r="D1967" s="349"/>
      <c r="E1967" s="237">
        <v>110</v>
      </c>
      <c r="F1967" s="242" t="s">
        <v>1380</v>
      </c>
      <c r="G1967" s="239" t="s">
        <v>930</v>
      </c>
      <c r="H1967" s="240">
        <f t="shared" si="30"/>
        <v>112536</v>
      </c>
      <c r="I1967" s="241"/>
      <c r="J1967" s="221" t="b">
        <f>EXACT(E1968,[1]Main!E1968)</f>
        <v>1</v>
      </c>
    </row>
    <row r="1968" spans="1:10" x14ac:dyDescent="0.25">
      <c r="A1968" s="249">
        <v>45131</v>
      </c>
      <c r="B1968" s="237"/>
      <c r="C1968" s="238"/>
      <c r="D1968" s="349"/>
      <c r="E1968" s="237">
        <v>75</v>
      </c>
      <c r="F1968" s="242" t="s">
        <v>26</v>
      </c>
      <c r="G1968" s="239" t="s">
        <v>930</v>
      </c>
      <c r="H1968" s="240">
        <f t="shared" si="30"/>
        <v>112461</v>
      </c>
      <c r="I1968" s="241"/>
      <c r="J1968" s="221" t="b">
        <f>EXACT(E1969,[1]Main!E1969)</f>
        <v>1</v>
      </c>
    </row>
    <row r="1969" spans="1:10" x14ac:dyDescent="0.25">
      <c r="A1969" s="249">
        <v>45131</v>
      </c>
      <c r="B1969" s="237"/>
      <c r="C1969" s="238"/>
      <c r="D1969" s="349"/>
      <c r="E1969" s="237">
        <v>140</v>
      </c>
      <c r="F1969" s="242" t="s">
        <v>38</v>
      </c>
      <c r="G1969" s="239" t="s">
        <v>930</v>
      </c>
      <c r="H1969" s="240">
        <f t="shared" si="30"/>
        <v>112321</v>
      </c>
      <c r="I1969" s="241"/>
      <c r="J1969" s="221" t="b">
        <f>EXACT(E1970,[1]Main!E1970)</f>
        <v>1</v>
      </c>
    </row>
    <row r="1970" spans="1:10" x14ac:dyDescent="0.25">
      <c r="A1970" s="249">
        <v>45131</v>
      </c>
      <c r="B1970" s="237"/>
      <c r="C1970" s="238"/>
      <c r="D1970" s="349"/>
      <c r="E1970" s="237">
        <v>75</v>
      </c>
      <c r="F1970" s="242" t="s">
        <v>13</v>
      </c>
      <c r="G1970" s="239" t="s">
        <v>930</v>
      </c>
      <c r="H1970" s="240">
        <f t="shared" si="30"/>
        <v>112246</v>
      </c>
      <c r="I1970" s="241"/>
      <c r="J1970" s="221" t="b">
        <f>EXACT(E1971,[1]Main!E1971)</f>
        <v>1</v>
      </c>
    </row>
    <row r="1971" spans="1:10" x14ac:dyDescent="0.25">
      <c r="A1971" s="249">
        <v>45131</v>
      </c>
      <c r="B1971" s="237"/>
      <c r="C1971" s="238"/>
      <c r="D1971" s="349"/>
      <c r="E1971" s="237">
        <v>110</v>
      </c>
      <c r="F1971" s="242" t="s">
        <v>376</v>
      </c>
      <c r="G1971" s="239" t="s">
        <v>930</v>
      </c>
      <c r="H1971" s="240">
        <f t="shared" si="30"/>
        <v>112136</v>
      </c>
      <c r="I1971" s="241"/>
      <c r="J1971" s="221" t="b">
        <f>EXACT(E1972,[1]Main!E1972)</f>
        <v>1</v>
      </c>
    </row>
    <row r="1972" spans="1:10" x14ac:dyDescent="0.25">
      <c r="A1972" s="249">
        <v>45131</v>
      </c>
      <c r="B1972" s="237"/>
      <c r="C1972" s="238"/>
      <c r="D1972" s="349"/>
      <c r="E1972" s="237">
        <v>90</v>
      </c>
      <c r="F1972" s="242" t="s">
        <v>223</v>
      </c>
      <c r="G1972" s="239" t="s">
        <v>930</v>
      </c>
      <c r="H1972" s="240">
        <f t="shared" si="30"/>
        <v>112046</v>
      </c>
      <c r="I1972" s="241"/>
      <c r="J1972" s="221" t="b">
        <f>EXACT(E1973,[1]Main!E1973)</f>
        <v>1</v>
      </c>
    </row>
    <row r="1973" spans="1:10" x14ac:dyDescent="0.25">
      <c r="A1973" s="249">
        <v>45131</v>
      </c>
      <c r="B1973" s="237"/>
      <c r="C1973" s="238"/>
      <c r="D1973" s="349"/>
      <c r="E1973" s="237">
        <v>270</v>
      </c>
      <c r="F1973" s="242" t="s">
        <v>741</v>
      </c>
      <c r="G1973" s="239" t="s">
        <v>930</v>
      </c>
      <c r="H1973" s="240">
        <f t="shared" si="30"/>
        <v>111776</v>
      </c>
      <c r="I1973" s="241"/>
      <c r="J1973" s="221" t="b">
        <f>EXACT(E1974,[1]Main!E1974)</f>
        <v>1</v>
      </c>
    </row>
    <row r="1974" spans="1:10" x14ac:dyDescent="0.25">
      <c r="A1974" s="249">
        <v>45131</v>
      </c>
      <c r="B1974" s="237"/>
      <c r="C1974" s="238"/>
      <c r="D1974" s="349"/>
      <c r="E1974" s="237">
        <v>20</v>
      </c>
      <c r="F1974" s="242" t="s">
        <v>234</v>
      </c>
      <c r="G1974" s="239" t="s">
        <v>931</v>
      </c>
      <c r="H1974" s="240">
        <f t="shared" si="30"/>
        <v>111756</v>
      </c>
      <c r="I1974" s="241"/>
      <c r="J1974" s="221" t="b">
        <f>EXACT(E1975,[1]Main!E1975)</f>
        <v>1</v>
      </c>
    </row>
    <row r="1975" spans="1:10" x14ac:dyDescent="0.25">
      <c r="A1975" s="249">
        <v>45131</v>
      </c>
      <c r="B1975" s="237"/>
      <c r="C1975" s="238"/>
      <c r="D1975" s="349"/>
      <c r="E1975" s="237">
        <v>750</v>
      </c>
      <c r="F1975" s="242" t="s">
        <v>1162</v>
      </c>
      <c r="G1975" s="239" t="s">
        <v>930</v>
      </c>
      <c r="H1975" s="240">
        <f t="shared" si="30"/>
        <v>111006</v>
      </c>
      <c r="I1975" s="241"/>
      <c r="J1975" s="221" t="b">
        <f>EXACT(E1976,[1]Main!E1976)</f>
        <v>1</v>
      </c>
    </row>
    <row r="1976" spans="1:10" x14ac:dyDescent="0.25">
      <c r="A1976" s="249">
        <v>45131</v>
      </c>
      <c r="B1976" s="237"/>
      <c r="C1976" s="238"/>
      <c r="D1976" s="349"/>
      <c r="E1976" s="237">
        <v>11</v>
      </c>
      <c r="F1976" s="242" t="s">
        <v>119</v>
      </c>
      <c r="G1976" s="239" t="s">
        <v>464</v>
      </c>
      <c r="H1976" s="240">
        <f t="shared" si="30"/>
        <v>110995</v>
      </c>
      <c r="I1976" s="241"/>
      <c r="J1976" s="221" t="b">
        <f>EXACT(E1977,[1]Main!E1977)</f>
        <v>1</v>
      </c>
    </row>
    <row r="1977" spans="1:10" x14ac:dyDescent="0.25">
      <c r="A1977" s="249">
        <v>45131</v>
      </c>
      <c r="B1977" s="237"/>
      <c r="C1977" s="238"/>
      <c r="D1977" s="349"/>
      <c r="E1977" s="237">
        <v>261</v>
      </c>
      <c r="F1977" s="242" t="s">
        <v>97</v>
      </c>
      <c r="G1977" s="239" t="s">
        <v>931</v>
      </c>
      <c r="H1977" s="240">
        <f t="shared" si="30"/>
        <v>110734</v>
      </c>
      <c r="I1977" s="241"/>
      <c r="J1977" s="221" t="b">
        <f>EXACT(E1978,[1]Main!E1978)</f>
        <v>1</v>
      </c>
    </row>
    <row r="1978" spans="1:10" x14ac:dyDescent="0.25">
      <c r="A1978" s="249">
        <v>45131</v>
      </c>
      <c r="B1978" s="237"/>
      <c r="C1978" s="238"/>
      <c r="D1978" s="349"/>
      <c r="E1978" s="237">
        <v>100</v>
      </c>
      <c r="F1978" s="242" t="s">
        <v>9</v>
      </c>
      <c r="G1978" s="239" t="s">
        <v>930</v>
      </c>
      <c r="H1978" s="240">
        <f t="shared" si="30"/>
        <v>110634</v>
      </c>
      <c r="I1978" s="241"/>
      <c r="J1978" s="221" t="b">
        <f>EXACT(E1979,[1]Main!E1979)</f>
        <v>1</v>
      </c>
    </row>
    <row r="1979" spans="1:10" x14ac:dyDescent="0.25">
      <c r="A1979" s="249">
        <v>45131</v>
      </c>
      <c r="B1979" s="237"/>
      <c r="C1979" s="238"/>
      <c r="D1979" s="349"/>
      <c r="E1979" s="237">
        <v>110</v>
      </c>
      <c r="F1979" s="242" t="s">
        <v>1426</v>
      </c>
      <c r="G1979" s="239" t="s">
        <v>930</v>
      </c>
      <c r="H1979" s="240">
        <f t="shared" si="30"/>
        <v>110524</v>
      </c>
      <c r="I1979" s="241"/>
      <c r="J1979" s="221" t="b">
        <f>EXACT(E1980,[1]Main!E1980)</f>
        <v>1</v>
      </c>
    </row>
    <row r="1980" spans="1:10" x14ac:dyDescent="0.25">
      <c r="A1980" s="249">
        <v>45131</v>
      </c>
      <c r="B1980" s="237"/>
      <c r="C1980" s="238"/>
      <c r="D1980" s="349"/>
      <c r="E1980" s="237">
        <v>180</v>
      </c>
      <c r="F1980" s="242" t="s">
        <v>255</v>
      </c>
      <c r="G1980" s="239" t="s">
        <v>930</v>
      </c>
      <c r="H1980" s="240">
        <f t="shared" si="30"/>
        <v>110344</v>
      </c>
      <c r="I1980" s="241"/>
      <c r="J1980" s="221" t="b">
        <f>EXACT(E1981,[1]Main!E1981)</f>
        <v>1</v>
      </c>
    </row>
    <row r="1981" spans="1:10" x14ac:dyDescent="0.25">
      <c r="A1981" s="249">
        <v>45131</v>
      </c>
      <c r="B1981" s="237"/>
      <c r="C1981" s="238"/>
      <c r="D1981" s="349"/>
      <c r="E1981" s="237">
        <v>65</v>
      </c>
      <c r="F1981" s="242" t="s">
        <v>339</v>
      </c>
      <c r="G1981" s="239" t="s">
        <v>935</v>
      </c>
      <c r="H1981" s="240">
        <f t="shared" si="30"/>
        <v>110279</v>
      </c>
      <c r="I1981" s="241"/>
      <c r="J1981" s="221" t="b">
        <f>EXACT(E1982,[1]Main!E1982)</f>
        <v>1</v>
      </c>
    </row>
    <row r="1982" spans="1:10" x14ac:dyDescent="0.25">
      <c r="A1982" s="249">
        <v>45131</v>
      </c>
      <c r="B1982" s="237"/>
      <c r="C1982" s="238"/>
      <c r="D1982" s="349"/>
      <c r="E1982" s="237">
        <v>130</v>
      </c>
      <c r="F1982" s="242" t="s">
        <v>288</v>
      </c>
      <c r="G1982" s="239" t="s">
        <v>930</v>
      </c>
      <c r="H1982" s="240">
        <f t="shared" si="30"/>
        <v>110149</v>
      </c>
      <c r="I1982" s="241"/>
      <c r="J1982" s="221" t="b">
        <f>EXACT(E1983,[1]Main!E1983)</f>
        <v>1</v>
      </c>
    </row>
    <row r="1983" spans="1:10" x14ac:dyDescent="0.25">
      <c r="A1983" s="249">
        <v>45131</v>
      </c>
      <c r="B1983" s="237"/>
      <c r="C1983" s="238"/>
      <c r="D1983" s="349"/>
      <c r="E1983" s="237">
        <v>90</v>
      </c>
      <c r="F1983" s="242" t="s">
        <v>1419</v>
      </c>
      <c r="G1983" s="239" t="s">
        <v>930</v>
      </c>
      <c r="H1983" s="240">
        <f t="shared" si="30"/>
        <v>110059</v>
      </c>
      <c r="I1983" s="241"/>
      <c r="J1983" s="221" t="b">
        <f>EXACT(E1984,[1]Main!E1984)</f>
        <v>1</v>
      </c>
    </row>
    <row r="1984" spans="1:10" x14ac:dyDescent="0.25">
      <c r="A1984" s="249">
        <v>45131</v>
      </c>
      <c r="B1984" s="237"/>
      <c r="C1984" s="238"/>
      <c r="D1984" s="349"/>
      <c r="E1984" s="237">
        <v>270</v>
      </c>
      <c r="F1984" s="242" t="s">
        <v>744</v>
      </c>
      <c r="G1984" s="239" t="s">
        <v>930</v>
      </c>
      <c r="H1984" s="240">
        <f t="shared" si="30"/>
        <v>109789</v>
      </c>
      <c r="I1984" s="241"/>
      <c r="J1984" s="221" t="b">
        <f>EXACT(E1985,[1]Main!E1985)</f>
        <v>1</v>
      </c>
    </row>
    <row r="1985" spans="1:10" x14ac:dyDescent="0.25">
      <c r="A1985" s="249">
        <v>45131</v>
      </c>
      <c r="B1985" s="237"/>
      <c r="C1985" s="238"/>
      <c r="D1985" s="349"/>
      <c r="E1985" s="237">
        <v>250</v>
      </c>
      <c r="F1985" s="242" t="s">
        <v>34</v>
      </c>
      <c r="G1985" s="239" t="s">
        <v>935</v>
      </c>
      <c r="H1985" s="240">
        <f t="shared" si="30"/>
        <v>109539</v>
      </c>
      <c r="I1985" s="241"/>
      <c r="J1985" s="221" t="b">
        <f>EXACT(E1986,[1]Main!E1986)</f>
        <v>1</v>
      </c>
    </row>
    <row r="1986" spans="1:10" x14ac:dyDescent="0.25">
      <c r="A1986" s="249">
        <v>45131</v>
      </c>
      <c r="B1986" s="237"/>
      <c r="C1986" s="238"/>
      <c r="D1986" s="349"/>
      <c r="E1986" s="237">
        <v>3765</v>
      </c>
      <c r="F1986" s="242" t="s">
        <v>44</v>
      </c>
      <c r="G1986" s="239" t="s">
        <v>928</v>
      </c>
      <c r="H1986" s="240">
        <f t="shared" si="30"/>
        <v>105774</v>
      </c>
      <c r="I1986" s="241"/>
      <c r="J1986" s="221" t="b">
        <f>EXACT(E1987,[1]Main!E1987)</f>
        <v>1</v>
      </c>
    </row>
    <row r="1987" spans="1:10" x14ac:dyDescent="0.25">
      <c r="A1987" s="249">
        <v>45131</v>
      </c>
      <c r="B1987" s="237"/>
      <c r="C1987" s="238"/>
      <c r="D1987" s="349"/>
      <c r="E1987" s="237">
        <v>1925</v>
      </c>
      <c r="F1987" s="242" t="s">
        <v>1427</v>
      </c>
      <c r="G1987" s="239" t="s">
        <v>974</v>
      </c>
      <c r="H1987" s="240">
        <f t="shared" si="30"/>
        <v>103849</v>
      </c>
      <c r="I1987" s="241"/>
      <c r="J1987" s="221" t="b">
        <f>EXACT(E1988,[1]Main!E1988)</f>
        <v>1</v>
      </c>
    </row>
    <row r="1988" spans="1:10" x14ac:dyDescent="0.25">
      <c r="A1988" s="249">
        <v>45131</v>
      </c>
      <c r="B1988" s="237"/>
      <c r="C1988" s="238"/>
      <c r="D1988" s="349"/>
      <c r="E1988" s="237"/>
      <c r="F1988" s="242"/>
      <c r="G1988" s="239"/>
      <c r="H1988" s="240">
        <f t="shared" si="30"/>
        <v>103849</v>
      </c>
      <c r="I1988" s="241"/>
      <c r="J1988" s="221" t="b">
        <f>EXACT(E1989,[1]Main!E1989)</f>
        <v>1</v>
      </c>
    </row>
    <row r="1989" spans="1:10" x14ac:dyDescent="0.25">
      <c r="A1989" s="350">
        <v>45131</v>
      </c>
      <c r="B1989" s="351"/>
      <c r="C1989" s="352"/>
      <c r="D1989" s="354"/>
      <c r="E1989" s="351"/>
      <c r="F1989" s="353"/>
      <c r="G1989" s="354"/>
      <c r="H1989" s="240">
        <f t="shared" si="30"/>
        <v>103849</v>
      </c>
      <c r="I1989" s="355"/>
      <c r="J1989" s="221" t="b">
        <f>EXACT(E1990,[1]Main!E1990)</f>
        <v>1</v>
      </c>
    </row>
    <row r="1990" spans="1:10" x14ac:dyDescent="0.25">
      <c r="A1990" s="249">
        <v>45132</v>
      </c>
      <c r="B1990" s="426">
        <v>15990</v>
      </c>
      <c r="C1990" s="427" t="s">
        <v>300</v>
      </c>
      <c r="D1990" s="349" t="s">
        <v>763</v>
      </c>
      <c r="E1990" s="237">
        <v>365</v>
      </c>
      <c r="F1990" s="242" t="s">
        <v>11</v>
      </c>
      <c r="G1990" s="239" t="s">
        <v>928</v>
      </c>
      <c r="H1990" s="240">
        <f t="shared" si="30"/>
        <v>119474</v>
      </c>
      <c r="I1990" s="241"/>
      <c r="J1990" s="221" t="b">
        <f>EXACT(E1991,[1]Main!E1991)</f>
        <v>1</v>
      </c>
    </row>
    <row r="1991" spans="1:10" x14ac:dyDescent="0.25">
      <c r="A1991" s="249">
        <v>45132</v>
      </c>
      <c r="B1991" s="426">
        <v>106</v>
      </c>
      <c r="C1991" s="427" t="s">
        <v>989</v>
      </c>
      <c r="D1991" s="349" t="s">
        <v>765</v>
      </c>
      <c r="E1991" s="237">
        <v>1685</v>
      </c>
      <c r="F1991" s="242" t="s">
        <v>12</v>
      </c>
      <c r="G1991" s="239" t="s">
        <v>928</v>
      </c>
      <c r="H1991" s="240">
        <f t="shared" ref="H1991:H2054" si="31">H1990+B1991-E1991</f>
        <v>117895</v>
      </c>
      <c r="I1991" s="241"/>
      <c r="J1991" s="221" t="b">
        <f>EXACT(E1992,[1]Main!E1992)</f>
        <v>1</v>
      </c>
    </row>
    <row r="1992" spans="1:10" x14ac:dyDescent="0.25">
      <c r="A1992" s="249">
        <v>45132</v>
      </c>
      <c r="B1992" s="237">
        <v>180</v>
      </c>
      <c r="C1992" s="238" t="s">
        <v>1435</v>
      </c>
      <c r="D1992" s="349" t="s">
        <v>937</v>
      </c>
      <c r="E1992" s="237">
        <v>275</v>
      </c>
      <c r="F1992" s="242" t="s">
        <v>252</v>
      </c>
      <c r="G1992" s="239" t="s">
        <v>928</v>
      </c>
      <c r="H1992" s="240">
        <f t="shared" si="31"/>
        <v>117800</v>
      </c>
      <c r="I1992" s="241"/>
      <c r="J1992" s="221" t="b">
        <f>EXACT(E1993,[1]Main!E1993)</f>
        <v>1</v>
      </c>
    </row>
    <row r="1993" spans="1:10" x14ac:dyDescent="0.25">
      <c r="A1993" s="249">
        <v>45132</v>
      </c>
      <c r="B1993" s="429">
        <v>13707</v>
      </c>
      <c r="C1993" s="430" t="s">
        <v>80</v>
      </c>
      <c r="D1993" s="349" t="s">
        <v>763</v>
      </c>
      <c r="E1993" s="237">
        <v>1495</v>
      </c>
      <c r="F1993" s="242" t="s">
        <v>1432</v>
      </c>
      <c r="G1993" s="239" t="s">
        <v>928</v>
      </c>
      <c r="H1993" s="240">
        <f t="shared" si="31"/>
        <v>130012</v>
      </c>
      <c r="I1993" s="241"/>
      <c r="J1993" s="221" t="b">
        <f>EXACT(E1994,[1]Main!E1994)</f>
        <v>1</v>
      </c>
    </row>
    <row r="1994" spans="1:10" x14ac:dyDescent="0.25">
      <c r="A1994" s="249">
        <v>45132</v>
      </c>
      <c r="B1994" s="393">
        <v>985</v>
      </c>
      <c r="C1994" s="394" t="s">
        <v>60</v>
      </c>
      <c r="D1994" s="349" t="s">
        <v>763</v>
      </c>
      <c r="E1994" s="237">
        <v>46200</v>
      </c>
      <c r="F1994" s="242" t="s">
        <v>1433</v>
      </c>
      <c r="G1994" s="239" t="s">
        <v>928</v>
      </c>
      <c r="H1994" s="240">
        <f t="shared" si="31"/>
        <v>84797</v>
      </c>
      <c r="I1994" s="241" t="s">
        <v>796</v>
      </c>
      <c r="J1994" s="221" t="b">
        <f>EXACT(E1995,[1]Main!E1995)</f>
        <v>1</v>
      </c>
    </row>
    <row r="1995" spans="1:10" x14ac:dyDescent="0.25">
      <c r="A1995" s="249">
        <v>45132</v>
      </c>
      <c r="B1995" s="237"/>
      <c r="C1995" s="238"/>
      <c r="D1995" s="349"/>
      <c r="E1995" s="426">
        <v>1710</v>
      </c>
      <c r="F1995" s="428" t="s">
        <v>1188</v>
      </c>
      <c r="G1995" s="239" t="s">
        <v>928</v>
      </c>
      <c r="H1995" s="240">
        <f t="shared" si="31"/>
        <v>83087</v>
      </c>
      <c r="I1995" s="241"/>
      <c r="J1995" s="221" t="b">
        <f>EXACT(E1996,[1]Main!E1996)</f>
        <v>1</v>
      </c>
    </row>
    <row r="1996" spans="1:10" x14ac:dyDescent="0.25">
      <c r="A1996" s="249">
        <v>45132</v>
      </c>
      <c r="B1996" s="237">
        <v>8700</v>
      </c>
      <c r="C1996" s="238" t="s">
        <v>1439</v>
      </c>
      <c r="D1996" s="349" t="s">
        <v>768</v>
      </c>
      <c r="E1996" s="426">
        <v>190</v>
      </c>
      <c r="F1996" s="428" t="s">
        <v>373</v>
      </c>
      <c r="G1996" s="239" t="s">
        <v>930</v>
      </c>
      <c r="H1996" s="240">
        <f t="shared" si="31"/>
        <v>91597</v>
      </c>
      <c r="I1996" s="241"/>
      <c r="J1996" s="221" t="b">
        <f>EXACT(E1997,[1]Main!E1997)</f>
        <v>1</v>
      </c>
    </row>
    <row r="1997" spans="1:10" x14ac:dyDescent="0.25">
      <c r="A1997" s="249">
        <v>45132</v>
      </c>
      <c r="B1997" s="237">
        <v>1010</v>
      </c>
      <c r="C1997" s="238" t="s">
        <v>610</v>
      </c>
      <c r="D1997" s="349" t="s">
        <v>772</v>
      </c>
      <c r="E1997" s="426">
        <v>300</v>
      </c>
      <c r="F1997" s="428" t="s">
        <v>1430</v>
      </c>
      <c r="G1997" s="239" t="s">
        <v>464</v>
      </c>
      <c r="H1997" s="240">
        <f t="shared" si="31"/>
        <v>92307</v>
      </c>
      <c r="I1997" s="241"/>
      <c r="J1997" s="221" t="b">
        <f>EXACT(E1998,[1]Main!E1998)</f>
        <v>1</v>
      </c>
    </row>
    <row r="1998" spans="1:10" x14ac:dyDescent="0.25">
      <c r="A1998" s="249">
        <v>45132</v>
      </c>
      <c r="B1998" s="237">
        <v>2380</v>
      </c>
      <c r="C1998" s="238" t="s">
        <v>1343</v>
      </c>
      <c r="D1998" s="349" t="s">
        <v>765</v>
      </c>
      <c r="E1998" s="426">
        <v>30</v>
      </c>
      <c r="F1998" s="428" t="s">
        <v>73</v>
      </c>
      <c r="G1998" s="239"/>
      <c r="H1998" s="240">
        <f t="shared" si="31"/>
        <v>94657</v>
      </c>
      <c r="I1998" s="241"/>
      <c r="J1998" s="221" t="b">
        <f>EXACT(E1999,[1]Main!E1999)</f>
        <v>1</v>
      </c>
    </row>
    <row r="1999" spans="1:10" x14ac:dyDescent="0.25">
      <c r="A1999" s="249">
        <v>45132</v>
      </c>
      <c r="B1999" s="237">
        <v>1020</v>
      </c>
      <c r="C1999" s="238" t="s">
        <v>610</v>
      </c>
      <c r="D1999" s="349" t="s">
        <v>772</v>
      </c>
      <c r="E1999" s="426">
        <v>70</v>
      </c>
      <c r="F1999" s="428" t="s">
        <v>1419</v>
      </c>
      <c r="G1999" s="239" t="s">
        <v>930</v>
      </c>
      <c r="H1999" s="240">
        <f t="shared" si="31"/>
        <v>95607</v>
      </c>
      <c r="I1999" s="241"/>
      <c r="J1999" s="221" t="b">
        <f>EXACT(E2000,[1]Main!E2000)</f>
        <v>1</v>
      </c>
    </row>
    <row r="2000" spans="1:10" x14ac:dyDescent="0.25">
      <c r="A2000" s="249">
        <v>45132</v>
      </c>
      <c r="B2000" s="237">
        <v>100</v>
      </c>
      <c r="C2000" s="238" t="s">
        <v>1061</v>
      </c>
      <c r="D2000" s="349" t="s">
        <v>931</v>
      </c>
      <c r="E2000" s="426">
        <v>285</v>
      </c>
      <c r="F2000" s="428" t="s">
        <v>8</v>
      </c>
      <c r="G2000" s="239" t="s">
        <v>930</v>
      </c>
      <c r="H2000" s="240">
        <f t="shared" si="31"/>
        <v>95422</v>
      </c>
      <c r="I2000" s="241"/>
      <c r="J2000" s="221" t="b">
        <f>EXACT(E2001,[1]Main!E2001)</f>
        <v>1</v>
      </c>
    </row>
    <row r="2001" spans="1:10" x14ac:dyDescent="0.25">
      <c r="A2001" s="249">
        <v>45132</v>
      </c>
      <c r="B2001" s="384">
        <v>29105</v>
      </c>
      <c r="C2001" s="385" t="s">
        <v>363</v>
      </c>
      <c r="D2001" s="349" t="s">
        <v>763</v>
      </c>
      <c r="E2001" s="426">
        <v>180</v>
      </c>
      <c r="F2001" s="428" t="s">
        <v>399</v>
      </c>
      <c r="G2001" s="239" t="s">
        <v>930</v>
      </c>
      <c r="H2001" s="240">
        <f t="shared" si="31"/>
        <v>124347</v>
      </c>
      <c r="I2001" s="241"/>
      <c r="J2001" s="221" t="b">
        <f>EXACT(E2002,[1]Main!E2002)</f>
        <v>1</v>
      </c>
    </row>
    <row r="2002" spans="1:10" x14ac:dyDescent="0.25">
      <c r="A2002" s="249">
        <v>45132</v>
      </c>
      <c r="B2002" s="237"/>
      <c r="C2002" s="238"/>
      <c r="D2002" s="349"/>
      <c r="E2002" s="426">
        <v>6130</v>
      </c>
      <c r="F2002" s="428" t="s">
        <v>1431</v>
      </c>
      <c r="G2002" s="239" t="s">
        <v>928</v>
      </c>
      <c r="H2002" s="240">
        <f t="shared" si="31"/>
        <v>118217</v>
      </c>
      <c r="I2002" s="241"/>
      <c r="J2002" s="221" t="b">
        <f>EXACT(E2003,[1]Main!E2003)</f>
        <v>1</v>
      </c>
    </row>
    <row r="2003" spans="1:10" x14ac:dyDescent="0.25">
      <c r="A2003" s="249">
        <v>45132</v>
      </c>
      <c r="B2003" s="433">
        <v>15905</v>
      </c>
      <c r="C2003" s="435" t="s">
        <v>88</v>
      </c>
      <c r="D2003" s="349" t="s">
        <v>766</v>
      </c>
      <c r="E2003" s="426">
        <v>4500</v>
      </c>
      <c r="F2003" s="428" t="s">
        <v>565</v>
      </c>
      <c r="G2003" s="239" t="s">
        <v>928</v>
      </c>
      <c r="H2003" s="240">
        <f t="shared" si="31"/>
        <v>129622</v>
      </c>
      <c r="I2003" s="241"/>
      <c r="J2003" s="221" t="b">
        <f>EXACT(E2004,[1]Main!E2004)</f>
        <v>1</v>
      </c>
    </row>
    <row r="2004" spans="1:10" x14ac:dyDescent="0.25">
      <c r="A2004" s="249">
        <v>45132</v>
      </c>
      <c r="B2004" s="237">
        <v>800</v>
      </c>
      <c r="C2004" s="238" t="s">
        <v>1062</v>
      </c>
      <c r="D2004" s="349" t="s">
        <v>768</v>
      </c>
      <c r="E2004" s="426">
        <v>20</v>
      </c>
      <c r="F2004" s="428" t="s">
        <v>471</v>
      </c>
      <c r="G2004" s="239" t="s">
        <v>931</v>
      </c>
      <c r="H2004" s="240">
        <f t="shared" si="31"/>
        <v>130402</v>
      </c>
      <c r="I2004" s="241"/>
      <c r="J2004" s="221" t="b">
        <f>EXACT(E2005,[1]Main!E2005)</f>
        <v>1</v>
      </c>
    </row>
    <row r="2005" spans="1:10" x14ac:dyDescent="0.25">
      <c r="A2005" s="249">
        <v>45132</v>
      </c>
      <c r="B2005" s="237">
        <v>100</v>
      </c>
      <c r="C2005" s="238" t="s">
        <v>1061</v>
      </c>
      <c r="D2005" s="349" t="s">
        <v>931</v>
      </c>
      <c r="E2005" s="237">
        <v>1190</v>
      </c>
      <c r="F2005" s="242" t="s">
        <v>654</v>
      </c>
      <c r="G2005" s="239" t="s">
        <v>928</v>
      </c>
      <c r="H2005" s="240">
        <f t="shared" si="31"/>
        <v>129312</v>
      </c>
      <c r="I2005" s="241" t="s">
        <v>869</v>
      </c>
      <c r="J2005" s="221" t="b">
        <f>EXACT(E2006,[1]Main!E2006)</f>
        <v>1</v>
      </c>
    </row>
    <row r="2006" spans="1:10" x14ac:dyDescent="0.25">
      <c r="A2006" s="249">
        <v>45132</v>
      </c>
      <c r="B2006" s="237">
        <f>1600+40</f>
        <v>1640</v>
      </c>
      <c r="C2006" s="238" t="s">
        <v>121</v>
      </c>
      <c r="D2006" s="349" t="s">
        <v>766</v>
      </c>
      <c r="E2006" s="237">
        <v>310</v>
      </c>
      <c r="F2006" s="242" t="s">
        <v>1434</v>
      </c>
      <c r="G2006" s="239" t="s">
        <v>928</v>
      </c>
      <c r="H2006" s="240">
        <f t="shared" si="31"/>
        <v>130642</v>
      </c>
      <c r="I2006" s="241"/>
      <c r="J2006" s="221" t="b">
        <f>EXACT(E2007,[1]Main!E2007)</f>
        <v>1</v>
      </c>
    </row>
    <row r="2007" spans="1:10" x14ac:dyDescent="0.25">
      <c r="A2007" s="249">
        <v>45132</v>
      </c>
      <c r="B2007" s="237">
        <v>7848</v>
      </c>
      <c r="C2007" s="238" t="s">
        <v>1162</v>
      </c>
      <c r="D2007" s="349" t="s">
        <v>763</v>
      </c>
      <c r="E2007" s="237">
        <v>70</v>
      </c>
      <c r="F2007" s="242" t="s">
        <v>27</v>
      </c>
      <c r="G2007" s="239" t="s">
        <v>943</v>
      </c>
      <c r="H2007" s="240">
        <f t="shared" si="31"/>
        <v>138420</v>
      </c>
      <c r="I2007" s="241"/>
      <c r="J2007" s="221" t="b">
        <f>EXACT(E2008,[1]Main!E2008)</f>
        <v>1</v>
      </c>
    </row>
    <row r="2008" spans="1:10" x14ac:dyDescent="0.25">
      <c r="A2008" s="249">
        <v>45132</v>
      </c>
      <c r="B2008" s="237">
        <v>1552</v>
      </c>
      <c r="C2008" s="238" t="s">
        <v>1298</v>
      </c>
      <c r="D2008" s="349" t="s">
        <v>765</v>
      </c>
      <c r="E2008" s="237">
        <v>322</v>
      </c>
      <c r="F2008" s="242" t="s">
        <v>37</v>
      </c>
      <c r="G2008" s="239" t="s">
        <v>928</v>
      </c>
      <c r="H2008" s="240">
        <f t="shared" si="31"/>
        <v>139650</v>
      </c>
      <c r="I2008" s="241"/>
      <c r="J2008" s="221" t="b">
        <f>EXACT(E2009,[1]Main!E2009)</f>
        <v>1</v>
      </c>
    </row>
    <row r="2009" spans="1:10" x14ac:dyDescent="0.25">
      <c r="A2009" s="249">
        <v>45132</v>
      </c>
      <c r="B2009" s="237">
        <v>25747</v>
      </c>
      <c r="C2009" s="238" t="s">
        <v>15</v>
      </c>
      <c r="D2009" s="349" t="s">
        <v>766</v>
      </c>
      <c r="E2009" s="237"/>
      <c r="F2009" s="239"/>
      <c r="G2009" s="239"/>
      <c r="H2009" s="240">
        <f t="shared" si="31"/>
        <v>165397</v>
      </c>
      <c r="I2009" s="241"/>
      <c r="J2009" s="221" t="b">
        <f>EXACT(E2010,[1]Main!E2010)</f>
        <v>1</v>
      </c>
    </row>
    <row r="2010" spans="1:10" x14ac:dyDescent="0.25">
      <c r="A2010" s="249">
        <v>45132</v>
      </c>
      <c r="B2010" s="237">
        <v>1000</v>
      </c>
      <c r="C2010" s="238" t="s">
        <v>916</v>
      </c>
      <c r="D2010" s="349" t="s">
        <v>768</v>
      </c>
      <c r="E2010" s="429">
        <v>7795</v>
      </c>
      <c r="F2010" s="431" t="s">
        <v>1436</v>
      </c>
      <c r="G2010" s="239" t="s">
        <v>928</v>
      </c>
      <c r="H2010" s="240">
        <f t="shared" si="31"/>
        <v>158602</v>
      </c>
      <c r="I2010" s="241" t="s">
        <v>796</v>
      </c>
      <c r="J2010" s="221" t="b">
        <f>EXACT(E2011,[1]Main!E2011)</f>
        <v>1</v>
      </c>
    </row>
    <row r="2011" spans="1:10" x14ac:dyDescent="0.25">
      <c r="A2011" s="249">
        <v>45132</v>
      </c>
      <c r="B2011" s="237">
        <v>560</v>
      </c>
      <c r="C2011" s="238" t="s">
        <v>430</v>
      </c>
      <c r="D2011" s="349" t="s">
        <v>766</v>
      </c>
      <c r="E2011" s="393">
        <v>345</v>
      </c>
      <c r="F2011" s="404" t="s">
        <v>27</v>
      </c>
      <c r="G2011" s="239" t="s">
        <v>943</v>
      </c>
      <c r="H2011" s="240">
        <f t="shared" si="31"/>
        <v>158817</v>
      </c>
      <c r="I2011" s="241"/>
      <c r="J2011" s="221" t="b">
        <f>EXACT(E2012,[1]Main!E2012)</f>
        <v>1</v>
      </c>
    </row>
    <row r="2012" spans="1:10" x14ac:dyDescent="0.25">
      <c r="A2012" s="249">
        <v>45132</v>
      </c>
      <c r="B2012" s="237">
        <v>670</v>
      </c>
      <c r="C2012" s="238" t="s">
        <v>430</v>
      </c>
      <c r="D2012" s="349" t="s">
        <v>766</v>
      </c>
      <c r="E2012" s="393">
        <v>15</v>
      </c>
      <c r="F2012" s="404" t="s">
        <v>50</v>
      </c>
      <c r="G2012" s="239" t="s">
        <v>931</v>
      </c>
      <c r="H2012" s="240">
        <f t="shared" si="31"/>
        <v>159472</v>
      </c>
      <c r="I2012" s="241"/>
      <c r="J2012" s="221" t="b">
        <f>EXACT(E2013,[1]Main!E2013)</f>
        <v>1</v>
      </c>
    </row>
    <row r="2013" spans="1:10" x14ac:dyDescent="0.25">
      <c r="A2013" s="249">
        <v>45132</v>
      </c>
      <c r="B2013" s="237">
        <v>11908</v>
      </c>
      <c r="C2013" s="238" t="s">
        <v>85</v>
      </c>
      <c r="D2013" s="349" t="s">
        <v>766</v>
      </c>
      <c r="E2013" s="237">
        <v>6385</v>
      </c>
      <c r="F2013" s="242" t="s">
        <v>16</v>
      </c>
      <c r="G2013" s="239" t="s">
        <v>936</v>
      </c>
      <c r="H2013" s="240">
        <f t="shared" si="31"/>
        <v>164995</v>
      </c>
      <c r="I2013" s="241"/>
      <c r="J2013" s="221" t="b">
        <f>EXACT(E2014,[1]Main!E2014)</f>
        <v>1</v>
      </c>
    </row>
    <row r="2014" spans="1:10" x14ac:dyDescent="0.25">
      <c r="A2014" s="249">
        <v>45132</v>
      </c>
      <c r="B2014" s="237"/>
      <c r="C2014" s="238"/>
      <c r="D2014" s="349"/>
      <c r="E2014" s="237">
        <f>560+15</f>
        <v>575</v>
      </c>
      <c r="F2014" s="323" t="s">
        <v>1446</v>
      </c>
      <c r="G2014" s="239" t="s">
        <v>464</v>
      </c>
      <c r="H2014" s="240">
        <f t="shared" si="31"/>
        <v>164420</v>
      </c>
      <c r="I2014" s="241"/>
      <c r="J2014" s="221" t="b">
        <f>EXACT(E2015,[1]Main!E2015)</f>
        <v>1</v>
      </c>
    </row>
    <row r="2015" spans="1:10" x14ac:dyDescent="0.25">
      <c r="A2015" s="249">
        <v>45132</v>
      </c>
      <c r="B2015" s="237"/>
      <c r="C2015" s="238"/>
      <c r="D2015" s="349"/>
      <c r="E2015" s="237">
        <v>12175</v>
      </c>
      <c r="F2015" s="242" t="s">
        <v>1437</v>
      </c>
      <c r="G2015" s="239" t="s">
        <v>928</v>
      </c>
      <c r="H2015" s="240">
        <f t="shared" si="31"/>
        <v>152245</v>
      </c>
      <c r="I2015" s="241"/>
      <c r="J2015" s="221" t="b">
        <f>EXACT(E2016,[1]Main!E2016)</f>
        <v>1</v>
      </c>
    </row>
    <row r="2016" spans="1:10" x14ac:dyDescent="0.25">
      <c r="A2016" s="249">
        <v>45132</v>
      </c>
      <c r="B2016" s="237"/>
      <c r="C2016" s="238"/>
      <c r="D2016" s="349"/>
      <c r="E2016" s="237">
        <v>7060</v>
      </c>
      <c r="F2016" s="242" t="s">
        <v>49</v>
      </c>
      <c r="G2016" s="239" t="s">
        <v>928</v>
      </c>
      <c r="H2016" s="240">
        <f t="shared" si="31"/>
        <v>145185</v>
      </c>
      <c r="I2016" s="241"/>
      <c r="J2016" s="221" t="b">
        <f>EXACT(E2017,[1]Main!E2017)</f>
        <v>1</v>
      </c>
    </row>
    <row r="2017" spans="1:10" x14ac:dyDescent="0.25">
      <c r="A2017" s="249">
        <v>45132</v>
      </c>
      <c r="B2017" s="237"/>
      <c r="C2017" s="238"/>
      <c r="D2017" s="349"/>
      <c r="E2017" s="237">
        <v>30620</v>
      </c>
      <c r="F2017" s="242" t="s">
        <v>1438</v>
      </c>
      <c r="G2017" s="239" t="s">
        <v>928</v>
      </c>
      <c r="H2017" s="240">
        <f t="shared" si="31"/>
        <v>114565</v>
      </c>
      <c r="I2017" s="241" t="s">
        <v>1409</v>
      </c>
      <c r="J2017" s="221" t="b">
        <f>EXACT(E2018,[1]Main!E2018)</f>
        <v>1</v>
      </c>
    </row>
    <row r="2018" spans="1:10" x14ac:dyDescent="0.25">
      <c r="A2018" s="249">
        <v>45132</v>
      </c>
      <c r="B2018" s="237"/>
      <c r="C2018" s="238"/>
      <c r="D2018" s="349"/>
      <c r="E2018" s="237">
        <v>2000</v>
      </c>
      <c r="F2018" s="242" t="s">
        <v>1440</v>
      </c>
      <c r="G2018" s="239" t="s">
        <v>928</v>
      </c>
      <c r="H2018" s="240">
        <f t="shared" si="31"/>
        <v>112565</v>
      </c>
      <c r="I2018" s="241" t="s">
        <v>796</v>
      </c>
      <c r="J2018" s="221" t="b">
        <f>EXACT(E2019,[1]Main!E2019)</f>
        <v>1</v>
      </c>
    </row>
    <row r="2019" spans="1:10" x14ac:dyDescent="0.25">
      <c r="A2019" s="249">
        <v>45132</v>
      </c>
      <c r="B2019" s="237"/>
      <c r="C2019" s="238"/>
      <c r="D2019" s="349"/>
      <c r="E2019" s="237">
        <v>1360</v>
      </c>
      <c r="F2019" s="242" t="s">
        <v>230</v>
      </c>
      <c r="G2019" s="239" t="s">
        <v>928</v>
      </c>
      <c r="H2019" s="240">
        <f t="shared" si="31"/>
        <v>111205</v>
      </c>
      <c r="I2019" s="241" t="s">
        <v>796</v>
      </c>
      <c r="J2019" s="221" t="b">
        <f>EXACT(E2020,[1]Main!E2020)</f>
        <v>1</v>
      </c>
    </row>
    <row r="2020" spans="1:10" x14ac:dyDescent="0.25">
      <c r="A2020" s="249">
        <v>45132</v>
      </c>
      <c r="B2020" s="237"/>
      <c r="C2020" s="238"/>
      <c r="D2020" s="349"/>
      <c r="E2020" s="237"/>
      <c r="F2020" s="242"/>
      <c r="G2020" s="239"/>
      <c r="H2020" s="240">
        <f t="shared" si="31"/>
        <v>111205</v>
      </c>
      <c r="I2020" s="241"/>
      <c r="J2020" s="221" t="b">
        <f>EXACT(E2021,[1]Main!E2021)</f>
        <v>1</v>
      </c>
    </row>
    <row r="2021" spans="1:10" x14ac:dyDescent="0.25">
      <c r="A2021" s="249">
        <v>45132</v>
      </c>
      <c r="B2021" s="237"/>
      <c r="C2021" s="238"/>
      <c r="D2021" s="349"/>
      <c r="E2021" s="237">
        <v>25</v>
      </c>
      <c r="F2021" s="242" t="s">
        <v>1441</v>
      </c>
      <c r="G2021" s="239" t="s">
        <v>464</v>
      </c>
      <c r="H2021" s="240">
        <f t="shared" si="31"/>
        <v>111180</v>
      </c>
      <c r="I2021" s="241"/>
      <c r="J2021" s="221" t="b">
        <f>EXACT(E2022,[1]Main!E2022)</f>
        <v>1</v>
      </c>
    </row>
    <row r="2022" spans="1:10" x14ac:dyDescent="0.25">
      <c r="A2022" s="249">
        <v>45132</v>
      </c>
      <c r="B2022" s="237"/>
      <c r="C2022" s="238"/>
      <c r="D2022" s="349"/>
      <c r="E2022" s="237">
        <v>50</v>
      </c>
      <c r="F2022" s="242" t="s">
        <v>1442</v>
      </c>
      <c r="G2022" s="239" t="s">
        <v>464</v>
      </c>
      <c r="H2022" s="240">
        <f t="shared" si="31"/>
        <v>111130</v>
      </c>
      <c r="I2022" s="241"/>
      <c r="J2022" s="221" t="b">
        <f>EXACT(E2023,[1]Main!E2023)</f>
        <v>1</v>
      </c>
    </row>
    <row r="2023" spans="1:10" x14ac:dyDescent="0.25">
      <c r="A2023" s="249">
        <v>45132</v>
      </c>
      <c r="B2023" s="237"/>
      <c r="C2023" s="238"/>
      <c r="D2023" s="349"/>
      <c r="E2023" s="237">
        <v>115</v>
      </c>
      <c r="F2023" s="242" t="s">
        <v>547</v>
      </c>
      <c r="G2023" s="239" t="s">
        <v>1098</v>
      </c>
      <c r="H2023" s="240">
        <f t="shared" si="31"/>
        <v>111015</v>
      </c>
      <c r="I2023" s="241"/>
      <c r="J2023" s="221" t="b">
        <f>EXACT(E2024,[1]Main!E2024)</f>
        <v>1</v>
      </c>
    </row>
    <row r="2024" spans="1:10" x14ac:dyDescent="0.25">
      <c r="A2024" s="249">
        <v>45132</v>
      </c>
      <c r="B2024" s="237"/>
      <c r="C2024" s="238"/>
      <c r="D2024" s="349"/>
      <c r="E2024" s="237">
        <v>990</v>
      </c>
      <c r="F2024" s="242" t="s">
        <v>610</v>
      </c>
      <c r="G2024" s="239" t="s">
        <v>943</v>
      </c>
      <c r="H2024" s="240">
        <f t="shared" si="31"/>
        <v>110025</v>
      </c>
      <c r="I2024" s="241"/>
      <c r="J2024" s="221" t="b">
        <f>EXACT(E2025,[1]Main!E2025)</f>
        <v>1</v>
      </c>
    </row>
    <row r="2025" spans="1:10" x14ac:dyDescent="0.25">
      <c r="A2025" s="249">
        <v>45132</v>
      </c>
      <c r="B2025" s="237"/>
      <c r="C2025" s="238"/>
      <c r="D2025" s="349"/>
      <c r="E2025" s="237">
        <v>5250</v>
      </c>
      <c r="F2025" s="242" t="s">
        <v>1445</v>
      </c>
      <c r="G2025" s="239" t="s">
        <v>928</v>
      </c>
      <c r="H2025" s="240">
        <f t="shared" si="31"/>
        <v>104775</v>
      </c>
      <c r="I2025" s="241"/>
      <c r="J2025" s="221" t="b">
        <f>EXACT(E2026,[1]Main!E2026)</f>
        <v>1</v>
      </c>
    </row>
    <row r="2026" spans="1:10" x14ac:dyDescent="0.25">
      <c r="A2026" s="249">
        <v>45132</v>
      </c>
      <c r="B2026" s="237"/>
      <c r="C2026" s="238"/>
      <c r="D2026" s="349"/>
      <c r="E2026" s="237">
        <v>5000</v>
      </c>
      <c r="F2026" s="242" t="s">
        <v>182</v>
      </c>
      <c r="G2026" s="239" t="s">
        <v>941</v>
      </c>
      <c r="H2026" s="240">
        <f t="shared" si="31"/>
        <v>99775</v>
      </c>
      <c r="I2026" s="241"/>
      <c r="J2026" s="221" t="b">
        <f>EXACT(E2027,[1]Main!E2027)</f>
        <v>1</v>
      </c>
    </row>
    <row r="2027" spans="1:10" x14ac:dyDescent="0.25">
      <c r="A2027" s="249">
        <v>45132</v>
      </c>
      <c r="B2027" s="237"/>
      <c r="C2027" s="238"/>
      <c r="D2027" s="349"/>
      <c r="E2027" s="237">
        <v>1270</v>
      </c>
      <c r="F2027" s="242" t="s">
        <v>814</v>
      </c>
      <c r="G2027" s="239" t="s">
        <v>928</v>
      </c>
      <c r="H2027" s="240">
        <f t="shared" si="31"/>
        <v>98505</v>
      </c>
      <c r="I2027" s="241"/>
      <c r="J2027" s="221" t="b">
        <f>EXACT(E2028,[1]Main!E2028)</f>
        <v>1</v>
      </c>
    </row>
    <row r="2028" spans="1:10" x14ac:dyDescent="0.25">
      <c r="A2028" s="249">
        <v>45132</v>
      </c>
      <c r="B2028" s="237"/>
      <c r="C2028" s="238"/>
      <c r="D2028" s="349"/>
      <c r="E2028" s="237">
        <v>90</v>
      </c>
      <c r="F2028" s="242" t="s">
        <v>937</v>
      </c>
      <c r="G2028" s="239" t="s">
        <v>937</v>
      </c>
      <c r="H2028" s="240">
        <f t="shared" si="31"/>
        <v>98415</v>
      </c>
      <c r="I2028" s="241"/>
      <c r="J2028" s="221" t="b">
        <f>EXACT(E2029,[1]Main!E2029)</f>
        <v>1</v>
      </c>
    </row>
    <row r="2029" spans="1:10" x14ac:dyDescent="0.25">
      <c r="A2029" s="249">
        <v>45132</v>
      </c>
      <c r="B2029" s="237"/>
      <c r="C2029" s="238"/>
      <c r="D2029" s="349"/>
      <c r="E2029" s="384">
        <v>2000</v>
      </c>
      <c r="F2029" s="399" t="s">
        <v>1448</v>
      </c>
      <c r="G2029" s="239" t="s">
        <v>928</v>
      </c>
      <c r="H2029" s="240">
        <f t="shared" si="31"/>
        <v>96415</v>
      </c>
      <c r="I2029" s="241" t="s">
        <v>1352</v>
      </c>
      <c r="J2029" s="221" t="b">
        <f>EXACT(E2030,[1]Main!E2030)</f>
        <v>1</v>
      </c>
    </row>
    <row r="2030" spans="1:10" x14ac:dyDescent="0.25">
      <c r="A2030" s="249">
        <v>45132</v>
      </c>
      <c r="B2030" s="237"/>
      <c r="C2030" s="238"/>
      <c r="D2030" s="349"/>
      <c r="E2030" s="384">
        <v>150</v>
      </c>
      <c r="F2030" s="399" t="s">
        <v>1449</v>
      </c>
      <c r="G2030" s="239" t="s">
        <v>464</v>
      </c>
      <c r="H2030" s="240">
        <f t="shared" si="31"/>
        <v>96265</v>
      </c>
      <c r="I2030" s="241"/>
      <c r="J2030" s="221" t="b">
        <f>EXACT(E2031,[1]Main!E2031)</f>
        <v>1</v>
      </c>
    </row>
    <row r="2031" spans="1:10" x14ac:dyDescent="0.25">
      <c r="A2031" s="249">
        <v>45132</v>
      </c>
      <c r="B2031" s="237"/>
      <c r="C2031" s="238"/>
      <c r="D2031" s="349"/>
      <c r="E2031" s="384">
        <v>190</v>
      </c>
      <c r="F2031" s="399" t="s">
        <v>1450</v>
      </c>
      <c r="G2031" s="239" t="s">
        <v>930</v>
      </c>
      <c r="H2031" s="240">
        <f t="shared" si="31"/>
        <v>96075</v>
      </c>
      <c r="I2031" s="241"/>
      <c r="J2031" s="221" t="b">
        <f>EXACT(E2032,[1]Main!E2032)</f>
        <v>1</v>
      </c>
    </row>
    <row r="2032" spans="1:10" x14ac:dyDescent="0.25">
      <c r="A2032" s="249">
        <v>45132</v>
      </c>
      <c r="B2032" s="237"/>
      <c r="C2032" s="238"/>
      <c r="D2032" s="349"/>
      <c r="E2032" s="384">
        <v>1300</v>
      </c>
      <c r="F2032" s="399" t="s">
        <v>1452</v>
      </c>
      <c r="G2032" s="239" t="s">
        <v>464</v>
      </c>
      <c r="H2032" s="240">
        <f t="shared" si="31"/>
        <v>94775</v>
      </c>
      <c r="I2032" s="241"/>
      <c r="J2032" s="221" t="b">
        <f>EXACT(E2033,[1]Main!E2033)</f>
        <v>1</v>
      </c>
    </row>
    <row r="2033" spans="1:10" x14ac:dyDescent="0.25">
      <c r="A2033" s="249">
        <v>45132</v>
      </c>
      <c r="B2033" s="237"/>
      <c r="C2033" s="238"/>
      <c r="D2033" s="349"/>
      <c r="E2033" s="384">
        <v>415</v>
      </c>
      <c r="F2033" s="399" t="s">
        <v>1451</v>
      </c>
      <c r="G2033" s="239" t="s">
        <v>928</v>
      </c>
      <c r="H2033" s="240">
        <f t="shared" si="31"/>
        <v>94360</v>
      </c>
      <c r="I2033" s="241"/>
      <c r="J2033" s="221" t="b">
        <f>EXACT(E2034,[1]Main!E2034)</f>
        <v>1</v>
      </c>
    </row>
    <row r="2034" spans="1:10" x14ac:dyDescent="0.25">
      <c r="A2034" s="249">
        <v>45132</v>
      </c>
      <c r="B2034" s="237"/>
      <c r="C2034" s="238"/>
      <c r="D2034" s="349"/>
      <c r="E2034" s="384">
        <f>6*115+6*115+70+70+30*5.5-50</f>
        <v>1635</v>
      </c>
      <c r="F2034" s="399" t="s">
        <v>14</v>
      </c>
      <c r="G2034" s="239" t="s">
        <v>928</v>
      </c>
      <c r="H2034" s="240">
        <f t="shared" si="31"/>
        <v>92725</v>
      </c>
      <c r="I2034" s="241" t="s">
        <v>1455</v>
      </c>
      <c r="J2034" s="221" t="b">
        <f>EXACT(E2035,[1]Main!E2035)</f>
        <v>1</v>
      </c>
    </row>
    <row r="2035" spans="1:10" x14ac:dyDescent="0.25">
      <c r="A2035" s="249">
        <v>45132</v>
      </c>
      <c r="B2035" s="237"/>
      <c r="C2035" s="238"/>
      <c r="D2035" s="349"/>
      <c r="E2035" s="384">
        <v>2475</v>
      </c>
      <c r="F2035" s="399" t="s">
        <v>1133</v>
      </c>
      <c r="G2035" s="239" t="s">
        <v>928</v>
      </c>
      <c r="H2035" s="240">
        <f t="shared" si="31"/>
        <v>90250</v>
      </c>
      <c r="I2035" s="241" t="s">
        <v>1454</v>
      </c>
      <c r="J2035" s="221" t="b">
        <f>EXACT(E2036,[1]Main!E2036)</f>
        <v>1</v>
      </c>
    </row>
    <row r="2036" spans="1:10" x14ac:dyDescent="0.25">
      <c r="A2036" s="249">
        <v>45132</v>
      </c>
      <c r="B2036" s="237"/>
      <c r="C2036" s="238"/>
      <c r="D2036" s="349"/>
      <c r="E2036" s="237">
        <v>1000</v>
      </c>
      <c r="F2036" s="242" t="s">
        <v>1456</v>
      </c>
      <c r="G2036" s="239" t="s">
        <v>931</v>
      </c>
      <c r="H2036" s="240">
        <f t="shared" si="31"/>
        <v>89250</v>
      </c>
      <c r="I2036" s="241"/>
      <c r="J2036" s="221" t="b">
        <f>EXACT(E2037,[1]Main!E2037)</f>
        <v>1</v>
      </c>
    </row>
    <row r="2037" spans="1:10" x14ac:dyDescent="0.25">
      <c r="A2037" s="249">
        <v>45132</v>
      </c>
      <c r="B2037" s="237"/>
      <c r="C2037" s="238"/>
      <c r="D2037" s="349"/>
      <c r="E2037" s="433">
        <v>120</v>
      </c>
      <c r="F2037" s="434" t="s">
        <v>32</v>
      </c>
      <c r="G2037" s="239" t="s">
        <v>930</v>
      </c>
      <c r="H2037" s="240">
        <f t="shared" si="31"/>
        <v>89130</v>
      </c>
      <c r="I2037" s="241"/>
      <c r="J2037" s="221" t="b">
        <f>EXACT(E2038,[1]Main!E2038)</f>
        <v>1</v>
      </c>
    </row>
    <row r="2038" spans="1:10" x14ac:dyDescent="0.25">
      <c r="A2038" s="249">
        <v>45132</v>
      </c>
      <c r="B2038" s="237"/>
      <c r="C2038" s="238"/>
      <c r="D2038" s="349"/>
      <c r="E2038" s="433">
        <v>90</v>
      </c>
      <c r="F2038" s="434" t="s">
        <v>9</v>
      </c>
      <c r="G2038" s="239" t="s">
        <v>930</v>
      </c>
      <c r="H2038" s="240">
        <f t="shared" si="31"/>
        <v>89040</v>
      </c>
      <c r="I2038" s="241"/>
      <c r="J2038" s="221" t="b">
        <f>EXACT(E2039,[1]Main!E2039)</f>
        <v>1</v>
      </c>
    </row>
    <row r="2039" spans="1:10" x14ac:dyDescent="0.25">
      <c r="A2039" s="249">
        <v>45132</v>
      </c>
      <c r="B2039" s="237"/>
      <c r="C2039" s="238"/>
      <c r="D2039" s="349"/>
      <c r="E2039" s="433">
        <v>30</v>
      </c>
      <c r="F2039" s="434" t="s">
        <v>1419</v>
      </c>
      <c r="G2039" s="239" t="s">
        <v>930</v>
      </c>
      <c r="H2039" s="240">
        <f t="shared" si="31"/>
        <v>89010</v>
      </c>
      <c r="I2039" s="241"/>
      <c r="J2039" s="221" t="b">
        <f>EXACT(E2040,[1]Main!E2040)</f>
        <v>1</v>
      </c>
    </row>
    <row r="2040" spans="1:10" x14ac:dyDescent="0.25">
      <c r="A2040" s="249">
        <v>45132</v>
      </c>
      <c r="B2040" s="237"/>
      <c r="C2040" s="238"/>
      <c r="D2040" s="349"/>
      <c r="E2040" s="433">
        <v>18</v>
      </c>
      <c r="F2040" s="434" t="s">
        <v>119</v>
      </c>
      <c r="G2040" s="239" t="s">
        <v>464</v>
      </c>
      <c r="H2040" s="240">
        <f t="shared" si="31"/>
        <v>88992</v>
      </c>
      <c r="I2040" s="241"/>
      <c r="J2040" s="221" t="b">
        <f>EXACT(E2041,[1]Main!E2041)</f>
        <v>1</v>
      </c>
    </row>
    <row r="2041" spans="1:10" x14ac:dyDescent="0.25">
      <c r="A2041" s="249">
        <v>45132</v>
      </c>
      <c r="B2041" s="237"/>
      <c r="C2041" s="238"/>
      <c r="D2041" s="349"/>
      <c r="E2041" s="433">
        <v>210</v>
      </c>
      <c r="F2041" s="434" t="s">
        <v>1457</v>
      </c>
      <c r="G2041" s="239" t="s">
        <v>930</v>
      </c>
      <c r="H2041" s="240">
        <f t="shared" si="31"/>
        <v>88782</v>
      </c>
      <c r="I2041" s="241"/>
      <c r="J2041" s="221" t="b">
        <f>EXACT(E2042,[1]Main!E2042)</f>
        <v>1</v>
      </c>
    </row>
    <row r="2042" spans="1:10" x14ac:dyDescent="0.25">
      <c r="A2042" s="249">
        <v>45132</v>
      </c>
      <c r="B2042" s="237"/>
      <c r="C2042" s="238"/>
      <c r="D2042" s="349"/>
      <c r="E2042" s="433">
        <v>67</v>
      </c>
      <c r="F2042" s="434" t="s">
        <v>1217</v>
      </c>
      <c r="G2042" s="239"/>
      <c r="H2042" s="240">
        <f t="shared" si="31"/>
        <v>88715</v>
      </c>
      <c r="I2042" s="241"/>
      <c r="J2042" s="221" t="b">
        <f>EXACT(E2043,[1]Main!E2043)</f>
        <v>1</v>
      </c>
    </row>
    <row r="2043" spans="1:10" x14ac:dyDescent="0.25">
      <c r="A2043" s="249">
        <v>45132</v>
      </c>
      <c r="B2043" s="237"/>
      <c r="C2043" s="238"/>
      <c r="D2043" s="349"/>
      <c r="E2043" s="433">
        <v>120</v>
      </c>
      <c r="F2043" s="434" t="s">
        <v>393</v>
      </c>
      <c r="G2043" s="239" t="s">
        <v>930</v>
      </c>
      <c r="H2043" s="240">
        <f t="shared" si="31"/>
        <v>88595</v>
      </c>
      <c r="I2043" s="241"/>
      <c r="J2043" s="221" t="b">
        <f>EXACT(E2044,[1]Main!E2044)</f>
        <v>1</v>
      </c>
    </row>
    <row r="2044" spans="1:10" x14ac:dyDescent="0.25">
      <c r="A2044" s="249">
        <v>45132</v>
      </c>
      <c r="B2044" s="237"/>
      <c r="C2044" s="238"/>
      <c r="D2044" s="349"/>
      <c r="E2044" s="433">
        <v>310</v>
      </c>
      <c r="F2044" s="434" t="s">
        <v>744</v>
      </c>
      <c r="G2044" s="239" t="s">
        <v>930</v>
      </c>
      <c r="H2044" s="240">
        <f t="shared" si="31"/>
        <v>88285</v>
      </c>
      <c r="I2044" s="241"/>
      <c r="J2044" s="221" t="b">
        <f>EXACT(E2045,[1]Main!E2045)</f>
        <v>1</v>
      </c>
    </row>
    <row r="2045" spans="1:10" x14ac:dyDescent="0.25">
      <c r="A2045" s="249">
        <v>45132</v>
      </c>
      <c r="B2045" s="237"/>
      <c r="C2045" s="238"/>
      <c r="D2045" s="349"/>
      <c r="E2045" s="433">
        <v>150</v>
      </c>
      <c r="F2045" s="434" t="s">
        <v>288</v>
      </c>
      <c r="G2045" s="239" t="s">
        <v>930</v>
      </c>
      <c r="H2045" s="240">
        <f t="shared" si="31"/>
        <v>88135</v>
      </c>
      <c r="I2045" s="241"/>
      <c r="J2045" s="221" t="b">
        <f>EXACT(E2046,[1]Main!E2046)</f>
        <v>1</v>
      </c>
    </row>
    <row r="2046" spans="1:10" x14ac:dyDescent="0.25">
      <c r="A2046" s="249">
        <v>45132</v>
      </c>
      <c r="B2046" s="237"/>
      <c r="C2046" s="238"/>
      <c r="D2046" s="349"/>
      <c r="E2046" s="433">
        <v>140</v>
      </c>
      <c r="F2046" s="434" t="s">
        <v>341</v>
      </c>
      <c r="G2046" s="239" t="s">
        <v>930</v>
      </c>
      <c r="H2046" s="240">
        <f t="shared" si="31"/>
        <v>87995</v>
      </c>
      <c r="I2046" s="241"/>
      <c r="J2046" s="221" t="b">
        <f>EXACT(E2047,[1]Main!E2047)</f>
        <v>1</v>
      </c>
    </row>
    <row r="2047" spans="1:10" x14ac:dyDescent="0.25">
      <c r="A2047" s="249">
        <v>45132</v>
      </c>
      <c r="B2047" s="237"/>
      <c r="C2047" s="238"/>
      <c r="D2047" s="349"/>
      <c r="E2047" s="433">
        <v>140</v>
      </c>
      <c r="F2047" s="434" t="s">
        <v>39</v>
      </c>
      <c r="G2047" s="239" t="s">
        <v>930</v>
      </c>
      <c r="H2047" s="240">
        <f t="shared" si="31"/>
        <v>87855</v>
      </c>
      <c r="I2047" s="241"/>
      <c r="J2047" s="221" t="b">
        <f>EXACT(E2048,[1]Main!E2048)</f>
        <v>1</v>
      </c>
    </row>
    <row r="2048" spans="1:10" x14ac:dyDescent="0.25">
      <c r="A2048" s="249">
        <v>45132</v>
      </c>
      <c r="B2048" s="237"/>
      <c r="C2048" s="238"/>
      <c r="D2048" s="349"/>
      <c r="E2048" s="433">
        <v>1520</v>
      </c>
      <c r="F2048" s="434" t="s">
        <v>66</v>
      </c>
      <c r="G2048" s="239" t="s">
        <v>928</v>
      </c>
      <c r="H2048" s="240">
        <f t="shared" si="31"/>
        <v>86335</v>
      </c>
      <c r="I2048" s="241"/>
      <c r="J2048" s="221" t="b">
        <f>EXACT(E2049,[1]Main!E2049)</f>
        <v>1</v>
      </c>
    </row>
    <row r="2049" spans="1:10" x14ac:dyDescent="0.25">
      <c r="A2049" s="249">
        <v>45132</v>
      </c>
      <c r="B2049" s="237"/>
      <c r="C2049" s="238"/>
      <c r="D2049" s="349"/>
      <c r="E2049" s="433">
        <v>50</v>
      </c>
      <c r="F2049" s="434" t="s">
        <v>34</v>
      </c>
      <c r="G2049" s="239" t="s">
        <v>928</v>
      </c>
      <c r="H2049" s="240">
        <f t="shared" si="31"/>
        <v>86285</v>
      </c>
      <c r="I2049" s="241"/>
      <c r="J2049" s="221" t="b">
        <f>EXACT(E2050,[1]Main!E2050)</f>
        <v>1</v>
      </c>
    </row>
    <row r="2050" spans="1:10" x14ac:dyDescent="0.25">
      <c r="A2050" s="249">
        <v>45132</v>
      </c>
      <c r="B2050" s="237"/>
      <c r="C2050" s="238"/>
      <c r="D2050" s="349"/>
      <c r="E2050" s="433">
        <v>2530</v>
      </c>
      <c r="F2050" s="434" t="s">
        <v>12</v>
      </c>
      <c r="G2050" s="239" t="s">
        <v>928</v>
      </c>
      <c r="H2050" s="240">
        <f t="shared" si="31"/>
        <v>83755</v>
      </c>
      <c r="I2050" s="241"/>
      <c r="J2050" s="221" t="b">
        <f>EXACT(E2051,[1]Main!E2051)</f>
        <v>1</v>
      </c>
    </row>
    <row r="2051" spans="1:10" x14ac:dyDescent="0.25">
      <c r="A2051" s="249">
        <v>45132</v>
      </c>
      <c r="B2051" s="237"/>
      <c r="C2051" s="238"/>
      <c r="D2051" s="349"/>
      <c r="E2051" s="433">
        <v>1627</v>
      </c>
      <c r="F2051" s="434" t="s">
        <v>1458</v>
      </c>
      <c r="G2051" s="239" t="s">
        <v>928</v>
      </c>
      <c r="H2051" s="240">
        <f t="shared" si="31"/>
        <v>82128</v>
      </c>
      <c r="I2051" s="241"/>
      <c r="J2051" s="221" t="b">
        <f>EXACT(E2052,[1]Main!E2052)</f>
        <v>1</v>
      </c>
    </row>
    <row r="2052" spans="1:10" x14ac:dyDescent="0.25">
      <c r="A2052" s="249">
        <v>45132</v>
      </c>
      <c r="B2052" s="237"/>
      <c r="C2052" s="238"/>
      <c r="D2052" s="349"/>
      <c r="E2052" s="433">
        <v>608</v>
      </c>
      <c r="F2052" s="434" t="s">
        <v>417</v>
      </c>
      <c r="G2052" s="239" t="s">
        <v>928</v>
      </c>
      <c r="H2052" s="240">
        <f t="shared" si="31"/>
        <v>81520</v>
      </c>
      <c r="I2052" s="241"/>
      <c r="J2052" s="221" t="b">
        <f>EXACT(E2053,[1]Main!E2053)</f>
        <v>1</v>
      </c>
    </row>
    <row r="2053" spans="1:10" x14ac:dyDescent="0.25">
      <c r="A2053" s="249">
        <v>45132</v>
      </c>
      <c r="B2053" s="237"/>
      <c r="C2053" s="238"/>
      <c r="D2053" s="349"/>
      <c r="E2053" s="433">
        <v>950</v>
      </c>
      <c r="F2053" s="434" t="s">
        <v>1001</v>
      </c>
      <c r="G2053" s="239" t="s">
        <v>928</v>
      </c>
      <c r="H2053" s="240">
        <f t="shared" si="31"/>
        <v>80570</v>
      </c>
      <c r="I2053" s="241"/>
      <c r="J2053" s="221" t="b">
        <f>EXACT(E2054,[1]Main!E2054)</f>
        <v>1</v>
      </c>
    </row>
    <row r="2054" spans="1:10" x14ac:dyDescent="0.25">
      <c r="A2054" s="249">
        <v>45132</v>
      </c>
      <c r="B2054" s="237"/>
      <c r="C2054" s="238"/>
      <c r="D2054" s="349"/>
      <c r="E2054" s="433">
        <v>175</v>
      </c>
      <c r="F2054" s="434" t="s">
        <v>1139</v>
      </c>
      <c r="G2054" s="239" t="s">
        <v>928</v>
      </c>
      <c r="H2054" s="240">
        <f t="shared" si="31"/>
        <v>80395</v>
      </c>
      <c r="I2054" s="241"/>
      <c r="J2054" s="221" t="b">
        <f>EXACT(E2055,[1]Main!E2055)</f>
        <v>1</v>
      </c>
    </row>
    <row r="2055" spans="1:10" x14ac:dyDescent="0.25">
      <c r="A2055" s="249">
        <v>45132</v>
      </c>
      <c r="B2055" s="237"/>
      <c r="C2055" s="238"/>
      <c r="D2055" s="349"/>
      <c r="E2055" s="433">
        <v>610</v>
      </c>
      <c r="F2055" s="434" t="s">
        <v>331</v>
      </c>
      <c r="G2055" s="239" t="s">
        <v>928</v>
      </c>
      <c r="H2055" s="240">
        <f t="shared" ref="H2055:H2118" si="32">H2054+B2055-E2055</f>
        <v>79785</v>
      </c>
      <c r="I2055" s="241"/>
      <c r="J2055" s="221" t="b">
        <f>EXACT(E2056,[1]Main!E2056)</f>
        <v>1</v>
      </c>
    </row>
    <row r="2056" spans="1:10" x14ac:dyDescent="0.25">
      <c r="A2056" s="249">
        <v>45132</v>
      </c>
      <c r="B2056" s="237"/>
      <c r="C2056" s="238"/>
      <c r="D2056" s="349"/>
      <c r="E2056" s="433">
        <v>840</v>
      </c>
      <c r="F2056" s="434" t="s">
        <v>580</v>
      </c>
      <c r="G2056" s="239" t="s">
        <v>928</v>
      </c>
      <c r="H2056" s="240">
        <f t="shared" si="32"/>
        <v>78945</v>
      </c>
      <c r="I2056" s="241"/>
      <c r="J2056" s="221" t="b">
        <f>EXACT(E2057,[1]Main!E2057)</f>
        <v>1</v>
      </c>
    </row>
    <row r="2057" spans="1:10" x14ac:dyDescent="0.25">
      <c r="A2057" s="249">
        <v>45132</v>
      </c>
      <c r="B2057" s="237"/>
      <c r="C2057" s="238"/>
      <c r="D2057" s="349"/>
      <c r="E2057" s="237">
        <v>1405</v>
      </c>
      <c r="F2057" s="242" t="s">
        <v>49</v>
      </c>
      <c r="G2057" s="239" t="s">
        <v>928</v>
      </c>
      <c r="H2057" s="240">
        <f t="shared" si="32"/>
        <v>77540</v>
      </c>
      <c r="I2057" s="241"/>
      <c r="J2057" s="221" t="b">
        <f>EXACT(E2058,[1]Main!E2058)</f>
        <v>1</v>
      </c>
    </row>
    <row r="2058" spans="1:10" x14ac:dyDescent="0.25">
      <c r="A2058" s="249">
        <v>45132</v>
      </c>
      <c r="B2058" s="237"/>
      <c r="C2058" s="238"/>
      <c r="D2058" s="349"/>
      <c r="E2058" s="237">
        <v>170</v>
      </c>
      <c r="F2058" s="242" t="s">
        <v>86</v>
      </c>
      <c r="G2058" s="239" t="s">
        <v>930</v>
      </c>
      <c r="H2058" s="240">
        <f t="shared" si="32"/>
        <v>77370</v>
      </c>
      <c r="I2058" s="241"/>
      <c r="J2058" s="221" t="b">
        <f>EXACT(E2059,[1]Main!E2059)</f>
        <v>1</v>
      </c>
    </row>
    <row r="2059" spans="1:10" x14ac:dyDescent="0.25">
      <c r="A2059" s="249">
        <v>45132</v>
      </c>
      <c r="B2059" s="237"/>
      <c r="C2059" s="238"/>
      <c r="D2059" s="349"/>
      <c r="E2059" s="237">
        <v>110</v>
      </c>
      <c r="F2059" s="242" t="s">
        <v>32</v>
      </c>
      <c r="G2059" s="239" t="s">
        <v>930</v>
      </c>
      <c r="H2059" s="240">
        <f t="shared" si="32"/>
        <v>77260</v>
      </c>
      <c r="I2059" s="241"/>
      <c r="J2059" s="221" t="b">
        <f>EXACT(E2060,[1]Main!E2060)</f>
        <v>1</v>
      </c>
    </row>
    <row r="2060" spans="1:10" x14ac:dyDescent="0.25">
      <c r="A2060" s="249">
        <v>45132</v>
      </c>
      <c r="B2060" s="237"/>
      <c r="C2060" s="238"/>
      <c r="D2060" s="349"/>
      <c r="E2060" s="237">
        <v>216</v>
      </c>
      <c r="F2060" s="242" t="s">
        <v>1319</v>
      </c>
      <c r="G2060" s="239" t="s">
        <v>930</v>
      </c>
      <c r="H2060" s="240">
        <f t="shared" si="32"/>
        <v>77044</v>
      </c>
      <c r="I2060" s="241"/>
      <c r="J2060" s="221" t="b">
        <f>EXACT(E2061,[1]Main!E2061)</f>
        <v>1</v>
      </c>
    </row>
    <row r="2061" spans="1:10" x14ac:dyDescent="0.25">
      <c r="A2061" s="249">
        <v>45132</v>
      </c>
      <c r="B2061" s="237"/>
      <c r="C2061" s="238"/>
      <c r="D2061" s="349"/>
      <c r="E2061" s="237">
        <v>68</v>
      </c>
      <c r="F2061" s="242" t="s">
        <v>278</v>
      </c>
      <c r="G2061" s="239" t="s">
        <v>935</v>
      </c>
      <c r="H2061" s="240">
        <f t="shared" si="32"/>
        <v>76976</v>
      </c>
      <c r="I2061" s="241"/>
      <c r="J2061" s="221" t="b">
        <f>EXACT(E2062,[1]Main!E2062)</f>
        <v>1</v>
      </c>
    </row>
    <row r="2062" spans="1:10" x14ac:dyDescent="0.25">
      <c r="A2062" s="249">
        <v>45132</v>
      </c>
      <c r="B2062" s="237"/>
      <c r="C2062" s="238"/>
      <c r="D2062" s="349"/>
      <c r="E2062" s="237">
        <v>90</v>
      </c>
      <c r="F2062" s="242" t="s">
        <v>510</v>
      </c>
      <c r="G2062" s="239" t="s">
        <v>930</v>
      </c>
      <c r="H2062" s="240">
        <f t="shared" si="32"/>
        <v>76886</v>
      </c>
      <c r="I2062" s="241"/>
      <c r="J2062" s="221" t="b">
        <f>EXACT(E2063,[1]Main!E2063)</f>
        <v>1</v>
      </c>
    </row>
    <row r="2063" spans="1:10" x14ac:dyDescent="0.25">
      <c r="A2063" s="249">
        <v>45132</v>
      </c>
      <c r="B2063" s="237"/>
      <c r="C2063" s="238"/>
      <c r="D2063" s="349"/>
      <c r="E2063" s="237">
        <v>210</v>
      </c>
      <c r="F2063" s="242" t="s">
        <v>498</v>
      </c>
      <c r="G2063" s="239" t="s">
        <v>930</v>
      </c>
      <c r="H2063" s="240">
        <f t="shared" si="32"/>
        <v>76676</v>
      </c>
      <c r="I2063" s="241"/>
      <c r="J2063" s="221" t="b">
        <f>EXACT(E2064,[1]Main!E2064)</f>
        <v>1</v>
      </c>
    </row>
    <row r="2064" spans="1:10" x14ac:dyDescent="0.25">
      <c r="A2064" s="249">
        <v>45132</v>
      </c>
      <c r="B2064" s="237"/>
      <c r="C2064" s="238"/>
      <c r="D2064" s="349"/>
      <c r="E2064" s="237">
        <v>160</v>
      </c>
      <c r="F2064" s="242" t="s">
        <v>1467</v>
      </c>
      <c r="G2064" s="239" t="s">
        <v>464</v>
      </c>
      <c r="H2064" s="240">
        <f t="shared" si="32"/>
        <v>76516</v>
      </c>
      <c r="I2064" s="241"/>
      <c r="J2064" s="221" t="b">
        <f>EXACT(E2065,[1]Main!E2065)</f>
        <v>1</v>
      </c>
    </row>
    <row r="2065" spans="1:10" x14ac:dyDescent="0.25">
      <c r="A2065" s="249">
        <v>45132</v>
      </c>
      <c r="B2065" s="237"/>
      <c r="C2065" s="238"/>
      <c r="D2065" s="349"/>
      <c r="E2065" s="237">
        <v>150</v>
      </c>
      <c r="F2065" s="242" t="s">
        <v>15</v>
      </c>
      <c r="G2065" s="239" t="s">
        <v>930</v>
      </c>
      <c r="H2065" s="240">
        <f t="shared" si="32"/>
        <v>76366</v>
      </c>
      <c r="I2065" s="241"/>
      <c r="J2065" s="221" t="b">
        <f>EXACT(E2066,[1]Main!E2066)</f>
        <v>1</v>
      </c>
    </row>
    <row r="2066" spans="1:10" x14ac:dyDescent="0.25">
      <c r="A2066" s="249">
        <v>45132</v>
      </c>
      <c r="B2066" s="237"/>
      <c r="C2066" s="238"/>
      <c r="D2066" s="349"/>
      <c r="E2066" s="237">
        <v>50</v>
      </c>
      <c r="F2066" s="242" t="s">
        <v>73</v>
      </c>
      <c r="G2066" s="239" t="s">
        <v>945</v>
      </c>
      <c r="H2066" s="240">
        <f t="shared" si="32"/>
        <v>76316</v>
      </c>
      <c r="I2066" s="241"/>
      <c r="J2066" s="221" t="b">
        <f>EXACT(E2067,[1]Main!E2067)</f>
        <v>1</v>
      </c>
    </row>
    <row r="2067" spans="1:10" x14ac:dyDescent="0.25">
      <c r="A2067" s="249">
        <v>45132</v>
      </c>
      <c r="B2067" s="237"/>
      <c r="C2067" s="238"/>
      <c r="D2067" s="349"/>
      <c r="E2067" s="237">
        <v>70</v>
      </c>
      <c r="F2067" s="242" t="s">
        <v>26</v>
      </c>
      <c r="G2067" s="239" t="s">
        <v>930</v>
      </c>
      <c r="H2067" s="240">
        <f t="shared" si="32"/>
        <v>76246</v>
      </c>
      <c r="I2067" s="241"/>
      <c r="J2067" s="221" t="b">
        <f>EXACT(E2068,[1]Main!E2068)</f>
        <v>1</v>
      </c>
    </row>
    <row r="2068" spans="1:10" x14ac:dyDescent="0.25">
      <c r="A2068" s="249">
        <v>45132</v>
      </c>
      <c r="B2068" s="237"/>
      <c r="C2068" s="238"/>
      <c r="D2068" s="349"/>
      <c r="E2068" s="237">
        <v>150</v>
      </c>
      <c r="F2068" s="242" t="s">
        <v>741</v>
      </c>
      <c r="G2068" s="239" t="s">
        <v>930</v>
      </c>
      <c r="H2068" s="240">
        <f t="shared" si="32"/>
        <v>76096</v>
      </c>
      <c r="I2068" s="241"/>
      <c r="J2068" s="221" t="b">
        <f>EXACT(E2069,[1]Main!E2069)</f>
        <v>1</v>
      </c>
    </row>
    <row r="2069" spans="1:10" x14ac:dyDescent="0.25">
      <c r="A2069" s="249">
        <v>45132</v>
      </c>
      <c r="B2069" s="237"/>
      <c r="C2069" s="238"/>
      <c r="D2069" s="349"/>
      <c r="E2069" s="237">
        <v>90</v>
      </c>
      <c r="F2069" s="242" t="s">
        <v>223</v>
      </c>
      <c r="G2069" s="239" t="s">
        <v>930</v>
      </c>
      <c r="H2069" s="240">
        <f t="shared" si="32"/>
        <v>76006</v>
      </c>
      <c r="I2069" s="241"/>
      <c r="J2069" s="221" t="b">
        <f>EXACT(E2070,[1]Main!E2070)</f>
        <v>1</v>
      </c>
    </row>
    <row r="2070" spans="1:10" x14ac:dyDescent="0.25">
      <c r="A2070" s="249">
        <v>45132</v>
      </c>
      <c r="B2070" s="237"/>
      <c r="C2070" s="238"/>
      <c r="D2070" s="349"/>
      <c r="E2070" s="237">
        <v>75</v>
      </c>
      <c r="F2070" s="242" t="s">
        <v>1219</v>
      </c>
      <c r="G2070" s="239" t="s">
        <v>930</v>
      </c>
      <c r="H2070" s="240">
        <f t="shared" si="32"/>
        <v>75931</v>
      </c>
      <c r="I2070" s="241"/>
      <c r="J2070" s="221" t="b">
        <f>EXACT(E2071,[1]Main!E2071)</f>
        <v>1</v>
      </c>
    </row>
    <row r="2071" spans="1:10" x14ac:dyDescent="0.25">
      <c r="A2071" s="249">
        <v>45132</v>
      </c>
      <c r="B2071" s="237"/>
      <c r="C2071" s="238"/>
      <c r="D2071" s="349"/>
      <c r="E2071" s="237">
        <v>72</v>
      </c>
      <c r="F2071" s="242" t="s">
        <v>27</v>
      </c>
      <c r="G2071" s="239" t="s">
        <v>943</v>
      </c>
      <c r="H2071" s="240">
        <f t="shared" si="32"/>
        <v>75859</v>
      </c>
      <c r="I2071" s="241"/>
      <c r="J2071" s="221" t="b">
        <f>EXACT(E2072,[1]Main!E2072)</f>
        <v>1</v>
      </c>
    </row>
    <row r="2072" spans="1:10" x14ac:dyDescent="0.25">
      <c r="A2072" s="249">
        <v>45132</v>
      </c>
      <c r="B2072" s="237"/>
      <c r="C2072" s="238"/>
      <c r="D2072" s="349"/>
      <c r="E2072" s="237">
        <v>15</v>
      </c>
      <c r="F2072" s="242" t="s">
        <v>234</v>
      </c>
      <c r="G2072" s="239" t="s">
        <v>931</v>
      </c>
      <c r="H2072" s="240">
        <f t="shared" si="32"/>
        <v>75844</v>
      </c>
      <c r="I2072" s="241"/>
      <c r="J2072" s="221" t="b">
        <f>EXACT(E2073,[1]Main!E2073)</f>
        <v>1</v>
      </c>
    </row>
    <row r="2073" spans="1:10" x14ac:dyDescent="0.25">
      <c r="A2073" s="249">
        <v>45132</v>
      </c>
      <c r="B2073" s="237"/>
      <c r="C2073" s="238"/>
      <c r="D2073" s="349"/>
      <c r="E2073" s="237">
        <v>70</v>
      </c>
      <c r="F2073" s="242" t="s">
        <v>1162</v>
      </c>
      <c r="G2073" s="239" t="s">
        <v>930</v>
      </c>
      <c r="H2073" s="240">
        <f t="shared" si="32"/>
        <v>75774</v>
      </c>
      <c r="I2073" s="241"/>
      <c r="J2073" s="221" t="b">
        <f>EXACT(E2074,[1]Main!E2074)</f>
        <v>1</v>
      </c>
    </row>
    <row r="2074" spans="1:10" x14ac:dyDescent="0.25">
      <c r="A2074" s="249">
        <v>45132</v>
      </c>
      <c r="B2074" s="237"/>
      <c r="C2074" s="238"/>
      <c r="D2074" s="349"/>
      <c r="E2074" s="237">
        <v>22</v>
      </c>
      <c r="F2074" s="242" t="s">
        <v>212</v>
      </c>
      <c r="G2074" s="239" t="s">
        <v>464</v>
      </c>
      <c r="H2074" s="240">
        <f t="shared" si="32"/>
        <v>75752</v>
      </c>
      <c r="I2074" s="241"/>
      <c r="J2074" s="221" t="b">
        <f>EXACT(E2075,[1]Main!E2075)</f>
        <v>1</v>
      </c>
    </row>
    <row r="2075" spans="1:10" x14ac:dyDescent="0.25">
      <c r="A2075" s="249">
        <v>45132</v>
      </c>
      <c r="B2075" s="237"/>
      <c r="C2075" s="238"/>
      <c r="D2075" s="349"/>
      <c r="E2075" s="237">
        <v>100</v>
      </c>
      <c r="F2075" s="242" t="s">
        <v>29</v>
      </c>
      <c r="G2075" s="239" t="s">
        <v>930</v>
      </c>
      <c r="H2075" s="240">
        <f t="shared" si="32"/>
        <v>75652</v>
      </c>
      <c r="I2075" s="241"/>
      <c r="J2075" s="221" t="b">
        <f>EXACT(E2076,[1]Main!E2076)</f>
        <v>1</v>
      </c>
    </row>
    <row r="2076" spans="1:10" x14ac:dyDescent="0.25">
      <c r="A2076" s="249">
        <v>45132</v>
      </c>
      <c r="B2076" s="237"/>
      <c r="C2076" s="238"/>
      <c r="D2076" s="349"/>
      <c r="E2076" s="237">
        <v>100</v>
      </c>
      <c r="F2076" s="242" t="s">
        <v>1419</v>
      </c>
      <c r="G2076" s="239" t="s">
        <v>930</v>
      </c>
      <c r="H2076" s="240">
        <f t="shared" si="32"/>
        <v>75552</v>
      </c>
      <c r="I2076" s="241"/>
      <c r="J2076" s="221" t="b">
        <f>EXACT(E2077,[1]Main!E2077)</f>
        <v>1</v>
      </c>
    </row>
    <row r="2077" spans="1:10" x14ac:dyDescent="0.25">
      <c r="A2077" s="249">
        <v>45132</v>
      </c>
      <c r="B2077" s="237"/>
      <c r="C2077" s="238"/>
      <c r="D2077" s="349"/>
      <c r="E2077" s="237">
        <v>100</v>
      </c>
      <c r="F2077" s="242" t="s">
        <v>1465</v>
      </c>
      <c r="G2077" s="239" t="s">
        <v>930</v>
      </c>
      <c r="H2077" s="240">
        <f t="shared" si="32"/>
        <v>75452</v>
      </c>
      <c r="I2077" s="241"/>
      <c r="J2077" s="221" t="b">
        <f>EXACT(E2078,[1]Main!E2078)</f>
        <v>1</v>
      </c>
    </row>
    <row r="2078" spans="1:10" x14ac:dyDescent="0.25">
      <c r="A2078" s="249">
        <v>45132</v>
      </c>
      <c r="B2078" s="237"/>
      <c r="C2078" s="238"/>
      <c r="D2078" s="349"/>
      <c r="E2078" s="237">
        <v>7540</v>
      </c>
      <c r="F2078" s="242" t="s">
        <v>47</v>
      </c>
      <c r="G2078" s="239" t="s">
        <v>928</v>
      </c>
      <c r="H2078" s="240">
        <f t="shared" si="32"/>
        <v>67912</v>
      </c>
      <c r="I2078" s="241"/>
      <c r="J2078" s="221" t="b">
        <f>EXACT(E2079,[1]Main!E2079)</f>
        <v>1</v>
      </c>
    </row>
    <row r="2079" spans="1:10" x14ac:dyDescent="0.25">
      <c r="A2079" s="249">
        <v>45132</v>
      </c>
      <c r="B2079" s="237"/>
      <c r="C2079" s="238"/>
      <c r="D2079" s="349"/>
      <c r="E2079" s="237">
        <v>190</v>
      </c>
      <c r="F2079" s="242" t="s">
        <v>1466</v>
      </c>
      <c r="G2079" s="239" t="s">
        <v>928</v>
      </c>
      <c r="H2079" s="240">
        <f t="shared" si="32"/>
        <v>67722</v>
      </c>
      <c r="I2079" s="241"/>
      <c r="J2079" s="221" t="b">
        <f>EXACT(E2080,[1]Main!E2080)</f>
        <v>1</v>
      </c>
    </row>
    <row r="2080" spans="1:10" x14ac:dyDescent="0.25">
      <c r="A2080" s="249">
        <v>45132</v>
      </c>
      <c r="B2080" s="237"/>
      <c r="C2080" s="238"/>
      <c r="D2080" s="349"/>
      <c r="E2080" s="237">
        <v>1055</v>
      </c>
      <c r="F2080" s="242" t="s">
        <v>1017</v>
      </c>
      <c r="G2080" s="239" t="s">
        <v>928</v>
      </c>
      <c r="H2080" s="240">
        <f t="shared" si="32"/>
        <v>66667</v>
      </c>
      <c r="I2080" s="241"/>
      <c r="J2080" s="221" t="b">
        <f>EXACT(E2081,[1]Main!E2081)</f>
        <v>1</v>
      </c>
    </row>
    <row r="2081" spans="1:10" x14ac:dyDescent="0.25">
      <c r="A2081" s="249">
        <v>45132</v>
      </c>
      <c r="B2081" s="325"/>
      <c r="C2081" s="326"/>
      <c r="D2081" s="327"/>
      <c r="E2081" s="325"/>
      <c r="F2081" s="328"/>
      <c r="G2081" s="327"/>
      <c r="H2081" s="240">
        <f t="shared" si="32"/>
        <v>66667</v>
      </c>
      <c r="I2081" s="329"/>
      <c r="J2081" s="221" t="b">
        <f>EXACT(E2082,[1]Main!E2082)</f>
        <v>1</v>
      </c>
    </row>
    <row r="2082" spans="1:10" x14ac:dyDescent="0.25">
      <c r="A2082" s="249">
        <v>45133</v>
      </c>
      <c r="B2082" s="237">
        <v>215</v>
      </c>
      <c r="C2082" s="238" t="s">
        <v>60</v>
      </c>
      <c r="D2082" s="349" t="s">
        <v>763</v>
      </c>
      <c r="E2082" s="237">
        <v>5000</v>
      </c>
      <c r="F2082" s="242" t="s">
        <v>1323</v>
      </c>
      <c r="G2082" s="239" t="s">
        <v>928</v>
      </c>
      <c r="H2082" s="240">
        <f t="shared" si="32"/>
        <v>61882</v>
      </c>
      <c r="I2082" s="241" t="s">
        <v>1468</v>
      </c>
      <c r="J2082" s="221" t="b">
        <f>EXACT(E2083,[1]Main!E2083)</f>
        <v>1</v>
      </c>
    </row>
    <row r="2083" spans="1:10" x14ac:dyDescent="0.25">
      <c r="A2083" s="249">
        <v>45133</v>
      </c>
      <c r="B2083" s="237">
        <v>17135</v>
      </c>
      <c r="C2083" s="238" t="s">
        <v>300</v>
      </c>
      <c r="D2083" s="349" t="s">
        <v>763</v>
      </c>
      <c r="E2083" s="237">
        <v>2166</v>
      </c>
      <c r="F2083" s="242" t="s">
        <v>1469</v>
      </c>
      <c r="G2083" s="239" t="s">
        <v>928</v>
      </c>
      <c r="H2083" s="240">
        <f t="shared" si="32"/>
        <v>76851</v>
      </c>
      <c r="I2083" s="241" t="s">
        <v>796</v>
      </c>
      <c r="J2083" s="221" t="b">
        <f>EXACT(E2084,[1]Main!E2084)</f>
        <v>1</v>
      </c>
    </row>
    <row r="2084" spans="1:10" x14ac:dyDescent="0.25">
      <c r="A2084" s="249">
        <v>45133</v>
      </c>
      <c r="B2084" s="237">
        <v>490</v>
      </c>
      <c r="C2084" s="238" t="s">
        <v>989</v>
      </c>
      <c r="D2084" s="349" t="s">
        <v>765</v>
      </c>
      <c r="E2084" s="237">
        <v>105</v>
      </c>
      <c r="F2084" s="242" t="s">
        <v>708</v>
      </c>
      <c r="G2084" s="239" t="s">
        <v>930</v>
      </c>
      <c r="H2084" s="240">
        <f t="shared" si="32"/>
        <v>77236</v>
      </c>
      <c r="I2084" s="241"/>
      <c r="J2084" s="221" t="b">
        <f>EXACT(E2085,[1]Main!E2085)</f>
        <v>1</v>
      </c>
    </row>
    <row r="2085" spans="1:10" x14ac:dyDescent="0.25">
      <c r="A2085" s="249">
        <v>45133</v>
      </c>
      <c r="B2085" s="237">
        <v>15189</v>
      </c>
      <c r="C2085" s="238" t="s">
        <v>80</v>
      </c>
      <c r="D2085" s="349"/>
      <c r="E2085" s="237">
        <v>240</v>
      </c>
      <c r="F2085" s="242" t="s">
        <v>83</v>
      </c>
      <c r="G2085" s="239" t="s">
        <v>928</v>
      </c>
      <c r="H2085" s="240">
        <f t="shared" si="32"/>
        <v>92185</v>
      </c>
      <c r="I2085" s="241"/>
      <c r="J2085" s="221" t="b">
        <f>EXACT(E2086,[1]Main!E2086)</f>
        <v>1</v>
      </c>
    </row>
    <row r="2086" spans="1:10" x14ac:dyDescent="0.25">
      <c r="A2086" s="249">
        <v>45133</v>
      </c>
      <c r="B2086" s="237">
        <v>1824</v>
      </c>
      <c r="C2086" s="238" t="s">
        <v>979</v>
      </c>
      <c r="D2086" s="349"/>
      <c r="E2086" s="237">
        <v>490</v>
      </c>
      <c r="F2086" s="242" t="s">
        <v>27</v>
      </c>
      <c r="G2086" s="239" t="s">
        <v>943</v>
      </c>
      <c r="H2086" s="240">
        <f t="shared" si="32"/>
        <v>93519</v>
      </c>
      <c r="I2086" s="241"/>
      <c r="J2086" s="221" t="b">
        <f>EXACT(E2087,[1]Main!E2087)</f>
        <v>1</v>
      </c>
    </row>
    <row r="2087" spans="1:10" x14ac:dyDescent="0.25">
      <c r="A2087" s="249">
        <v>45133</v>
      </c>
      <c r="B2087" s="237">
        <v>1005</v>
      </c>
      <c r="C2087" s="238" t="s">
        <v>556</v>
      </c>
      <c r="D2087" s="349"/>
      <c r="E2087" s="237">
        <v>1420</v>
      </c>
      <c r="F2087" s="242" t="s">
        <v>270</v>
      </c>
      <c r="G2087" s="239" t="s">
        <v>928</v>
      </c>
      <c r="H2087" s="240">
        <f t="shared" si="32"/>
        <v>93104</v>
      </c>
      <c r="I2087" s="241"/>
      <c r="J2087" s="221" t="b">
        <f>EXACT(E2088,[1]Main!E2088)</f>
        <v>1</v>
      </c>
    </row>
    <row r="2088" spans="1:10" x14ac:dyDescent="0.25">
      <c r="A2088" s="249">
        <v>45133</v>
      </c>
      <c r="B2088" s="237">
        <v>17950</v>
      </c>
      <c r="C2088" s="238" t="s">
        <v>363</v>
      </c>
      <c r="D2088" s="349"/>
      <c r="E2088" s="237">
        <v>3000</v>
      </c>
      <c r="F2088" s="242" t="s">
        <v>1463</v>
      </c>
      <c r="G2088" s="239" t="s">
        <v>928</v>
      </c>
      <c r="H2088" s="240">
        <f t="shared" si="32"/>
        <v>108054</v>
      </c>
      <c r="I2088" s="241"/>
      <c r="J2088" s="221" t="b">
        <f>EXACT(E2089,[1]Main!E2089)</f>
        <v>1</v>
      </c>
    </row>
    <row r="2089" spans="1:10" x14ac:dyDescent="0.25">
      <c r="A2089" s="249">
        <v>45133</v>
      </c>
      <c r="B2089" s="237">
        <v>26966</v>
      </c>
      <c r="C2089" s="238" t="s">
        <v>15</v>
      </c>
      <c r="D2089" s="349"/>
      <c r="E2089" s="237">
        <v>245</v>
      </c>
      <c r="F2089" s="242" t="s">
        <v>1464</v>
      </c>
      <c r="G2089" s="239" t="s">
        <v>943</v>
      </c>
      <c r="H2089" s="240">
        <f t="shared" si="32"/>
        <v>134775</v>
      </c>
      <c r="I2089" s="241"/>
      <c r="J2089" s="221" t="b">
        <f>EXACT(E2090,[1]Main!E2090)</f>
        <v>1</v>
      </c>
    </row>
    <row r="2090" spans="1:10" x14ac:dyDescent="0.25">
      <c r="A2090" s="249">
        <v>45133</v>
      </c>
      <c r="B2090" s="237">
        <v>557</v>
      </c>
      <c r="C2090" s="238" t="s">
        <v>916</v>
      </c>
      <c r="D2090" s="349"/>
      <c r="E2090" s="237">
        <v>2072</v>
      </c>
      <c r="F2090" s="242" t="s">
        <v>1470</v>
      </c>
      <c r="G2090" s="239" t="s">
        <v>928</v>
      </c>
      <c r="H2090" s="240">
        <f t="shared" si="32"/>
        <v>133260</v>
      </c>
      <c r="I2090" s="241"/>
      <c r="J2090" s="221" t="b">
        <f>EXACT(E2091,[1]Main!E2091)</f>
        <v>1</v>
      </c>
    </row>
    <row r="2091" spans="1:10" x14ac:dyDescent="0.25">
      <c r="A2091" s="249">
        <v>45133</v>
      </c>
      <c r="B2091" s="237">
        <v>22351</v>
      </c>
      <c r="C2091" s="238" t="s">
        <v>88</v>
      </c>
      <c r="D2091" s="349"/>
      <c r="E2091" s="237">
        <v>5000</v>
      </c>
      <c r="F2091" s="242" t="s">
        <v>1471</v>
      </c>
      <c r="G2091" s="239" t="s">
        <v>928</v>
      </c>
      <c r="H2091" s="240">
        <f t="shared" si="32"/>
        <v>150611</v>
      </c>
      <c r="I2091" s="241" t="s">
        <v>796</v>
      </c>
      <c r="J2091" s="221" t="b">
        <f>EXACT(E2092,[1]Main!E2092)</f>
        <v>1</v>
      </c>
    </row>
    <row r="2092" spans="1:10" x14ac:dyDescent="0.25">
      <c r="A2092" s="249">
        <v>45133</v>
      </c>
      <c r="B2092" s="237">
        <v>1520</v>
      </c>
      <c r="C2092" s="238" t="s">
        <v>1062</v>
      </c>
      <c r="D2092" s="349"/>
      <c r="E2092" s="237">
        <v>1527</v>
      </c>
      <c r="F2092" s="242" t="s">
        <v>317</v>
      </c>
      <c r="G2092" s="239" t="s">
        <v>928</v>
      </c>
      <c r="H2092" s="240">
        <f t="shared" si="32"/>
        <v>150604</v>
      </c>
      <c r="I2092" s="241" t="s">
        <v>787</v>
      </c>
      <c r="J2092" s="221" t="b">
        <f>EXACT(E2093,[1]Main!E2093)</f>
        <v>1</v>
      </c>
    </row>
    <row r="2093" spans="1:10" x14ac:dyDescent="0.25">
      <c r="A2093" s="249">
        <v>45133</v>
      </c>
      <c r="B2093" s="237">
        <v>9400</v>
      </c>
      <c r="C2093" s="238" t="s">
        <v>1162</v>
      </c>
      <c r="D2093" s="349"/>
      <c r="E2093" s="237">
        <v>50</v>
      </c>
      <c r="F2093" s="242" t="s">
        <v>1473</v>
      </c>
      <c r="G2093" s="239" t="s">
        <v>464</v>
      </c>
      <c r="H2093" s="240">
        <f t="shared" si="32"/>
        <v>159954</v>
      </c>
      <c r="I2093" s="241"/>
      <c r="J2093" s="221" t="b">
        <f>EXACT(E2094,[1]Main!E2094)</f>
        <v>1</v>
      </c>
    </row>
    <row r="2094" spans="1:10" x14ac:dyDescent="0.25">
      <c r="A2094" s="249">
        <v>45133</v>
      </c>
      <c r="B2094" s="237">
        <v>2185</v>
      </c>
      <c r="C2094" s="238" t="s">
        <v>1498</v>
      </c>
      <c r="D2094" s="349"/>
      <c r="E2094" s="237">
        <v>30</v>
      </c>
      <c r="F2094" s="242" t="s">
        <v>373</v>
      </c>
      <c r="G2094" s="239" t="s">
        <v>930</v>
      </c>
      <c r="H2094" s="240">
        <f t="shared" si="32"/>
        <v>162109</v>
      </c>
      <c r="I2094" s="241"/>
      <c r="J2094" s="221" t="b">
        <f>EXACT(E2095,[1]Main!E2095)</f>
        <v>1</v>
      </c>
    </row>
    <row r="2095" spans="1:10" x14ac:dyDescent="0.25">
      <c r="A2095" s="249">
        <v>45133</v>
      </c>
      <c r="B2095" s="237"/>
      <c r="C2095" s="238"/>
      <c r="D2095" s="349"/>
      <c r="E2095" s="237">
        <v>170</v>
      </c>
      <c r="F2095" s="242" t="s">
        <v>7</v>
      </c>
      <c r="G2095" s="239" t="s">
        <v>930</v>
      </c>
      <c r="H2095" s="240">
        <f t="shared" si="32"/>
        <v>161939</v>
      </c>
      <c r="I2095" s="241"/>
      <c r="J2095" s="221" t="b">
        <f>EXACT(E2096,[1]Main!E2096)</f>
        <v>1</v>
      </c>
    </row>
    <row r="2096" spans="1:10" x14ac:dyDescent="0.25">
      <c r="A2096" s="249">
        <v>45133</v>
      </c>
      <c r="B2096" s="237"/>
      <c r="C2096" s="238"/>
      <c r="D2096" s="349"/>
      <c r="E2096" s="237">
        <v>275</v>
      </c>
      <c r="F2096" s="242" t="s">
        <v>8</v>
      </c>
      <c r="G2096" s="239" t="s">
        <v>930</v>
      </c>
      <c r="H2096" s="240">
        <f t="shared" si="32"/>
        <v>161664</v>
      </c>
      <c r="I2096" s="241"/>
      <c r="J2096" s="221" t="b">
        <f>EXACT(E2097,[1]Main!E2097)</f>
        <v>1</v>
      </c>
    </row>
    <row r="2097" spans="1:10" x14ac:dyDescent="0.25">
      <c r="A2097" s="249">
        <v>45133</v>
      </c>
      <c r="B2097" s="237"/>
      <c r="C2097" s="238"/>
      <c r="D2097" s="349"/>
      <c r="E2097" s="237">
        <v>40</v>
      </c>
      <c r="F2097" s="242" t="s">
        <v>446</v>
      </c>
      <c r="G2097" s="239" t="s">
        <v>931</v>
      </c>
      <c r="H2097" s="240">
        <f t="shared" si="32"/>
        <v>161624</v>
      </c>
      <c r="I2097" s="241"/>
      <c r="J2097" s="221" t="b">
        <f>EXACT(E2098,[1]Main!E2098)</f>
        <v>1</v>
      </c>
    </row>
    <row r="2098" spans="1:10" x14ac:dyDescent="0.25">
      <c r="A2098" s="249">
        <v>45133</v>
      </c>
      <c r="B2098" s="237"/>
      <c r="C2098" s="238"/>
      <c r="D2098" s="349"/>
      <c r="E2098" s="237">
        <v>20</v>
      </c>
      <c r="F2098" s="242" t="s">
        <v>447</v>
      </c>
      <c r="G2098" s="239" t="s">
        <v>931</v>
      </c>
      <c r="H2098" s="240">
        <f t="shared" si="32"/>
        <v>161604</v>
      </c>
      <c r="I2098" s="241"/>
      <c r="J2098" s="221" t="b">
        <f>EXACT(E2099,[1]Main!E2099)</f>
        <v>1</v>
      </c>
    </row>
    <row r="2099" spans="1:10" x14ac:dyDescent="0.25">
      <c r="A2099" s="249">
        <v>45133</v>
      </c>
      <c r="B2099" s="237"/>
      <c r="C2099" s="238"/>
      <c r="D2099" s="349"/>
      <c r="E2099" s="237">
        <v>160</v>
      </c>
      <c r="F2099" s="242" t="s">
        <v>399</v>
      </c>
      <c r="G2099" s="239" t="s">
        <v>930</v>
      </c>
      <c r="H2099" s="240">
        <f t="shared" si="32"/>
        <v>161444</v>
      </c>
      <c r="I2099" s="241"/>
      <c r="J2099" s="221" t="b">
        <f>EXACT(E2100,[1]Main!E2100)</f>
        <v>1</v>
      </c>
    </row>
    <row r="2100" spans="1:10" x14ac:dyDescent="0.25">
      <c r="A2100" s="249">
        <v>45133</v>
      </c>
      <c r="B2100" s="237"/>
      <c r="C2100" s="238"/>
      <c r="D2100" s="349"/>
      <c r="E2100" s="237">
        <v>740</v>
      </c>
      <c r="F2100" s="242" t="s">
        <v>1472</v>
      </c>
      <c r="G2100" s="239" t="s">
        <v>928</v>
      </c>
      <c r="H2100" s="240">
        <f t="shared" si="32"/>
        <v>160704</v>
      </c>
      <c r="I2100" s="241"/>
      <c r="J2100" s="221" t="b">
        <f>EXACT(E2101,[1]Main!E2101)</f>
        <v>1</v>
      </c>
    </row>
    <row r="2101" spans="1:10" x14ac:dyDescent="0.25">
      <c r="A2101" s="249">
        <v>45133</v>
      </c>
      <c r="B2101" s="237"/>
      <c r="C2101" s="238"/>
      <c r="D2101" s="349"/>
      <c r="E2101" s="237">
        <v>740</v>
      </c>
      <c r="F2101" s="242" t="s">
        <v>1474</v>
      </c>
      <c r="G2101" s="239" t="s">
        <v>928</v>
      </c>
      <c r="H2101" s="240">
        <f t="shared" si="32"/>
        <v>159964</v>
      </c>
      <c r="I2101" s="241"/>
      <c r="J2101" s="221" t="b">
        <f>EXACT(E2102,[1]Main!E2102)</f>
        <v>1</v>
      </c>
    </row>
    <row r="2102" spans="1:10" x14ac:dyDescent="0.25">
      <c r="A2102" s="249">
        <v>45133</v>
      </c>
      <c r="B2102" s="237"/>
      <c r="C2102" s="238"/>
      <c r="D2102" s="349"/>
      <c r="E2102" s="237">
        <v>3310</v>
      </c>
      <c r="F2102" s="242" t="s">
        <v>1475</v>
      </c>
      <c r="G2102" s="239" t="s">
        <v>928</v>
      </c>
      <c r="H2102" s="240">
        <f t="shared" si="32"/>
        <v>156654</v>
      </c>
      <c r="I2102" s="241"/>
      <c r="J2102" s="221" t="b">
        <f>EXACT(E2103,[1]Main!E2103)</f>
        <v>1</v>
      </c>
    </row>
    <row r="2103" spans="1:10" x14ac:dyDescent="0.25">
      <c r="A2103" s="249">
        <v>45133</v>
      </c>
      <c r="B2103" s="237"/>
      <c r="C2103" s="238"/>
      <c r="D2103" s="349"/>
      <c r="E2103" s="237">
        <v>75</v>
      </c>
      <c r="F2103" s="242" t="s">
        <v>13</v>
      </c>
      <c r="G2103" s="239" t="s">
        <v>930</v>
      </c>
      <c r="H2103" s="240">
        <f t="shared" si="32"/>
        <v>156579</v>
      </c>
      <c r="I2103" s="241"/>
      <c r="J2103" s="221" t="b">
        <f>EXACT(E2104,[1]Main!E2104)</f>
        <v>1</v>
      </c>
    </row>
    <row r="2104" spans="1:10" x14ac:dyDescent="0.25">
      <c r="A2104" s="249">
        <v>45133</v>
      </c>
      <c r="B2104" s="237"/>
      <c r="C2104" s="238"/>
      <c r="D2104" s="349"/>
      <c r="E2104" s="237">
        <v>125</v>
      </c>
      <c r="F2104" s="242" t="s">
        <v>38</v>
      </c>
      <c r="G2104" s="239" t="s">
        <v>930</v>
      </c>
      <c r="H2104" s="240">
        <f t="shared" si="32"/>
        <v>156454</v>
      </c>
      <c r="I2104" s="241"/>
      <c r="J2104" s="221" t="b">
        <f>EXACT(E2105,[1]Main!E2105)</f>
        <v>1</v>
      </c>
    </row>
    <row r="2105" spans="1:10" x14ac:dyDescent="0.25">
      <c r="A2105" s="249">
        <v>45133</v>
      </c>
      <c r="B2105" s="237"/>
      <c r="C2105" s="238"/>
      <c r="D2105" s="349"/>
      <c r="E2105" s="237">
        <v>1800</v>
      </c>
      <c r="F2105" s="242" t="s">
        <v>58</v>
      </c>
      <c r="G2105" s="239" t="s">
        <v>928</v>
      </c>
      <c r="H2105" s="240">
        <f t="shared" si="32"/>
        <v>154654</v>
      </c>
      <c r="I2105" s="241"/>
      <c r="J2105" s="221" t="b">
        <f>EXACT(E2106,[1]Main!E2106)</f>
        <v>1</v>
      </c>
    </row>
    <row r="2106" spans="1:10" x14ac:dyDescent="0.25">
      <c r="A2106" s="249">
        <v>45133</v>
      </c>
      <c r="B2106" s="237"/>
      <c r="C2106" s="238"/>
      <c r="D2106" s="349"/>
      <c r="E2106" s="237">
        <v>420</v>
      </c>
      <c r="F2106" s="242" t="s">
        <v>1495</v>
      </c>
      <c r="G2106" s="239" t="s">
        <v>928</v>
      </c>
      <c r="H2106" s="240">
        <f t="shared" si="32"/>
        <v>154234</v>
      </c>
      <c r="I2106" s="241"/>
      <c r="J2106" s="221" t="b">
        <f>EXACT(E2107,[1]Main!E2107)</f>
        <v>1</v>
      </c>
    </row>
    <row r="2107" spans="1:10" x14ac:dyDescent="0.25">
      <c r="A2107" s="249">
        <v>45133</v>
      </c>
      <c r="B2107" s="237"/>
      <c r="C2107" s="238"/>
      <c r="D2107" s="349"/>
      <c r="E2107" s="237">
        <v>5000</v>
      </c>
      <c r="F2107" s="242" t="s">
        <v>1476</v>
      </c>
      <c r="G2107" s="239" t="s">
        <v>464</v>
      </c>
      <c r="H2107" s="240">
        <f t="shared" si="32"/>
        <v>149234</v>
      </c>
      <c r="I2107" s="241"/>
      <c r="J2107" s="221" t="b">
        <f>EXACT(E2108,[1]Main!E2108)</f>
        <v>1</v>
      </c>
    </row>
    <row r="2108" spans="1:10" x14ac:dyDescent="0.25">
      <c r="A2108" s="249">
        <v>45133</v>
      </c>
      <c r="B2108" s="237"/>
      <c r="C2108" s="238"/>
      <c r="D2108" s="349"/>
      <c r="E2108" s="237">
        <v>200</v>
      </c>
      <c r="F2108" s="242" t="s">
        <v>52</v>
      </c>
      <c r="G2108" s="239" t="s">
        <v>938</v>
      </c>
      <c r="H2108" s="240">
        <f t="shared" si="32"/>
        <v>149034</v>
      </c>
      <c r="I2108" s="241" t="s">
        <v>1477</v>
      </c>
      <c r="J2108" s="221" t="b">
        <f>EXACT(E2109,[1]Main!E2109)</f>
        <v>1</v>
      </c>
    </row>
    <row r="2109" spans="1:10" x14ac:dyDescent="0.25">
      <c r="A2109" s="249">
        <v>45133</v>
      </c>
      <c r="B2109" s="237"/>
      <c r="C2109" s="238"/>
      <c r="D2109" s="349"/>
      <c r="E2109" s="237">
        <v>1660</v>
      </c>
      <c r="F2109" s="242" t="s">
        <v>63</v>
      </c>
      <c r="G2109" s="239" t="s">
        <v>928</v>
      </c>
      <c r="H2109" s="240">
        <f t="shared" si="32"/>
        <v>147374</v>
      </c>
      <c r="I2109" s="241" t="s">
        <v>1478</v>
      </c>
      <c r="J2109" s="221" t="b">
        <f>EXACT(E2110,[1]Main!E2110)</f>
        <v>1</v>
      </c>
    </row>
    <row r="2110" spans="1:10" x14ac:dyDescent="0.25">
      <c r="A2110" s="249">
        <v>45133</v>
      </c>
      <c r="B2110" s="237"/>
      <c r="C2110" s="238"/>
      <c r="D2110" s="349"/>
      <c r="E2110" s="237">
        <v>95</v>
      </c>
      <c r="F2110" s="242" t="s">
        <v>27</v>
      </c>
      <c r="G2110" s="239" t="s">
        <v>943</v>
      </c>
      <c r="H2110" s="240">
        <f t="shared" si="32"/>
        <v>147279</v>
      </c>
      <c r="I2110" s="241"/>
      <c r="J2110" s="221" t="b">
        <f>EXACT(E2111,[1]Main!E2111)</f>
        <v>1</v>
      </c>
    </row>
    <row r="2111" spans="1:10" x14ac:dyDescent="0.25">
      <c r="A2111" s="249">
        <v>45133</v>
      </c>
      <c r="B2111" s="237"/>
      <c r="C2111" s="238"/>
      <c r="D2111" s="349"/>
      <c r="E2111" s="237">
        <v>150</v>
      </c>
      <c r="F2111" s="242" t="s">
        <v>1479</v>
      </c>
      <c r="G2111" s="239" t="s">
        <v>938</v>
      </c>
      <c r="H2111" s="240">
        <f t="shared" si="32"/>
        <v>147129</v>
      </c>
      <c r="I2111" s="241" t="s">
        <v>1480</v>
      </c>
      <c r="J2111" s="221" t="b">
        <f>EXACT(E2112,[1]Main!E2112)</f>
        <v>1</v>
      </c>
    </row>
    <row r="2112" spans="1:10" x14ac:dyDescent="0.25">
      <c r="A2112" s="249">
        <v>45133</v>
      </c>
      <c r="B2112" s="237"/>
      <c r="C2112" s="238"/>
      <c r="D2112" s="349"/>
      <c r="E2112" s="237"/>
      <c r="F2112" s="242"/>
      <c r="G2112" s="239"/>
      <c r="H2112" s="240">
        <f t="shared" si="32"/>
        <v>147129</v>
      </c>
      <c r="I2112" s="241"/>
      <c r="J2112" s="221" t="b">
        <f>EXACT(E2113,[1]Main!E2113)</f>
        <v>1</v>
      </c>
    </row>
    <row r="2113" spans="1:10" x14ac:dyDescent="0.25">
      <c r="A2113" s="249">
        <v>45133</v>
      </c>
      <c r="B2113" s="237"/>
      <c r="C2113" s="238"/>
      <c r="D2113" s="349"/>
      <c r="E2113" s="237">
        <v>655</v>
      </c>
      <c r="F2113" s="242" t="s">
        <v>1007</v>
      </c>
      <c r="G2113" s="239" t="s">
        <v>928</v>
      </c>
      <c r="H2113" s="240">
        <f t="shared" si="32"/>
        <v>146474</v>
      </c>
      <c r="I2113" s="241"/>
      <c r="J2113" s="221" t="b">
        <f>EXACT(E2114,[1]Main!E2114)</f>
        <v>1</v>
      </c>
    </row>
    <row r="2114" spans="1:10" x14ac:dyDescent="0.25">
      <c r="A2114" s="249">
        <v>45133</v>
      </c>
      <c r="B2114" s="237"/>
      <c r="C2114" s="238"/>
      <c r="D2114" s="349"/>
      <c r="E2114" s="237">
        <v>788</v>
      </c>
      <c r="F2114" s="242" t="s">
        <v>333</v>
      </c>
      <c r="G2114" s="239" t="s">
        <v>928</v>
      </c>
      <c r="H2114" s="240">
        <f t="shared" si="32"/>
        <v>145686</v>
      </c>
      <c r="I2114" s="241"/>
      <c r="J2114" s="221" t="b">
        <f>EXACT(E2115,[1]Main!E2115)</f>
        <v>1</v>
      </c>
    </row>
    <row r="2115" spans="1:10" x14ac:dyDescent="0.25">
      <c r="A2115" s="249">
        <v>45133</v>
      </c>
      <c r="B2115" s="237"/>
      <c r="C2115" s="238"/>
      <c r="D2115" s="349"/>
      <c r="E2115" s="237">
        <v>1100</v>
      </c>
      <c r="F2115" s="242" t="s">
        <v>331</v>
      </c>
      <c r="G2115" s="239" t="s">
        <v>928</v>
      </c>
      <c r="H2115" s="240">
        <f t="shared" si="32"/>
        <v>144586</v>
      </c>
      <c r="I2115" s="241"/>
      <c r="J2115" s="221" t="b">
        <f>EXACT(E2116,[1]Main!E2116)</f>
        <v>1</v>
      </c>
    </row>
    <row r="2116" spans="1:10" x14ac:dyDescent="0.25">
      <c r="A2116" s="249">
        <v>45133</v>
      </c>
      <c r="B2116" s="237"/>
      <c r="C2116" s="238"/>
      <c r="D2116" s="349"/>
      <c r="E2116" s="237">
        <v>2186</v>
      </c>
      <c r="F2116" s="242" t="s">
        <v>12</v>
      </c>
      <c r="G2116" s="239" t="s">
        <v>928</v>
      </c>
      <c r="H2116" s="240">
        <f t="shared" si="32"/>
        <v>142400</v>
      </c>
      <c r="I2116" s="241"/>
      <c r="J2116" s="221" t="b">
        <f>EXACT(E2117,[1]Main!E2117)</f>
        <v>1</v>
      </c>
    </row>
    <row r="2117" spans="1:10" x14ac:dyDescent="0.25">
      <c r="A2117" s="249">
        <v>45133</v>
      </c>
      <c r="B2117" s="237"/>
      <c r="C2117" s="238"/>
      <c r="D2117" s="349"/>
      <c r="E2117" s="237">
        <v>520</v>
      </c>
      <c r="F2117" s="242" t="s">
        <v>56</v>
      </c>
      <c r="G2117" s="239" t="s">
        <v>928</v>
      </c>
      <c r="H2117" s="240">
        <f t="shared" si="32"/>
        <v>141880</v>
      </c>
      <c r="I2117" s="241"/>
      <c r="J2117" s="221" t="b">
        <f>EXACT(E2118,[1]Main!E2118)</f>
        <v>1</v>
      </c>
    </row>
    <row r="2118" spans="1:10" x14ac:dyDescent="0.25">
      <c r="A2118" s="249">
        <v>45133</v>
      </c>
      <c r="B2118" s="237"/>
      <c r="C2118" s="238"/>
      <c r="D2118" s="349"/>
      <c r="E2118" s="237">
        <v>280</v>
      </c>
      <c r="F2118" s="242" t="s">
        <v>61</v>
      </c>
      <c r="G2118" s="239" t="s">
        <v>928</v>
      </c>
      <c r="H2118" s="240">
        <f t="shared" si="32"/>
        <v>141600</v>
      </c>
      <c r="I2118" s="241"/>
      <c r="J2118" s="221" t="b">
        <f>EXACT(E2119,[1]Main!E2119)</f>
        <v>1</v>
      </c>
    </row>
    <row r="2119" spans="1:10" x14ac:dyDescent="0.25">
      <c r="A2119" s="249">
        <v>45133</v>
      </c>
      <c r="B2119" s="237"/>
      <c r="C2119" s="238"/>
      <c r="D2119" s="349"/>
      <c r="E2119" s="237">
        <v>695</v>
      </c>
      <c r="F2119" s="242" t="s">
        <v>1481</v>
      </c>
      <c r="G2119" s="239" t="s">
        <v>928</v>
      </c>
      <c r="H2119" s="240">
        <f t="shared" ref="H2119:H2169" si="33">H2118+B2119-E2119</f>
        <v>140905</v>
      </c>
      <c r="I2119" s="241"/>
      <c r="J2119" s="221" t="b">
        <f>EXACT(E2120,[1]Main!E2120)</f>
        <v>1</v>
      </c>
    </row>
    <row r="2120" spans="1:10" x14ac:dyDescent="0.25">
      <c r="A2120" s="249">
        <v>45133</v>
      </c>
      <c r="B2120" s="237"/>
      <c r="C2120" s="238"/>
      <c r="D2120" s="349"/>
      <c r="E2120" s="237">
        <v>460</v>
      </c>
      <c r="F2120" s="242" t="s">
        <v>1482</v>
      </c>
      <c r="G2120" s="239" t="s">
        <v>928</v>
      </c>
      <c r="H2120" s="240">
        <f t="shared" si="33"/>
        <v>140445</v>
      </c>
      <c r="I2120" s="241"/>
      <c r="J2120" s="221" t="b">
        <f>EXACT(E2121,[1]Main!E2121)</f>
        <v>1</v>
      </c>
    </row>
    <row r="2121" spans="1:10" x14ac:dyDescent="0.25">
      <c r="A2121" s="249">
        <v>45133</v>
      </c>
      <c r="B2121" s="237"/>
      <c r="C2121" s="238"/>
      <c r="D2121" s="349"/>
      <c r="E2121" s="237">
        <v>750</v>
      </c>
      <c r="F2121" s="242" t="s">
        <v>1483</v>
      </c>
      <c r="G2121" s="239" t="s">
        <v>928</v>
      </c>
      <c r="H2121" s="240">
        <f t="shared" si="33"/>
        <v>139695</v>
      </c>
      <c r="I2121" s="241"/>
      <c r="J2121" s="221" t="b">
        <f>EXACT(E2122,[1]Main!E2122)</f>
        <v>1</v>
      </c>
    </row>
    <row r="2122" spans="1:10" x14ac:dyDescent="0.25">
      <c r="A2122" s="249">
        <v>45133</v>
      </c>
      <c r="B2122" s="237"/>
      <c r="C2122" s="238"/>
      <c r="D2122" s="349"/>
      <c r="E2122" s="237">
        <v>1580</v>
      </c>
      <c r="F2122" s="242" t="s">
        <v>1484</v>
      </c>
      <c r="G2122" s="239" t="s">
        <v>928</v>
      </c>
      <c r="H2122" s="240">
        <f t="shared" si="33"/>
        <v>138115</v>
      </c>
      <c r="I2122" s="241"/>
      <c r="J2122" s="221" t="b">
        <f>EXACT(E2123,[1]Main!E2123)</f>
        <v>1</v>
      </c>
    </row>
    <row r="2123" spans="1:10" x14ac:dyDescent="0.25">
      <c r="A2123" s="249">
        <v>45133</v>
      </c>
      <c r="B2123" s="237"/>
      <c r="C2123" s="238"/>
      <c r="D2123" s="349"/>
      <c r="E2123" s="237">
        <v>125</v>
      </c>
      <c r="F2123" s="242" t="s">
        <v>300</v>
      </c>
      <c r="G2123" s="239" t="s">
        <v>1098</v>
      </c>
      <c r="H2123" s="240">
        <f t="shared" si="33"/>
        <v>137990</v>
      </c>
      <c r="I2123" s="241"/>
      <c r="J2123" s="221" t="b">
        <f>EXACT(E2124,[1]Main!E2124)</f>
        <v>1</v>
      </c>
    </row>
    <row r="2124" spans="1:10" x14ac:dyDescent="0.25">
      <c r="A2124" s="249">
        <v>45133</v>
      </c>
      <c r="B2124" s="237"/>
      <c r="C2124" s="238"/>
      <c r="D2124" s="349"/>
      <c r="E2124" s="237">
        <v>19</v>
      </c>
      <c r="F2124" s="242" t="s">
        <v>54</v>
      </c>
      <c r="G2124" s="239" t="s">
        <v>938</v>
      </c>
      <c r="H2124" s="240">
        <f t="shared" si="33"/>
        <v>137971</v>
      </c>
      <c r="I2124" s="241"/>
      <c r="J2124" s="221" t="b">
        <f>EXACT(E2125,[1]Main!E2125)</f>
        <v>1</v>
      </c>
    </row>
    <row r="2125" spans="1:10" x14ac:dyDescent="0.25">
      <c r="A2125" s="249">
        <v>45133</v>
      </c>
      <c r="B2125" s="237"/>
      <c r="C2125" s="238"/>
      <c r="D2125" s="349"/>
      <c r="E2125" s="237">
        <f>20*105+5*125+3*110+30*105+2*110</f>
        <v>6425</v>
      </c>
      <c r="F2125" s="242" t="s">
        <v>16</v>
      </c>
      <c r="G2125" s="239" t="s">
        <v>936</v>
      </c>
      <c r="H2125" s="240">
        <f t="shared" si="33"/>
        <v>131546</v>
      </c>
      <c r="I2125" s="241"/>
      <c r="J2125" s="221" t="b">
        <f>EXACT(E2126,[1]Main!E2126)</f>
        <v>1</v>
      </c>
    </row>
    <row r="2126" spans="1:10" x14ac:dyDescent="0.25">
      <c r="A2126" s="249">
        <v>45133</v>
      </c>
      <c r="B2126" s="237"/>
      <c r="C2126" s="238"/>
      <c r="D2126" s="349"/>
      <c r="E2126" s="237">
        <v>5000</v>
      </c>
      <c r="F2126" s="242" t="s">
        <v>182</v>
      </c>
      <c r="G2126" s="239" t="s">
        <v>941</v>
      </c>
      <c r="H2126" s="240">
        <f t="shared" si="33"/>
        <v>126546</v>
      </c>
      <c r="I2126" s="241"/>
      <c r="J2126" s="221" t="b">
        <f>EXACT(E2127,[1]Main!E2127)</f>
        <v>1</v>
      </c>
    </row>
    <row r="2127" spans="1:10" x14ac:dyDescent="0.25">
      <c r="A2127" s="249">
        <v>45133</v>
      </c>
      <c r="B2127" s="237"/>
      <c r="C2127" s="238"/>
      <c r="D2127" s="349"/>
      <c r="E2127" s="237">
        <v>2340</v>
      </c>
      <c r="F2127" s="242" t="s">
        <v>1485</v>
      </c>
      <c r="G2127" s="239" t="s">
        <v>928</v>
      </c>
      <c r="H2127" s="240">
        <f t="shared" si="33"/>
        <v>124206</v>
      </c>
      <c r="I2127" s="241" t="s">
        <v>1137</v>
      </c>
      <c r="J2127" s="221" t="b">
        <f>EXACT(E2128,[1]Main!E2128)</f>
        <v>1</v>
      </c>
    </row>
    <row r="2128" spans="1:10" x14ac:dyDescent="0.25">
      <c r="A2128" s="249">
        <v>45133</v>
      </c>
      <c r="B2128" s="237"/>
      <c r="C2128" s="238"/>
      <c r="D2128" s="349"/>
      <c r="E2128" s="237">
        <v>5000</v>
      </c>
      <c r="F2128" s="242" t="s">
        <v>1486</v>
      </c>
      <c r="G2128" s="239" t="s">
        <v>928</v>
      </c>
      <c r="H2128" s="240">
        <f t="shared" si="33"/>
        <v>119206</v>
      </c>
      <c r="I2128" s="241" t="s">
        <v>1487</v>
      </c>
      <c r="J2128" s="221" t="b">
        <f>EXACT(E2129,[1]Main!E2129)</f>
        <v>1</v>
      </c>
    </row>
    <row r="2129" spans="1:10" x14ac:dyDescent="0.25">
      <c r="A2129" s="249">
        <v>45133</v>
      </c>
      <c r="B2129" s="237"/>
      <c r="C2129" s="238"/>
      <c r="D2129" s="349"/>
      <c r="E2129" s="237">
        <v>20000</v>
      </c>
      <c r="F2129" s="242" t="s">
        <v>1488</v>
      </c>
      <c r="G2129" s="239" t="s">
        <v>928</v>
      </c>
      <c r="H2129" s="240">
        <f t="shared" si="33"/>
        <v>99206</v>
      </c>
      <c r="I2129" s="241"/>
      <c r="J2129" s="221" t="b">
        <f>EXACT(E2130,[1]Main!E2130)</f>
        <v>1</v>
      </c>
    </row>
    <row r="2130" spans="1:10" x14ac:dyDescent="0.25">
      <c r="A2130" s="249">
        <v>45133</v>
      </c>
      <c r="B2130" s="237"/>
      <c r="C2130" s="238"/>
      <c r="D2130" s="349"/>
      <c r="E2130" s="237">
        <v>5000</v>
      </c>
      <c r="F2130" s="242" t="s">
        <v>1489</v>
      </c>
      <c r="G2130" s="239" t="s">
        <v>928</v>
      </c>
      <c r="H2130" s="240">
        <f t="shared" si="33"/>
        <v>94206</v>
      </c>
      <c r="I2130" s="241" t="s">
        <v>791</v>
      </c>
      <c r="J2130" s="221" t="b">
        <f>EXACT(E2131,[1]Main!E2131)</f>
        <v>1</v>
      </c>
    </row>
    <row r="2131" spans="1:10" x14ac:dyDescent="0.25">
      <c r="A2131" s="249">
        <v>45133</v>
      </c>
      <c r="B2131" s="237"/>
      <c r="C2131" s="238"/>
      <c r="D2131" s="349"/>
      <c r="E2131" s="237">
        <f>1430-25</f>
        <v>1405</v>
      </c>
      <c r="F2131" s="242" t="s">
        <v>14</v>
      </c>
      <c r="G2131" s="239" t="s">
        <v>928</v>
      </c>
      <c r="H2131" s="240">
        <f t="shared" si="33"/>
        <v>92801</v>
      </c>
      <c r="I2131" s="241"/>
      <c r="J2131" s="221" t="b">
        <f>EXACT(E2132,[1]Main!E2132)</f>
        <v>1</v>
      </c>
    </row>
    <row r="2132" spans="1:10" x14ac:dyDescent="0.25">
      <c r="A2132" s="249">
        <v>45133</v>
      </c>
      <c r="B2132" s="237"/>
      <c r="C2132" s="238"/>
      <c r="D2132" s="349"/>
      <c r="E2132" s="237">
        <v>2000</v>
      </c>
      <c r="F2132" s="242" t="s">
        <v>1490</v>
      </c>
      <c r="G2132" s="239" t="s">
        <v>928</v>
      </c>
      <c r="H2132" s="240">
        <f t="shared" si="33"/>
        <v>90801</v>
      </c>
      <c r="I2132" s="241" t="s">
        <v>815</v>
      </c>
      <c r="J2132" s="221" t="b">
        <f>EXACT(E2133,[1]Main!E2133)</f>
        <v>1</v>
      </c>
    </row>
    <row r="2133" spans="1:10" x14ac:dyDescent="0.25">
      <c r="A2133" s="249">
        <v>45133</v>
      </c>
      <c r="B2133" s="237"/>
      <c r="C2133" s="238"/>
      <c r="D2133" s="349"/>
      <c r="E2133" s="237">
        <v>30</v>
      </c>
      <c r="F2133" s="242" t="s">
        <v>10</v>
      </c>
      <c r="G2133" s="239" t="s">
        <v>931</v>
      </c>
      <c r="H2133" s="240">
        <f t="shared" si="33"/>
        <v>90771</v>
      </c>
      <c r="I2133" s="241"/>
      <c r="J2133" s="221" t="b">
        <f>EXACT(E2134,[1]Main!E2134)</f>
        <v>1</v>
      </c>
    </row>
    <row r="2134" spans="1:10" x14ac:dyDescent="0.25">
      <c r="A2134" s="249">
        <v>45133</v>
      </c>
      <c r="B2134" s="237"/>
      <c r="C2134" s="238"/>
      <c r="D2134" s="349"/>
      <c r="E2134" s="237">
        <v>2630</v>
      </c>
      <c r="F2134" s="242" t="s">
        <v>1491</v>
      </c>
      <c r="G2134" s="239" t="s">
        <v>928</v>
      </c>
      <c r="H2134" s="240">
        <f t="shared" si="33"/>
        <v>88141</v>
      </c>
      <c r="I2134" s="241"/>
      <c r="J2134" s="221" t="b">
        <f>EXACT(E2135,[1]Main!E2135)</f>
        <v>1</v>
      </c>
    </row>
    <row r="2135" spans="1:10" x14ac:dyDescent="0.25">
      <c r="A2135" s="249">
        <v>45133</v>
      </c>
      <c r="B2135" s="237"/>
      <c r="C2135" s="238"/>
      <c r="D2135" s="349"/>
      <c r="E2135" s="237">
        <v>1000</v>
      </c>
      <c r="F2135" s="242" t="s">
        <v>338</v>
      </c>
      <c r="G2135" s="239" t="s">
        <v>928</v>
      </c>
      <c r="H2135" s="240">
        <f t="shared" si="33"/>
        <v>87141</v>
      </c>
      <c r="I2135" s="241" t="s">
        <v>869</v>
      </c>
      <c r="J2135" s="221" t="b">
        <f>EXACT(E2136,[1]Main!E2136)</f>
        <v>1</v>
      </c>
    </row>
    <row r="2136" spans="1:10" x14ac:dyDescent="0.25">
      <c r="A2136" s="249">
        <v>45133</v>
      </c>
      <c r="B2136" s="237"/>
      <c r="C2136" s="238"/>
      <c r="D2136" s="349"/>
      <c r="E2136" s="237">
        <v>190</v>
      </c>
      <c r="F2136" s="242" t="s">
        <v>1450</v>
      </c>
      <c r="G2136" s="239" t="s">
        <v>1098</v>
      </c>
      <c r="H2136" s="240">
        <f t="shared" si="33"/>
        <v>86951</v>
      </c>
      <c r="I2136" s="241"/>
      <c r="J2136" s="221" t="b">
        <f>EXACT(E2137,[1]Main!E2137)</f>
        <v>1</v>
      </c>
    </row>
    <row r="2137" spans="1:10" x14ac:dyDescent="0.25">
      <c r="A2137" s="249">
        <v>45133</v>
      </c>
      <c r="B2137" s="237"/>
      <c r="C2137" s="238"/>
      <c r="D2137" s="349"/>
      <c r="E2137" s="237">
        <v>3000</v>
      </c>
      <c r="F2137" s="242" t="s">
        <v>1492</v>
      </c>
      <c r="G2137" s="239" t="s">
        <v>938</v>
      </c>
      <c r="H2137" s="240">
        <f t="shared" si="33"/>
        <v>83951</v>
      </c>
      <c r="I2137" s="241"/>
      <c r="J2137" s="221" t="b">
        <f>EXACT(E2138,[1]Main!E2138)</f>
        <v>1</v>
      </c>
    </row>
    <row r="2138" spans="1:10" x14ac:dyDescent="0.25">
      <c r="A2138" s="249">
        <v>45133</v>
      </c>
      <c r="B2138" s="237"/>
      <c r="C2138" s="238"/>
      <c r="D2138" s="349"/>
      <c r="E2138" s="237">
        <v>51</v>
      </c>
      <c r="F2138" s="242" t="s">
        <v>315</v>
      </c>
      <c r="G2138" s="239" t="s">
        <v>464</v>
      </c>
      <c r="H2138" s="240">
        <f t="shared" si="33"/>
        <v>83900</v>
      </c>
      <c r="I2138" s="241"/>
      <c r="J2138" s="221" t="b">
        <f>EXACT(E2139,[1]Main!E2139)</f>
        <v>1</v>
      </c>
    </row>
    <row r="2139" spans="1:10" x14ac:dyDescent="0.25">
      <c r="A2139" s="249">
        <v>45133</v>
      </c>
      <c r="B2139" s="237"/>
      <c r="C2139" s="238"/>
      <c r="D2139" s="349"/>
      <c r="E2139" s="237">
        <v>20</v>
      </c>
      <c r="F2139" s="242" t="s">
        <v>555</v>
      </c>
      <c r="G2139" s="239" t="s">
        <v>464</v>
      </c>
      <c r="H2139" s="240">
        <f t="shared" si="33"/>
        <v>83880</v>
      </c>
      <c r="I2139" s="241"/>
      <c r="J2139" s="221" t="b">
        <f>EXACT(E2140,[1]Main!E2140)</f>
        <v>1</v>
      </c>
    </row>
    <row r="2140" spans="1:10" x14ac:dyDescent="0.25">
      <c r="A2140" s="249">
        <v>45133</v>
      </c>
      <c r="B2140" s="237"/>
      <c r="C2140" s="238"/>
      <c r="D2140" s="349"/>
      <c r="E2140" s="237">
        <v>100</v>
      </c>
      <c r="F2140" s="242" t="s">
        <v>1419</v>
      </c>
      <c r="G2140" s="239" t="s">
        <v>1098</v>
      </c>
      <c r="H2140" s="240">
        <f t="shared" si="33"/>
        <v>83780</v>
      </c>
      <c r="I2140" s="241"/>
      <c r="J2140" s="221" t="b">
        <f>EXACT(E2141,[1]Main!E2141)</f>
        <v>1</v>
      </c>
    </row>
    <row r="2141" spans="1:10" x14ac:dyDescent="0.25">
      <c r="A2141" s="249">
        <v>45133</v>
      </c>
      <c r="B2141" s="237"/>
      <c r="C2141" s="238"/>
      <c r="D2141" s="349"/>
      <c r="E2141" s="237">
        <v>100</v>
      </c>
      <c r="F2141" s="242" t="s">
        <v>29</v>
      </c>
      <c r="G2141" s="239" t="s">
        <v>1098</v>
      </c>
      <c r="H2141" s="240">
        <f t="shared" si="33"/>
        <v>83680</v>
      </c>
      <c r="I2141" s="241"/>
      <c r="J2141" s="221" t="b">
        <f>EXACT(E2142,[1]Main!E2142)</f>
        <v>1</v>
      </c>
    </row>
    <row r="2142" spans="1:10" x14ac:dyDescent="0.25">
      <c r="A2142" s="249">
        <v>45133</v>
      </c>
      <c r="B2142" s="237"/>
      <c r="C2142" s="238"/>
      <c r="D2142" s="349"/>
      <c r="E2142" s="237">
        <v>20</v>
      </c>
      <c r="F2142" s="242" t="s">
        <v>1493</v>
      </c>
      <c r="G2142" s="239" t="s">
        <v>464</v>
      </c>
      <c r="H2142" s="240">
        <f t="shared" si="33"/>
        <v>83660</v>
      </c>
      <c r="I2142" s="241"/>
      <c r="J2142" s="221" t="b">
        <f>EXACT(E2143,[1]Main!E2143)</f>
        <v>1</v>
      </c>
    </row>
    <row r="2143" spans="1:10" x14ac:dyDescent="0.25">
      <c r="A2143" s="249">
        <v>45133</v>
      </c>
      <c r="B2143" s="237"/>
      <c r="C2143" s="238"/>
      <c r="D2143" s="349"/>
      <c r="E2143" s="237">
        <v>420</v>
      </c>
      <c r="F2143" s="242" t="s">
        <v>1494</v>
      </c>
      <c r="G2143" s="239" t="s">
        <v>928</v>
      </c>
      <c r="H2143" s="240">
        <f t="shared" si="33"/>
        <v>83240</v>
      </c>
      <c r="I2143" s="241"/>
      <c r="J2143" s="221" t="b">
        <f>EXACT(E2144,[1]Main!E2144)</f>
        <v>1</v>
      </c>
    </row>
    <row r="2144" spans="1:10" x14ac:dyDescent="0.25">
      <c r="A2144" s="249">
        <v>45133</v>
      </c>
      <c r="B2144" s="237"/>
      <c r="C2144" s="238"/>
      <c r="D2144" s="349"/>
      <c r="E2144" s="237">
        <v>118</v>
      </c>
      <c r="F2144" s="242" t="s">
        <v>32</v>
      </c>
      <c r="G2144" s="239" t="s">
        <v>1098</v>
      </c>
      <c r="H2144" s="240">
        <f t="shared" si="33"/>
        <v>83122</v>
      </c>
      <c r="I2144" s="241"/>
      <c r="J2144" s="221" t="b">
        <f>EXACT(E2145,[1]Main!E2145)</f>
        <v>1</v>
      </c>
    </row>
    <row r="2145" spans="1:10" x14ac:dyDescent="0.25">
      <c r="A2145" s="249">
        <v>45133</v>
      </c>
      <c r="B2145" s="237"/>
      <c r="C2145" s="238"/>
      <c r="D2145" s="349"/>
      <c r="E2145" s="237">
        <v>3082</v>
      </c>
      <c r="F2145" s="242" t="s">
        <v>589</v>
      </c>
      <c r="G2145" s="239" t="s">
        <v>928</v>
      </c>
      <c r="H2145" s="240">
        <f t="shared" si="33"/>
        <v>80040</v>
      </c>
      <c r="I2145" s="241"/>
      <c r="J2145" s="221" t="b">
        <f>EXACT(E2146,[1]Main!E2146)</f>
        <v>1</v>
      </c>
    </row>
    <row r="2146" spans="1:10" x14ac:dyDescent="0.25">
      <c r="A2146" s="249">
        <v>45133</v>
      </c>
      <c r="B2146" s="237"/>
      <c r="C2146" s="238"/>
      <c r="D2146" s="349"/>
      <c r="E2146" s="237">
        <v>225</v>
      </c>
      <c r="F2146" s="242" t="s">
        <v>1319</v>
      </c>
      <c r="G2146" s="239" t="s">
        <v>1098</v>
      </c>
      <c r="H2146" s="240">
        <f t="shared" si="33"/>
        <v>79815</v>
      </c>
      <c r="I2146" s="241"/>
      <c r="J2146" s="221" t="b">
        <f>EXACT(E2147,[1]Main!E2147)</f>
        <v>1</v>
      </c>
    </row>
    <row r="2147" spans="1:10" x14ac:dyDescent="0.25">
      <c r="A2147" s="249">
        <v>45133</v>
      </c>
      <c r="B2147" s="237"/>
      <c r="C2147" s="238"/>
      <c r="D2147" s="349"/>
      <c r="E2147" s="237">
        <v>18000</v>
      </c>
      <c r="F2147" s="242" t="s">
        <v>27</v>
      </c>
      <c r="G2147" s="239" t="s">
        <v>943</v>
      </c>
      <c r="H2147" s="240">
        <f t="shared" si="33"/>
        <v>61815</v>
      </c>
      <c r="I2147" s="241" t="s">
        <v>750</v>
      </c>
      <c r="J2147" s="221" t="b">
        <f>EXACT(E2148,[1]Main!E2148)</f>
        <v>1</v>
      </c>
    </row>
    <row r="2148" spans="1:10" x14ac:dyDescent="0.25">
      <c r="A2148" s="249">
        <v>45133</v>
      </c>
      <c r="B2148" s="237"/>
      <c r="C2148" s="238"/>
      <c r="D2148" s="349"/>
      <c r="E2148" s="237">
        <v>140</v>
      </c>
      <c r="F2148" s="242" t="s">
        <v>341</v>
      </c>
      <c r="G2148" s="239" t="s">
        <v>1098</v>
      </c>
      <c r="H2148" s="240">
        <f t="shared" si="33"/>
        <v>61675</v>
      </c>
      <c r="I2148" s="241"/>
      <c r="J2148" s="221" t="b">
        <f>EXACT(E2149,[1]Main!E2149)</f>
        <v>1</v>
      </c>
    </row>
    <row r="2149" spans="1:10" x14ac:dyDescent="0.25">
      <c r="A2149" s="249">
        <v>45133</v>
      </c>
      <c r="B2149" s="237"/>
      <c r="C2149" s="238"/>
      <c r="D2149" s="349"/>
      <c r="E2149" s="237">
        <v>354</v>
      </c>
      <c r="F2149" s="242" t="s">
        <v>252</v>
      </c>
      <c r="G2149" s="239" t="s">
        <v>928</v>
      </c>
      <c r="H2149" s="240">
        <f t="shared" si="33"/>
        <v>61321</v>
      </c>
      <c r="I2149" s="241"/>
      <c r="J2149" s="221" t="b">
        <f>EXACT(E2150,[1]Main!E2150)</f>
        <v>1</v>
      </c>
    </row>
    <row r="2150" spans="1:10" x14ac:dyDescent="0.25">
      <c r="A2150" s="249">
        <v>45133</v>
      </c>
      <c r="B2150" s="237"/>
      <c r="C2150" s="238"/>
      <c r="D2150" s="349"/>
      <c r="E2150" s="237">
        <v>205</v>
      </c>
      <c r="F2150" s="242" t="s">
        <v>255</v>
      </c>
      <c r="G2150" s="239" t="s">
        <v>930</v>
      </c>
      <c r="H2150" s="240">
        <f t="shared" si="33"/>
        <v>61116</v>
      </c>
      <c r="I2150" s="241"/>
      <c r="J2150" s="221" t="b">
        <f>EXACT(E2151,[1]Main!E2151)</f>
        <v>1</v>
      </c>
    </row>
    <row r="2151" spans="1:10" x14ac:dyDescent="0.25">
      <c r="A2151" s="249">
        <v>45133</v>
      </c>
      <c r="B2151" s="237"/>
      <c r="C2151" s="238"/>
      <c r="D2151" s="349"/>
      <c r="E2151" s="237">
        <v>168</v>
      </c>
      <c r="F2151" s="242" t="s">
        <v>211</v>
      </c>
      <c r="G2151" s="239" t="s">
        <v>930</v>
      </c>
      <c r="H2151" s="240">
        <f t="shared" si="33"/>
        <v>60948</v>
      </c>
      <c r="I2151" s="241"/>
      <c r="J2151" s="221" t="b">
        <f>EXACT(E2152,[1]Main!E2152)</f>
        <v>1</v>
      </c>
    </row>
    <row r="2152" spans="1:10" x14ac:dyDescent="0.25">
      <c r="A2152" s="249">
        <v>45133</v>
      </c>
      <c r="B2152" s="237"/>
      <c r="C2152" s="238"/>
      <c r="D2152" s="349"/>
      <c r="E2152" s="237">
        <v>40</v>
      </c>
      <c r="F2152" s="242" t="s">
        <v>212</v>
      </c>
      <c r="G2152" s="239" t="s">
        <v>464</v>
      </c>
      <c r="H2152" s="240">
        <f t="shared" si="33"/>
        <v>60908</v>
      </c>
      <c r="I2152" s="241"/>
      <c r="J2152" s="221" t="b">
        <f>EXACT(E2153,[1]Main!E2153)</f>
        <v>1</v>
      </c>
    </row>
    <row r="2153" spans="1:10" x14ac:dyDescent="0.25">
      <c r="A2153" s="249">
        <v>45133</v>
      </c>
      <c r="B2153" s="237"/>
      <c r="C2153" s="238"/>
      <c r="D2153" s="349"/>
      <c r="E2153" s="237">
        <v>120</v>
      </c>
      <c r="F2153" s="242" t="s">
        <v>288</v>
      </c>
      <c r="G2153" s="239" t="s">
        <v>930</v>
      </c>
      <c r="H2153" s="240">
        <f t="shared" si="33"/>
        <v>60788</v>
      </c>
      <c r="I2153" s="241"/>
      <c r="J2153" s="221" t="b">
        <f>EXACT(E2154,[1]Main!E2154)</f>
        <v>1</v>
      </c>
    </row>
    <row r="2154" spans="1:10" x14ac:dyDescent="0.25">
      <c r="A2154" s="249">
        <v>45133</v>
      </c>
      <c r="B2154" s="237"/>
      <c r="C2154" s="238"/>
      <c r="D2154" s="349"/>
      <c r="E2154" s="237">
        <v>120</v>
      </c>
      <c r="F2154" s="242" t="s">
        <v>393</v>
      </c>
      <c r="G2154" s="239" t="s">
        <v>930</v>
      </c>
      <c r="H2154" s="240">
        <f t="shared" si="33"/>
        <v>60668</v>
      </c>
      <c r="I2154" s="241"/>
      <c r="J2154" s="221" t="b">
        <f>EXACT(E2155,[1]Main!E2155)</f>
        <v>1</v>
      </c>
    </row>
    <row r="2155" spans="1:10" x14ac:dyDescent="0.25">
      <c r="A2155" s="249">
        <v>45133</v>
      </c>
      <c r="B2155" s="237"/>
      <c r="C2155" s="238"/>
      <c r="D2155" s="349"/>
      <c r="E2155" s="237">
        <v>68</v>
      </c>
      <c r="F2155" s="242" t="s">
        <v>339</v>
      </c>
      <c r="G2155" s="239" t="s">
        <v>928</v>
      </c>
      <c r="H2155" s="240">
        <f t="shared" si="33"/>
        <v>60600</v>
      </c>
      <c r="I2155" s="241"/>
      <c r="J2155" s="221" t="b">
        <f>EXACT(E2156,[1]Main!E2156)</f>
        <v>1</v>
      </c>
    </row>
    <row r="2156" spans="1:10" x14ac:dyDescent="0.25">
      <c r="A2156" s="249">
        <v>45133</v>
      </c>
      <c r="B2156" s="237"/>
      <c r="C2156" s="238"/>
      <c r="D2156" s="349"/>
      <c r="E2156" s="237">
        <v>260</v>
      </c>
      <c r="F2156" s="242" t="s">
        <v>744</v>
      </c>
      <c r="G2156" s="239" t="s">
        <v>930</v>
      </c>
      <c r="H2156" s="240">
        <f t="shared" si="33"/>
        <v>60340</v>
      </c>
      <c r="I2156" s="241"/>
      <c r="J2156" s="221" t="b">
        <f>EXACT(E2157,[1]Main!E2157)</f>
        <v>1</v>
      </c>
    </row>
    <row r="2157" spans="1:10" x14ac:dyDescent="0.25">
      <c r="A2157" s="249">
        <v>45133</v>
      </c>
      <c r="B2157" s="237"/>
      <c r="C2157" s="238"/>
      <c r="D2157" s="349"/>
      <c r="E2157" s="237">
        <v>140</v>
      </c>
      <c r="F2157" s="242" t="s">
        <v>265</v>
      </c>
      <c r="G2157" s="239" t="s">
        <v>928</v>
      </c>
      <c r="H2157" s="240">
        <f t="shared" si="33"/>
        <v>60200</v>
      </c>
      <c r="I2157" s="241"/>
      <c r="J2157" s="221" t="b">
        <f>EXACT(E2158,[1]Main!E2158)</f>
        <v>1</v>
      </c>
    </row>
    <row r="2158" spans="1:10" x14ac:dyDescent="0.25">
      <c r="A2158" s="249">
        <v>45133</v>
      </c>
      <c r="B2158" s="237"/>
      <c r="C2158" s="238"/>
      <c r="D2158" s="349"/>
      <c r="E2158" s="237">
        <v>140</v>
      </c>
      <c r="F2158" s="242" t="s">
        <v>39</v>
      </c>
      <c r="G2158" s="239" t="s">
        <v>930</v>
      </c>
      <c r="H2158" s="240">
        <f t="shared" si="33"/>
        <v>60060</v>
      </c>
      <c r="I2158" s="241"/>
      <c r="J2158" s="221" t="b">
        <f>EXACT(E2159,[1]Main!E2159)</f>
        <v>1</v>
      </c>
    </row>
    <row r="2159" spans="1:10" x14ac:dyDescent="0.25">
      <c r="A2159" s="249">
        <v>45133</v>
      </c>
      <c r="B2159" s="237"/>
      <c r="C2159" s="238"/>
      <c r="D2159" s="349"/>
      <c r="E2159" s="237">
        <v>190</v>
      </c>
      <c r="F2159" s="242" t="s">
        <v>34</v>
      </c>
      <c r="G2159" s="239" t="s">
        <v>928</v>
      </c>
      <c r="H2159" s="240">
        <f t="shared" si="33"/>
        <v>59870</v>
      </c>
      <c r="I2159" s="241"/>
      <c r="J2159" s="221" t="b">
        <f>EXACT(E2160,[1]Main!E2160)</f>
        <v>1</v>
      </c>
    </row>
    <row r="2160" spans="1:10" x14ac:dyDescent="0.25">
      <c r="A2160" s="249">
        <v>45133</v>
      </c>
      <c r="B2160" s="237"/>
      <c r="C2160" s="238"/>
      <c r="D2160" s="349"/>
      <c r="E2160" s="237">
        <v>2320</v>
      </c>
      <c r="F2160" s="242" t="s">
        <v>12</v>
      </c>
      <c r="G2160" s="239" t="s">
        <v>928</v>
      </c>
      <c r="H2160" s="240">
        <f t="shared" si="33"/>
        <v>57550</v>
      </c>
      <c r="I2160" s="241"/>
      <c r="J2160" s="221" t="b">
        <f>EXACT(E2161,[1]Main!E2161)</f>
        <v>1</v>
      </c>
    </row>
    <row r="2161" spans="1:10" x14ac:dyDescent="0.25">
      <c r="A2161" s="249">
        <v>45133</v>
      </c>
      <c r="B2161" s="237"/>
      <c r="C2161" s="238"/>
      <c r="D2161" s="349"/>
      <c r="E2161" s="237">
        <v>1060</v>
      </c>
      <c r="F2161" s="242" t="s">
        <v>1495</v>
      </c>
      <c r="G2161" s="239" t="s">
        <v>928</v>
      </c>
      <c r="H2161" s="240">
        <f t="shared" si="33"/>
        <v>56490</v>
      </c>
      <c r="I2161" s="241"/>
      <c r="J2161" s="221" t="b">
        <f>EXACT(E2162,[1]Main!E2162)</f>
        <v>1</v>
      </c>
    </row>
    <row r="2162" spans="1:10" x14ac:dyDescent="0.25">
      <c r="A2162" s="249">
        <v>45133</v>
      </c>
      <c r="B2162" s="237"/>
      <c r="C2162" s="238"/>
      <c r="D2162" s="349"/>
      <c r="E2162" s="237">
        <v>1425</v>
      </c>
      <c r="F2162" s="242" t="s">
        <v>51</v>
      </c>
      <c r="G2162" s="239" t="s">
        <v>928</v>
      </c>
      <c r="H2162" s="240">
        <f t="shared" si="33"/>
        <v>55065</v>
      </c>
      <c r="I2162" s="241"/>
      <c r="J2162" s="221" t="b">
        <f>EXACT(E2163,[1]Main!E2163)</f>
        <v>1</v>
      </c>
    </row>
    <row r="2163" spans="1:10" x14ac:dyDescent="0.25">
      <c r="A2163" s="249">
        <v>45133</v>
      </c>
      <c r="B2163" s="237"/>
      <c r="C2163" s="238"/>
      <c r="D2163" s="349"/>
      <c r="E2163" s="237">
        <v>50</v>
      </c>
      <c r="F2163" s="242" t="s">
        <v>1073</v>
      </c>
      <c r="G2163" s="239" t="s">
        <v>930</v>
      </c>
      <c r="H2163" s="240">
        <f t="shared" si="33"/>
        <v>55015</v>
      </c>
      <c r="I2163" s="241"/>
      <c r="J2163" s="221" t="b">
        <f>EXACT(E2164,[1]Main!E2164)</f>
        <v>1</v>
      </c>
    </row>
    <row r="2164" spans="1:10" x14ac:dyDescent="0.25">
      <c r="A2164" s="249">
        <v>45133</v>
      </c>
      <c r="B2164" s="237"/>
      <c r="C2164" s="238"/>
      <c r="D2164" s="349"/>
      <c r="E2164" s="237">
        <v>95</v>
      </c>
      <c r="F2164" s="242" t="s">
        <v>223</v>
      </c>
      <c r="G2164" s="239" t="s">
        <v>930</v>
      </c>
      <c r="H2164" s="240">
        <f t="shared" si="33"/>
        <v>54920</v>
      </c>
      <c r="I2164" s="241"/>
      <c r="J2164" s="221" t="b">
        <f>EXACT(E2165,[1]Main!E2165)</f>
        <v>1</v>
      </c>
    </row>
    <row r="2165" spans="1:10" x14ac:dyDescent="0.25">
      <c r="A2165" s="249">
        <v>45133</v>
      </c>
      <c r="B2165" s="237"/>
      <c r="C2165" s="238"/>
      <c r="D2165" s="349"/>
      <c r="E2165" s="237">
        <v>80</v>
      </c>
      <c r="F2165" s="242" t="s">
        <v>1219</v>
      </c>
      <c r="G2165" s="239" t="s">
        <v>930</v>
      </c>
      <c r="H2165" s="240">
        <f t="shared" si="33"/>
        <v>54840</v>
      </c>
      <c r="I2165" s="241"/>
      <c r="J2165" s="221" t="b">
        <f>EXACT(E2166,[1]Main!E2166)</f>
        <v>1</v>
      </c>
    </row>
    <row r="2166" spans="1:10" x14ac:dyDescent="0.25">
      <c r="A2166" s="249">
        <v>45133</v>
      </c>
      <c r="B2166" s="237"/>
      <c r="C2166" s="238"/>
      <c r="D2166" s="349"/>
      <c r="E2166" s="237">
        <v>215</v>
      </c>
      <c r="F2166" s="242" t="s">
        <v>741</v>
      </c>
      <c r="G2166" s="239" t="s">
        <v>930</v>
      </c>
      <c r="H2166" s="240">
        <f t="shared" si="33"/>
        <v>54625</v>
      </c>
      <c r="I2166" s="241"/>
      <c r="J2166" s="221" t="b">
        <f>EXACT(E2167,[1]Main!E2167)</f>
        <v>1</v>
      </c>
    </row>
    <row r="2167" spans="1:10" x14ac:dyDescent="0.25">
      <c r="A2167" s="249">
        <v>45133</v>
      </c>
      <c r="B2167" s="237"/>
      <c r="C2167" s="238"/>
      <c r="D2167" s="349"/>
      <c r="E2167" s="237">
        <v>100</v>
      </c>
      <c r="F2167" s="242" t="s">
        <v>376</v>
      </c>
      <c r="G2167" s="239" t="s">
        <v>930</v>
      </c>
      <c r="H2167" s="240">
        <f t="shared" si="33"/>
        <v>54525</v>
      </c>
      <c r="I2167" s="241"/>
      <c r="J2167" s="221" t="b">
        <f>EXACT(E2168,[1]Main!E2168)</f>
        <v>1</v>
      </c>
    </row>
    <row r="2168" spans="1:10" x14ac:dyDescent="0.25">
      <c r="A2168" s="249">
        <v>45133</v>
      </c>
      <c r="B2168" s="237"/>
      <c r="C2168" s="238"/>
      <c r="D2168" s="349"/>
      <c r="E2168" s="237">
        <v>80</v>
      </c>
      <c r="F2168" s="242" t="s">
        <v>26</v>
      </c>
      <c r="G2168" s="239" t="s">
        <v>930</v>
      </c>
      <c r="H2168" s="240">
        <f t="shared" si="33"/>
        <v>54445</v>
      </c>
      <c r="I2168" s="241"/>
      <c r="J2168" s="221" t="b">
        <f>EXACT(E2169,[1]Main!E2169)</f>
        <v>1</v>
      </c>
    </row>
    <row r="2169" spans="1:10" x14ac:dyDescent="0.25">
      <c r="A2169" s="249">
        <v>45133</v>
      </c>
      <c r="B2169" s="237"/>
      <c r="C2169" s="238"/>
      <c r="D2169" s="349"/>
      <c r="E2169" s="237">
        <v>130</v>
      </c>
      <c r="F2169" s="242" t="s">
        <v>1162</v>
      </c>
      <c r="G2169" s="239" t="s">
        <v>930</v>
      </c>
      <c r="H2169" s="240">
        <f t="shared" si="33"/>
        <v>54315</v>
      </c>
      <c r="I2169" s="241"/>
      <c r="J2169" s="221" t="b">
        <f>EXACT(E2170,[1]Main!E2170)</f>
        <v>1</v>
      </c>
    </row>
    <row r="2170" spans="1:10" x14ac:dyDescent="0.25">
      <c r="A2170" s="324"/>
      <c r="B2170" s="325"/>
      <c r="C2170" s="326"/>
      <c r="D2170" s="327"/>
      <c r="E2170" s="325"/>
      <c r="F2170" s="328"/>
      <c r="G2170" s="327"/>
      <c r="H2170" s="379"/>
      <c r="I2170" s="329"/>
      <c r="J2170" s="221" t="b">
        <f>EXACT(E2171,[1]Main!E2171)</f>
        <v>1</v>
      </c>
    </row>
    <row r="2171" spans="1:10" x14ac:dyDescent="0.25">
      <c r="A2171" s="249">
        <v>45134</v>
      </c>
      <c r="B2171" s="237">
        <v>210</v>
      </c>
      <c r="C2171" s="238" t="s">
        <v>1504</v>
      </c>
      <c r="D2171" s="349"/>
      <c r="E2171" s="237">
        <v>3000</v>
      </c>
      <c r="F2171" s="242" t="s">
        <v>1499</v>
      </c>
      <c r="G2171" s="239" t="s">
        <v>934</v>
      </c>
      <c r="H2171" s="240">
        <f>H2169+B2171-E2171</f>
        <v>51525</v>
      </c>
      <c r="I2171" s="241" t="s">
        <v>1071</v>
      </c>
      <c r="J2171" s="221" t="b">
        <f>EXACT(E2172,[1]Main!E2172)</f>
        <v>1</v>
      </c>
    </row>
    <row r="2172" spans="1:10" x14ac:dyDescent="0.25">
      <c r="A2172" s="249">
        <v>45134</v>
      </c>
      <c r="B2172" s="351">
        <v>16790</v>
      </c>
      <c r="C2172" s="352" t="s">
        <v>300</v>
      </c>
      <c r="D2172" s="349"/>
      <c r="E2172" s="237">
        <v>15000</v>
      </c>
      <c r="F2172" s="242" t="s">
        <v>1500</v>
      </c>
      <c r="G2172" s="239" t="s">
        <v>464</v>
      </c>
      <c r="H2172" s="240">
        <f t="shared" ref="H2135:H2206" si="34">H2171+B2172-E2172</f>
        <v>53315</v>
      </c>
      <c r="I2172" s="241" t="s">
        <v>1071</v>
      </c>
      <c r="J2172" s="221" t="b">
        <f>EXACT(E2173,[1]Main!E2173)</f>
        <v>1</v>
      </c>
    </row>
    <row r="2173" spans="1:10" x14ac:dyDescent="0.25">
      <c r="A2173" s="249">
        <v>45134</v>
      </c>
      <c r="B2173" s="351">
        <v>960</v>
      </c>
      <c r="C2173" s="352" t="s">
        <v>1135</v>
      </c>
      <c r="D2173" s="349"/>
      <c r="E2173" s="237"/>
      <c r="F2173" s="242"/>
      <c r="G2173" s="239"/>
      <c r="H2173" s="240">
        <f t="shared" si="34"/>
        <v>54275</v>
      </c>
      <c r="I2173" s="241"/>
      <c r="J2173" s="221" t="b">
        <f>EXACT(E2174,[1]Main!E2174)</f>
        <v>1</v>
      </c>
    </row>
    <row r="2174" spans="1:10" x14ac:dyDescent="0.25">
      <c r="A2174" s="249">
        <v>45134</v>
      </c>
      <c r="B2174" s="376">
        <v>14788</v>
      </c>
      <c r="C2174" s="438" t="s">
        <v>60</v>
      </c>
      <c r="D2174" s="349"/>
      <c r="E2174" s="237">
        <v>460</v>
      </c>
      <c r="F2174" s="242" t="s">
        <v>61</v>
      </c>
      <c r="G2174" s="239" t="s">
        <v>974</v>
      </c>
      <c r="H2174" s="240">
        <f t="shared" si="34"/>
        <v>68603</v>
      </c>
      <c r="I2174" s="241"/>
      <c r="J2174" s="221" t="b">
        <f>EXACT(E2175,[1]Main!E2175)</f>
        <v>1</v>
      </c>
    </row>
    <row r="2175" spans="1:10" x14ac:dyDescent="0.25">
      <c r="A2175" s="249">
        <v>45134</v>
      </c>
      <c r="B2175" s="221">
        <v>2886</v>
      </c>
      <c r="C2175" s="219" t="s">
        <v>1509</v>
      </c>
      <c r="E2175" s="237">
        <v>940</v>
      </c>
      <c r="F2175" s="242" t="s">
        <v>1501</v>
      </c>
      <c r="G2175" s="239" t="s">
        <v>928</v>
      </c>
      <c r="H2175" s="240">
        <f t="shared" si="34"/>
        <v>70549</v>
      </c>
      <c r="I2175" s="241" t="s">
        <v>787</v>
      </c>
      <c r="J2175" s="221" t="b">
        <f>EXACT(E2176,[1]Main!E2176)</f>
        <v>1</v>
      </c>
    </row>
    <row r="2176" spans="1:10" x14ac:dyDescent="0.25">
      <c r="A2176" s="249">
        <v>45134</v>
      </c>
      <c r="B2176" s="237">
        <v>105</v>
      </c>
      <c r="C2176" s="238" t="s">
        <v>1504</v>
      </c>
      <c r="D2176" s="349"/>
      <c r="E2176" s="237">
        <v>1730</v>
      </c>
      <c r="F2176" s="242" t="s">
        <v>12</v>
      </c>
      <c r="G2176" s="239" t="s">
        <v>974</v>
      </c>
      <c r="H2176" s="240">
        <f t="shared" si="34"/>
        <v>68924</v>
      </c>
      <c r="I2176" s="241"/>
      <c r="J2176" s="221" t="b">
        <f>EXACT(E2177,[1]Main!E2177)</f>
        <v>1</v>
      </c>
    </row>
    <row r="2177" spans="1:10" x14ac:dyDescent="0.25">
      <c r="A2177" s="249">
        <v>45134</v>
      </c>
      <c r="B2177" s="237">
        <v>100000</v>
      </c>
      <c r="C2177" s="238" t="s">
        <v>1508</v>
      </c>
      <c r="D2177" s="349" t="s">
        <v>938</v>
      </c>
      <c r="E2177" s="237">
        <v>453</v>
      </c>
      <c r="F2177" s="242" t="s">
        <v>252</v>
      </c>
      <c r="G2177" s="239" t="s">
        <v>935</v>
      </c>
      <c r="H2177" s="240">
        <f t="shared" si="34"/>
        <v>168471</v>
      </c>
      <c r="I2177" s="241"/>
      <c r="J2177" s="221" t="b">
        <f>EXACT(E2178,[1]Main!E2178)</f>
        <v>1</v>
      </c>
    </row>
    <row r="2178" spans="1:10" x14ac:dyDescent="0.25">
      <c r="A2178" s="249">
        <v>45134</v>
      </c>
      <c r="B2178" s="237">
        <v>205</v>
      </c>
      <c r="C2178" s="238" t="s">
        <v>1505</v>
      </c>
      <c r="D2178" s="349"/>
      <c r="E2178" s="237">
        <v>545</v>
      </c>
      <c r="F2178" s="242" t="s">
        <v>27</v>
      </c>
      <c r="G2178" s="239" t="s">
        <v>943</v>
      </c>
      <c r="H2178" s="240">
        <f t="shared" si="34"/>
        <v>168131</v>
      </c>
      <c r="I2178" s="241"/>
      <c r="J2178" s="221" t="b">
        <f>EXACT(E2179,[1]Main!E2179)</f>
        <v>1</v>
      </c>
    </row>
    <row r="2179" spans="1:10" x14ac:dyDescent="0.25">
      <c r="A2179" s="249">
        <v>45134</v>
      </c>
      <c r="B2179" s="237">
        <v>305</v>
      </c>
      <c r="C2179" s="238" t="s">
        <v>1505</v>
      </c>
      <c r="D2179" s="349"/>
      <c r="E2179" s="237">
        <v>40</v>
      </c>
      <c r="F2179" s="242" t="s">
        <v>376</v>
      </c>
      <c r="G2179" s="239" t="s">
        <v>930</v>
      </c>
      <c r="H2179" s="240">
        <f t="shared" si="34"/>
        <v>168396</v>
      </c>
      <c r="I2179" s="241"/>
      <c r="J2179" s="221" t="b">
        <f>EXACT(E2180,[1]Main!E2180)</f>
        <v>1</v>
      </c>
    </row>
    <row r="2180" spans="1:10" x14ac:dyDescent="0.25">
      <c r="A2180" s="249">
        <v>45134</v>
      </c>
      <c r="B2180" s="237"/>
      <c r="C2180" s="238"/>
      <c r="D2180" s="349"/>
      <c r="E2180" s="351">
        <v>30</v>
      </c>
      <c r="F2180" s="353" t="s">
        <v>1318</v>
      </c>
      <c r="G2180" s="239" t="s">
        <v>464</v>
      </c>
      <c r="H2180" s="240">
        <f t="shared" si="34"/>
        <v>168366</v>
      </c>
      <c r="I2180" s="241"/>
      <c r="J2180" s="221" t="b">
        <f>EXACT(E2181,[1]Main!E2181)</f>
        <v>1</v>
      </c>
    </row>
    <row r="2181" spans="1:10" x14ac:dyDescent="0.25">
      <c r="A2181" s="249">
        <v>45134</v>
      </c>
      <c r="B2181" s="429">
        <v>11395</v>
      </c>
      <c r="C2181" s="430" t="s">
        <v>1514</v>
      </c>
      <c r="D2181" s="349"/>
      <c r="E2181" s="351">
        <v>20</v>
      </c>
      <c r="F2181" s="353" t="s">
        <v>73</v>
      </c>
      <c r="G2181" s="239" t="s">
        <v>945</v>
      </c>
      <c r="H2181" s="240">
        <f t="shared" si="34"/>
        <v>179741</v>
      </c>
      <c r="I2181" s="241"/>
      <c r="J2181" s="221" t="b">
        <f>EXACT(E2182,[1]Main!E2182)</f>
        <v>1</v>
      </c>
    </row>
    <row r="2182" spans="1:10" x14ac:dyDescent="0.25">
      <c r="A2182" s="249">
        <v>45134</v>
      </c>
      <c r="B2182" s="237">
        <v>200</v>
      </c>
      <c r="C2182" s="238" t="s">
        <v>1061</v>
      </c>
      <c r="D2182" s="349"/>
      <c r="E2182" s="351">
        <v>10</v>
      </c>
      <c r="F2182" s="353" t="s">
        <v>446</v>
      </c>
      <c r="G2182" s="239" t="s">
        <v>931</v>
      </c>
      <c r="H2182" s="240">
        <f t="shared" si="34"/>
        <v>179931</v>
      </c>
      <c r="I2182" s="241"/>
      <c r="J2182" s="221" t="b">
        <f>EXACT(E2183,[1]Main!E2183)</f>
        <v>1</v>
      </c>
    </row>
    <row r="2183" spans="1:10" x14ac:dyDescent="0.25">
      <c r="A2183" s="249">
        <v>45134</v>
      </c>
      <c r="B2183" s="310">
        <v>18412</v>
      </c>
      <c r="C2183" s="312" t="s">
        <v>88</v>
      </c>
      <c r="D2183" s="349"/>
      <c r="E2183" s="351">
        <v>10</v>
      </c>
      <c r="F2183" s="353" t="s">
        <v>447</v>
      </c>
      <c r="G2183" s="239" t="s">
        <v>931</v>
      </c>
      <c r="H2183" s="240">
        <f t="shared" si="34"/>
        <v>198333</v>
      </c>
      <c r="I2183" s="241"/>
      <c r="J2183" s="221" t="b">
        <f>EXACT(E2184,[1]Main!E2184)</f>
        <v>1</v>
      </c>
    </row>
    <row r="2184" spans="1:10" x14ac:dyDescent="0.25">
      <c r="A2184" s="249">
        <v>45134</v>
      </c>
      <c r="B2184" s="310">
        <v>1152</v>
      </c>
      <c r="C2184" s="312" t="s">
        <v>1520</v>
      </c>
      <c r="D2184" s="349"/>
      <c r="E2184" s="351">
        <v>15</v>
      </c>
      <c r="F2184" s="353" t="s">
        <v>1134</v>
      </c>
      <c r="G2184" s="239" t="s">
        <v>464</v>
      </c>
      <c r="H2184" s="240">
        <f t="shared" si="34"/>
        <v>199470</v>
      </c>
      <c r="I2184" s="241"/>
      <c r="J2184" s="221" t="b">
        <f>EXACT(E2185,[1]Main!E2185)</f>
        <v>1</v>
      </c>
    </row>
    <row r="2185" spans="1:10" x14ac:dyDescent="0.25">
      <c r="A2185" s="249">
        <v>45134</v>
      </c>
      <c r="B2185" s="237">
        <v>1450</v>
      </c>
      <c r="C2185" s="238" t="s">
        <v>1521</v>
      </c>
      <c r="D2185" s="349"/>
      <c r="E2185" s="351">
        <v>195</v>
      </c>
      <c r="F2185" s="353" t="s">
        <v>7</v>
      </c>
      <c r="G2185" s="239" t="s">
        <v>930</v>
      </c>
      <c r="H2185" s="240">
        <f t="shared" si="34"/>
        <v>200725</v>
      </c>
      <c r="I2185" s="241"/>
      <c r="J2185" s="221" t="b">
        <f>EXACT(E2186,[1]Main!E2186)</f>
        <v>1</v>
      </c>
    </row>
    <row r="2186" spans="1:10" x14ac:dyDescent="0.25">
      <c r="A2186" s="249">
        <v>45134</v>
      </c>
      <c r="B2186" s="237">
        <v>610</v>
      </c>
      <c r="C2186" s="238" t="s">
        <v>1522</v>
      </c>
      <c r="D2186" s="349"/>
      <c r="E2186" s="351">
        <v>175</v>
      </c>
      <c r="F2186" s="353" t="s">
        <v>373</v>
      </c>
      <c r="G2186" s="239" t="s">
        <v>930</v>
      </c>
      <c r="H2186" s="240">
        <f t="shared" si="34"/>
        <v>201160</v>
      </c>
      <c r="I2186" s="241"/>
      <c r="J2186" s="221" t="b">
        <f>EXACT(E2187,[1]Main!E2187)</f>
        <v>1</v>
      </c>
    </row>
    <row r="2187" spans="1:10" x14ac:dyDescent="0.25">
      <c r="A2187" s="249">
        <v>45134</v>
      </c>
      <c r="B2187" s="439">
        <v>23960</v>
      </c>
      <c r="C2187" s="440" t="s">
        <v>713</v>
      </c>
      <c r="D2187" s="349"/>
      <c r="E2187" s="351">
        <v>180</v>
      </c>
      <c r="F2187" s="353" t="s">
        <v>399</v>
      </c>
      <c r="G2187" s="239" t="s">
        <v>930</v>
      </c>
      <c r="H2187" s="240">
        <f t="shared" si="34"/>
        <v>224940</v>
      </c>
      <c r="I2187" s="241"/>
      <c r="J2187" s="221" t="b">
        <f>EXACT(E2188,[1]Main!E2188)</f>
        <v>1</v>
      </c>
    </row>
    <row r="2188" spans="1:10" x14ac:dyDescent="0.25">
      <c r="A2188" s="249">
        <v>45134</v>
      </c>
      <c r="B2188" s="439">
        <v>642</v>
      </c>
      <c r="C2188" s="440" t="s">
        <v>1524</v>
      </c>
      <c r="D2188" s="349"/>
      <c r="E2188" s="351">
        <v>275</v>
      </c>
      <c r="F2188" s="353" t="s">
        <v>8</v>
      </c>
      <c r="G2188" s="239" t="s">
        <v>930</v>
      </c>
      <c r="H2188" s="240">
        <f t="shared" si="34"/>
        <v>225307</v>
      </c>
      <c r="I2188" s="241"/>
      <c r="J2188" s="221" t="b">
        <f>EXACT(E2189,[1]Main!E2189)</f>
        <v>1</v>
      </c>
    </row>
    <row r="2189" spans="1:10" x14ac:dyDescent="0.25">
      <c r="A2189" s="249">
        <v>45134</v>
      </c>
      <c r="B2189" s="237">
        <v>19515</v>
      </c>
      <c r="C2189" s="238" t="s">
        <v>363</v>
      </c>
      <c r="D2189" s="349"/>
      <c r="E2189" s="351">
        <v>2645</v>
      </c>
      <c r="F2189" s="353" t="s">
        <v>345</v>
      </c>
      <c r="G2189" s="239" t="s">
        <v>928</v>
      </c>
      <c r="H2189" s="240">
        <f t="shared" si="34"/>
        <v>242177</v>
      </c>
      <c r="I2189" s="241"/>
      <c r="J2189" s="221" t="b">
        <f>EXACT(E2190,[1]Main!E2190)</f>
        <v>1</v>
      </c>
    </row>
    <row r="2190" spans="1:10" x14ac:dyDescent="0.25">
      <c r="A2190" s="249">
        <v>45134</v>
      </c>
      <c r="B2190" s="442">
        <v>11940</v>
      </c>
      <c r="C2190" s="444" t="s">
        <v>1162</v>
      </c>
      <c r="D2190" s="349"/>
      <c r="E2190" s="351">
        <v>610</v>
      </c>
      <c r="F2190" s="353" t="s">
        <v>11</v>
      </c>
      <c r="G2190" s="239" t="s">
        <v>935</v>
      </c>
      <c r="H2190" s="240">
        <f t="shared" si="34"/>
        <v>253507</v>
      </c>
      <c r="I2190" s="241"/>
      <c r="J2190" s="221" t="b">
        <f>EXACT(E2191,[1]Main!E2191)</f>
        <v>1</v>
      </c>
    </row>
    <row r="2191" spans="1:10" x14ac:dyDescent="0.25">
      <c r="A2191" s="249">
        <v>45134</v>
      </c>
      <c r="B2191" s="442">
        <v>2058</v>
      </c>
      <c r="C2191" s="444" t="s">
        <v>1298</v>
      </c>
      <c r="D2191" s="349"/>
      <c r="E2191" s="351">
        <v>3320</v>
      </c>
      <c r="F2191" s="353" t="s">
        <v>77</v>
      </c>
      <c r="G2191" s="239" t="s">
        <v>928</v>
      </c>
      <c r="H2191" s="240">
        <f t="shared" si="34"/>
        <v>252245</v>
      </c>
      <c r="I2191" s="241"/>
      <c r="J2191" s="221" t="b">
        <f>EXACT(E2192,[1]Main!E2192)</f>
        <v>1</v>
      </c>
    </row>
    <row r="2192" spans="1:10" x14ac:dyDescent="0.25">
      <c r="A2192" s="249">
        <v>45134</v>
      </c>
      <c r="B2192" s="237">
        <v>14630</v>
      </c>
      <c r="C2192" s="238" t="s">
        <v>1527</v>
      </c>
      <c r="D2192" s="349"/>
      <c r="E2192" s="351">
        <v>466</v>
      </c>
      <c r="F2192" s="353" t="s">
        <v>374</v>
      </c>
      <c r="G2192" s="239" t="s">
        <v>931</v>
      </c>
      <c r="H2192" s="240">
        <f t="shared" si="34"/>
        <v>266409</v>
      </c>
      <c r="I2192" s="241"/>
      <c r="J2192" s="221" t="b">
        <f>EXACT(E2193,[1]Main!E2193)</f>
        <v>1</v>
      </c>
    </row>
    <row r="2193" spans="1:10" x14ac:dyDescent="0.25">
      <c r="A2193" s="249">
        <v>45134</v>
      </c>
      <c r="B2193" s="237">
        <f>1035+34</f>
        <v>1069</v>
      </c>
      <c r="C2193" s="238" t="s">
        <v>430</v>
      </c>
      <c r="D2193" s="349"/>
      <c r="E2193" s="237">
        <v>1000</v>
      </c>
      <c r="F2193" s="242" t="s">
        <v>1133</v>
      </c>
      <c r="G2193" s="239" t="s">
        <v>928</v>
      </c>
      <c r="H2193" s="240">
        <f t="shared" si="34"/>
        <v>266478</v>
      </c>
      <c r="I2193" s="241" t="s">
        <v>796</v>
      </c>
      <c r="J2193" s="221" t="b">
        <f>EXACT(E2194,[1]Main!E2194)</f>
        <v>1</v>
      </c>
    </row>
    <row r="2194" spans="1:10" x14ac:dyDescent="0.25">
      <c r="A2194" s="249">
        <v>45134</v>
      </c>
      <c r="B2194" s="237"/>
      <c r="C2194" s="238"/>
      <c r="D2194" s="349"/>
      <c r="E2194" s="376">
        <v>75</v>
      </c>
      <c r="F2194" s="377" t="s">
        <v>13</v>
      </c>
      <c r="G2194" s="239" t="s">
        <v>930</v>
      </c>
      <c r="H2194" s="240">
        <f t="shared" si="34"/>
        <v>266403</v>
      </c>
      <c r="I2194" s="241"/>
      <c r="J2194" s="221" t="b">
        <f>EXACT(E2195,[1]Main!E2195)</f>
        <v>1</v>
      </c>
    </row>
    <row r="2195" spans="1:10" x14ac:dyDescent="0.25">
      <c r="A2195" s="249">
        <v>45134</v>
      </c>
      <c r="B2195" s="237"/>
      <c r="C2195" s="238"/>
      <c r="D2195" s="349"/>
      <c r="E2195" s="376">
        <v>8</v>
      </c>
      <c r="F2195" s="377" t="s">
        <v>1503</v>
      </c>
      <c r="G2195" s="239" t="s">
        <v>464</v>
      </c>
      <c r="H2195" s="240">
        <f t="shared" si="34"/>
        <v>266395</v>
      </c>
      <c r="I2195" s="241"/>
      <c r="J2195" s="221" t="b">
        <f>EXACT(E2196,[1]Main!E2196)</f>
        <v>1</v>
      </c>
    </row>
    <row r="2196" spans="1:10" x14ac:dyDescent="0.25">
      <c r="A2196" s="249">
        <v>45134</v>
      </c>
      <c r="B2196" s="237"/>
      <c r="C2196" s="238"/>
      <c r="D2196" s="349"/>
      <c r="E2196" s="376">
        <v>133</v>
      </c>
      <c r="F2196" s="377" t="s">
        <v>300</v>
      </c>
      <c r="G2196" s="239" t="s">
        <v>930</v>
      </c>
      <c r="H2196" s="240">
        <f t="shared" si="34"/>
        <v>266262</v>
      </c>
      <c r="I2196" s="241"/>
      <c r="J2196" s="221" t="b">
        <f>EXACT(E2197,[1]Main!E2197)</f>
        <v>1</v>
      </c>
    </row>
    <row r="2197" spans="1:10" x14ac:dyDescent="0.25">
      <c r="A2197" s="249">
        <v>45134</v>
      </c>
      <c r="B2197" s="237"/>
      <c r="C2197" s="238"/>
      <c r="D2197" s="349"/>
      <c r="E2197" s="376">
        <v>114</v>
      </c>
      <c r="F2197" s="377" t="s">
        <v>38</v>
      </c>
      <c r="G2197" s="239" t="s">
        <v>930</v>
      </c>
      <c r="H2197" s="240">
        <f t="shared" si="34"/>
        <v>266148</v>
      </c>
      <c r="I2197" s="241"/>
      <c r="J2197" s="221" t="b">
        <f>EXACT(E2198,[1]Main!E2198)</f>
        <v>1</v>
      </c>
    </row>
    <row r="2198" spans="1:10" x14ac:dyDescent="0.25">
      <c r="A2198" s="249">
        <v>45134</v>
      </c>
      <c r="B2198" s="237"/>
      <c r="C2198" s="238"/>
      <c r="D2198" s="349"/>
      <c r="E2198" s="237">
        <v>125040</v>
      </c>
      <c r="F2198" s="242" t="s">
        <v>346</v>
      </c>
      <c r="G2198" s="239" t="s">
        <v>928</v>
      </c>
      <c r="H2198" s="240">
        <f t="shared" si="34"/>
        <v>141108</v>
      </c>
      <c r="I2198" s="241"/>
      <c r="J2198" s="221" t="b">
        <f>EXACT(E2199,[1]Main!E2199)</f>
        <v>1</v>
      </c>
    </row>
    <row r="2199" spans="1:10" x14ac:dyDescent="0.25">
      <c r="A2199" s="249">
        <v>45134</v>
      </c>
      <c r="B2199" s="237"/>
      <c r="C2199" s="238"/>
      <c r="D2199" s="349"/>
      <c r="E2199" s="237">
        <v>195</v>
      </c>
      <c r="F2199" s="242" t="s">
        <v>708</v>
      </c>
      <c r="G2199" s="239" t="s">
        <v>930</v>
      </c>
      <c r="H2199" s="240">
        <f t="shared" si="34"/>
        <v>140913</v>
      </c>
      <c r="I2199" s="241"/>
      <c r="J2199" s="221" t="b">
        <f>EXACT(E2200,[1]Main!E2200)</f>
        <v>1</v>
      </c>
    </row>
    <row r="2200" spans="1:10" x14ac:dyDescent="0.25">
      <c r="A2200" s="249">
        <v>45134</v>
      </c>
      <c r="B2200" s="237"/>
      <c r="C2200" s="238"/>
      <c r="D2200" s="349"/>
      <c r="E2200" s="237">
        <v>1580</v>
      </c>
      <c r="F2200" s="242" t="s">
        <v>1506</v>
      </c>
      <c r="G2200" s="239" t="s">
        <v>930</v>
      </c>
      <c r="H2200" s="240">
        <f t="shared" si="34"/>
        <v>139333</v>
      </c>
      <c r="I2200" s="241" t="s">
        <v>796</v>
      </c>
      <c r="J2200" s="221" t="b">
        <f>EXACT(E2201,[1]Main!E2201)</f>
        <v>1</v>
      </c>
    </row>
    <row r="2201" spans="1:10" x14ac:dyDescent="0.25">
      <c r="A2201" s="249">
        <v>45134</v>
      </c>
      <c r="B2201" s="237"/>
      <c r="C2201" s="238"/>
      <c r="D2201" s="349"/>
      <c r="E2201" s="237">
        <v>5000</v>
      </c>
      <c r="F2201" s="242" t="s">
        <v>1507</v>
      </c>
      <c r="G2201" s="239" t="s">
        <v>938</v>
      </c>
      <c r="H2201" s="240">
        <f t="shared" si="34"/>
        <v>134333</v>
      </c>
      <c r="I2201" s="241"/>
      <c r="J2201" s="221" t="b">
        <f>EXACT(E2202,[1]Main!E2202)</f>
        <v>1</v>
      </c>
    </row>
    <row r="2202" spans="1:10" x14ac:dyDescent="0.25">
      <c r="A2202" s="249">
        <v>45134</v>
      </c>
      <c r="B2202" s="237"/>
      <c r="C2202" s="238"/>
      <c r="D2202" s="349"/>
      <c r="E2202" s="237">
        <v>990</v>
      </c>
      <c r="F2202" s="242" t="s">
        <v>1505</v>
      </c>
      <c r="G2202" s="239" t="s">
        <v>943</v>
      </c>
      <c r="H2202" s="240">
        <f t="shared" si="34"/>
        <v>133343</v>
      </c>
      <c r="I2202" s="241"/>
      <c r="J2202" s="221" t="b">
        <f>EXACT(E2203,[1]Main!E2203)</f>
        <v>1</v>
      </c>
    </row>
    <row r="2203" spans="1:10" x14ac:dyDescent="0.25">
      <c r="A2203" s="249">
        <v>45134</v>
      </c>
      <c r="B2203" s="237"/>
      <c r="C2203" s="238"/>
      <c r="D2203" s="349"/>
      <c r="E2203" s="237">
        <v>18</v>
      </c>
      <c r="F2203" s="242" t="s">
        <v>54</v>
      </c>
      <c r="G2203" s="239" t="s">
        <v>938</v>
      </c>
      <c r="H2203" s="240">
        <f t="shared" si="34"/>
        <v>133325</v>
      </c>
      <c r="I2203" s="241"/>
      <c r="J2203" s="221" t="b">
        <f>EXACT(E2204,[1]Main!E2204)</f>
        <v>1</v>
      </c>
    </row>
    <row r="2204" spans="1:10" x14ac:dyDescent="0.25">
      <c r="A2204" s="249">
        <v>45134</v>
      </c>
      <c r="B2204" s="237"/>
      <c r="C2204" s="238"/>
      <c r="D2204" s="349"/>
      <c r="E2204" s="237">
        <f>103*50+110*10+122*3+103*40+110*5</f>
        <v>11286</v>
      </c>
      <c r="F2204" s="242" t="s">
        <v>16</v>
      </c>
      <c r="G2204" s="239" t="s">
        <v>936</v>
      </c>
      <c r="H2204" s="240">
        <f t="shared" si="34"/>
        <v>122039</v>
      </c>
      <c r="I2204" s="241"/>
      <c r="J2204" s="221" t="b">
        <f>EXACT(E2205,[1]Main!E2205)</f>
        <v>1</v>
      </c>
    </row>
    <row r="2205" spans="1:10" x14ac:dyDescent="0.25">
      <c r="A2205" s="249">
        <v>45134</v>
      </c>
      <c r="B2205" s="237"/>
      <c r="C2205" s="238"/>
      <c r="D2205" s="349"/>
      <c r="E2205" s="237">
        <v>240</v>
      </c>
      <c r="F2205" s="242" t="s">
        <v>1510</v>
      </c>
      <c r="G2205" s="239" t="s">
        <v>930</v>
      </c>
      <c r="H2205" s="240">
        <f t="shared" si="34"/>
        <v>121799</v>
      </c>
      <c r="I2205" s="241"/>
      <c r="J2205" s="221" t="b">
        <f>EXACT(E2206,[1]Main!E2206)</f>
        <v>1</v>
      </c>
    </row>
    <row r="2206" spans="1:10" x14ac:dyDescent="0.25">
      <c r="A2206" s="249">
        <v>45134</v>
      </c>
      <c r="B2206" s="237"/>
      <c r="C2206" s="238"/>
      <c r="D2206" s="349"/>
      <c r="E2206" s="429">
        <v>50</v>
      </c>
      <c r="F2206" s="431" t="s">
        <v>1511</v>
      </c>
      <c r="G2206" s="239" t="s">
        <v>464</v>
      </c>
      <c r="H2206" s="240">
        <f t="shared" si="34"/>
        <v>121749</v>
      </c>
      <c r="I2206" s="241"/>
      <c r="J2206" s="221" t="b">
        <f>EXACT(E2207,[1]Main!E2207)</f>
        <v>1</v>
      </c>
    </row>
    <row r="2207" spans="1:10" x14ac:dyDescent="0.25">
      <c r="A2207" s="249">
        <v>45134</v>
      </c>
      <c r="B2207" s="237"/>
      <c r="C2207" s="238"/>
      <c r="D2207" s="349"/>
      <c r="E2207" s="429">
        <v>260</v>
      </c>
      <c r="F2207" s="431" t="s">
        <v>1512</v>
      </c>
      <c r="G2207" s="239" t="s">
        <v>928</v>
      </c>
      <c r="H2207" s="240">
        <f t="shared" ref="H2207:H2270" si="35">H2206+B2207-E2207</f>
        <v>121489</v>
      </c>
      <c r="I2207" s="241"/>
      <c r="J2207" s="221" t="b">
        <f>EXACT(E2208,[1]Main!E2208)</f>
        <v>1</v>
      </c>
    </row>
    <row r="2208" spans="1:10" x14ac:dyDescent="0.25">
      <c r="A2208" s="249">
        <v>45134</v>
      </c>
      <c r="B2208" s="237"/>
      <c r="C2208" s="238"/>
      <c r="D2208" s="349"/>
      <c r="E2208" s="429">
        <v>100</v>
      </c>
      <c r="F2208" s="431" t="s">
        <v>1513</v>
      </c>
      <c r="G2208" s="239" t="s">
        <v>930</v>
      </c>
      <c r="H2208" s="240">
        <f t="shared" si="35"/>
        <v>121389</v>
      </c>
      <c r="I2208" s="241"/>
      <c r="J2208" s="221" t="b">
        <f>EXACT(E2209,[1]Main!E2209)</f>
        <v>1</v>
      </c>
    </row>
    <row r="2209" spans="1:10" x14ac:dyDescent="0.25">
      <c r="A2209" s="249">
        <v>45134</v>
      </c>
      <c r="B2209" s="237"/>
      <c r="C2209" s="238"/>
      <c r="D2209" s="349"/>
      <c r="E2209" s="429">
        <v>185</v>
      </c>
      <c r="F2209" s="431" t="s">
        <v>86</v>
      </c>
      <c r="G2209" s="239" t="s">
        <v>930</v>
      </c>
      <c r="H2209" s="240">
        <f t="shared" si="35"/>
        <v>121204</v>
      </c>
      <c r="I2209" s="241"/>
      <c r="J2209" s="221" t="b">
        <f>EXACT(E2210,[1]Main!E2210)</f>
        <v>1</v>
      </c>
    </row>
    <row r="2210" spans="1:10" x14ac:dyDescent="0.25">
      <c r="A2210" s="249">
        <v>45134</v>
      </c>
      <c r="B2210" s="237"/>
      <c r="C2210" s="238"/>
      <c r="D2210" s="349"/>
      <c r="E2210" s="429">
        <v>165</v>
      </c>
      <c r="F2210" s="431" t="s">
        <v>15</v>
      </c>
      <c r="G2210" s="239" t="s">
        <v>930</v>
      </c>
      <c r="H2210" s="240">
        <f t="shared" si="35"/>
        <v>121039</v>
      </c>
      <c r="I2210" s="241"/>
      <c r="J2210" s="221" t="b">
        <f>EXACT(E2211,[1]Main!E2211)</f>
        <v>1</v>
      </c>
    </row>
    <row r="2211" spans="1:10" x14ac:dyDescent="0.25">
      <c r="A2211" s="249">
        <v>45134</v>
      </c>
      <c r="B2211" s="237"/>
      <c r="C2211" s="238"/>
      <c r="D2211" s="349"/>
      <c r="E2211" s="429">
        <v>95</v>
      </c>
      <c r="F2211" s="431" t="s">
        <v>510</v>
      </c>
      <c r="G2211" s="239" t="s">
        <v>930</v>
      </c>
      <c r="H2211" s="240">
        <f t="shared" si="35"/>
        <v>120944</v>
      </c>
      <c r="I2211" s="241"/>
      <c r="J2211" s="221" t="b">
        <f>EXACT(E2212,[1]Main!E2212)</f>
        <v>1</v>
      </c>
    </row>
    <row r="2212" spans="1:10" x14ac:dyDescent="0.25">
      <c r="A2212" s="249">
        <v>45134</v>
      </c>
      <c r="B2212" s="237"/>
      <c r="C2212" s="238"/>
      <c r="D2212" s="349"/>
      <c r="E2212" s="237">
        <v>1290</v>
      </c>
      <c r="F2212" s="242" t="s">
        <v>14</v>
      </c>
      <c r="G2212" s="239" t="s">
        <v>935</v>
      </c>
      <c r="H2212" s="240">
        <f t="shared" si="35"/>
        <v>119654</v>
      </c>
      <c r="I2212" s="241"/>
      <c r="J2212" s="221" t="b">
        <f>EXACT(E2213,[1]Main!E2213)</f>
        <v>1</v>
      </c>
    </row>
    <row r="2213" spans="1:10" x14ac:dyDescent="0.25">
      <c r="A2213" s="249">
        <v>45134</v>
      </c>
      <c r="B2213" s="237"/>
      <c r="C2213" s="238"/>
      <c r="D2213" s="349"/>
      <c r="E2213" s="237">
        <v>10000</v>
      </c>
      <c r="F2213" s="242" t="s">
        <v>1518</v>
      </c>
      <c r="G2213" s="239" t="s">
        <v>928</v>
      </c>
      <c r="H2213" s="240">
        <f t="shared" si="35"/>
        <v>109654</v>
      </c>
      <c r="I2213" s="241" t="s">
        <v>1519</v>
      </c>
      <c r="J2213" s="221" t="b">
        <f>EXACT(E2214,[1]Main!E2214)</f>
        <v>1</v>
      </c>
    </row>
    <row r="2214" spans="1:10" x14ac:dyDescent="0.25">
      <c r="A2214" s="249">
        <v>45134</v>
      </c>
      <c r="B2214" s="237"/>
      <c r="C2214" s="238"/>
      <c r="D2214" s="349"/>
      <c r="E2214" s="310">
        <v>210</v>
      </c>
      <c r="F2214" s="311" t="s">
        <v>799</v>
      </c>
      <c r="G2214" s="239" t="s">
        <v>930</v>
      </c>
      <c r="H2214" s="240">
        <f t="shared" si="35"/>
        <v>109444</v>
      </c>
      <c r="I2214" s="241"/>
      <c r="J2214" s="221" t="b">
        <f>EXACT(E2215,[1]Main!E2215)</f>
        <v>1</v>
      </c>
    </row>
    <row r="2215" spans="1:10" x14ac:dyDescent="0.25">
      <c r="A2215" s="249">
        <v>45134</v>
      </c>
      <c r="B2215" s="237"/>
      <c r="C2215" s="238"/>
      <c r="D2215" s="349"/>
      <c r="E2215" s="310">
        <v>142</v>
      </c>
      <c r="F2215" s="311" t="s">
        <v>1515</v>
      </c>
      <c r="G2215" s="239" t="s">
        <v>464</v>
      </c>
      <c r="H2215" s="240">
        <f t="shared" si="35"/>
        <v>109302</v>
      </c>
      <c r="I2215" s="241"/>
      <c r="J2215" s="221" t="b">
        <f>EXACT(E2216,[1]Main!E2216)</f>
        <v>1</v>
      </c>
    </row>
    <row r="2216" spans="1:10" x14ac:dyDescent="0.25">
      <c r="A2216" s="249">
        <v>45134</v>
      </c>
      <c r="B2216" s="237"/>
      <c r="C2216" s="238"/>
      <c r="D2216" s="349"/>
      <c r="E2216" s="310">
        <v>23</v>
      </c>
      <c r="F2216" s="311" t="s">
        <v>212</v>
      </c>
      <c r="G2216" s="239" t="s">
        <v>464</v>
      </c>
      <c r="H2216" s="240">
        <f t="shared" si="35"/>
        <v>109279</v>
      </c>
      <c r="I2216" s="241"/>
      <c r="J2216" s="221" t="b">
        <f>EXACT(E2217,[1]Main!E2217)</f>
        <v>1</v>
      </c>
    </row>
    <row r="2217" spans="1:10" x14ac:dyDescent="0.25">
      <c r="A2217" s="249">
        <v>45134</v>
      </c>
      <c r="B2217" s="237"/>
      <c r="C2217" s="238"/>
      <c r="D2217" s="349"/>
      <c r="E2217" s="310">
        <v>120</v>
      </c>
      <c r="F2217" s="311" t="s">
        <v>393</v>
      </c>
      <c r="G2217" s="239" t="s">
        <v>930</v>
      </c>
      <c r="H2217" s="240">
        <f t="shared" si="35"/>
        <v>109159</v>
      </c>
      <c r="I2217" s="241"/>
      <c r="J2217" s="221" t="b">
        <f>EXACT(E2218,[1]Main!E2218)</f>
        <v>1</v>
      </c>
    </row>
    <row r="2218" spans="1:10" x14ac:dyDescent="0.25">
      <c r="A2218" s="249">
        <v>45134</v>
      </c>
      <c r="B2218" s="237"/>
      <c r="C2218" s="238"/>
      <c r="D2218" s="349"/>
      <c r="E2218" s="310">
        <v>667</v>
      </c>
      <c r="F2218" s="311" t="s">
        <v>1069</v>
      </c>
      <c r="G2218" s="239" t="s">
        <v>938</v>
      </c>
      <c r="H2218" s="240">
        <f t="shared" si="35"/>
        <v>108492</v>
      </c>
      <c r="I2218" s="241"/>
      <c r="J2218" s="221" t="b">
        <f>EXACT(E2219,[1]Main!E2219)</f>
        <v>1</v>
      </c>
    </row>
    <row r="2219" spans="1:10" x14ac:dyDescent="0.25">
      <c r="A2219" s="249">
        <v>45134</v>
      </c>
      <c r="B2219" s="237"/>
      <c r="C2219" s="238"/>
      <c r="D2219" s="349"/>
      <c r="E2219" s="310">
        <v>140</v>
      </c>
      <c r="F2219" s="311" t="s">
        <v>288</v>
      </c>
      <c r="G2219" s="239" t="s">
        <v>930</v>
      </c>
      <c r="H2219" s="240">
        <f t="shared" si="35"/>
        <v>108352</v>
      </c>
      <c r="I2219" s="241"/>
      <c r="J2219" s="221" t="b">
        <f>EXACT(E2220,[1]Main!E2220)</f>
        <v>1</v>
      </c>
    </row>
    <row r="2220" spans="1:10" x14ac:dyDescent="0.25">
      <c r="A2220" s="249">
        <v>45134</v>
      </c>
      <c r="B2220" s="237"/>
      <c r="C2220" s="238"/>
      <c r="D2220" s="349"/>
      <c r="E2220" s="310">
        <v>250</v>
      </c>
      <c r="F2220" s="311" t="s">
        <v>744</v>
      </c>
      <c r="G2220" s="239" t="s">
        <v>930</v>
      </c>
      <c r="H2220" s="240">
        <f t="shared" si="35"/>
        <v>108102</v>
      </c>
      <c r="I2220" s="241"/>
      <c r="J2220" s="221" t="b">
        <f>EXACT(E2221,[1]Main!E2221)</f>
        <v>1</v>
      </c>
    </row>
    <row r="2221" spans="1:10" x14ac:dyDescent="0.25">
      <c r="A2221" s="249">
        <v>45134</v>
      </c>
      <c r="B2221" s="237"/>
      <c r="C2221" s="238"/>
      <c r="D2221" s="349"/>
      <c r="E2221" s="310">
        <v>135</v>
      </c>
      <c r="F2221" s="311" t="s">
        <v>341</v>
      </c>
      <c r="G2221" s="239" t="s">
        <v>930</v>
      </c>
      <c r="H2221" s="240">
        <f t="shared" si="35"/>
        <v>107967</v>
      </c>
      <c r="I2221" s="241"/>
      <c r="J2221" s="221" t="b">
        <f>EXACT(E2222,[1]Main!E2222)</f>
        <v>1</v>
      </c>
    </row>
    <row r="2222" spans="1:10" x14ac:dyDescent="0.25">
      <c r="A2222" s="249">
        <v>45134</v>
      </c>
      <c r="B2222" s="237"/>
      <c r="C2222" s="238"/>
      <c r="D2222" s="349"/>
      <c r="E2222" s="310">
        <v>90</v>
      </c>
      <c r="F2222" s="311" t="s">
        <v>339</v>
      </c>
      <c r="G2222" s="239" t="s">
        <v>935</v>
      </c>
      <c r="H2222" s="240">
        <f t="shared" si="35"/>
        <v>107877</v>
      </c>
      <c r="I2222" s="241"/>
      <c r="J2222" s="221" t="b">
        <f>EXACT(E2223,[1]Main!E2223)</f>
        <v>1</v>
      </c>
    </row>
    <row r="2223" spans="1:10" x14ac:dyDescent="0.25">
      <c r="A2223" s="249">
        <v>45134</v>
      </c>
      <c r="B2223" s="237"/>
      <c r="C2223" s="238"/>
      <c r="D2223" s="349"/>
      <c r="E2223" s="310">
        <v>370</v>
      </c>
      <c r="F2223" s="311" t="s">
        <v>34</v>
      </c>
      <c r="G2223" s="239" t="s">
        <v>935</v>
      </c>
      <c r="H2223" s="240">
        <f t="shared" si="35"/>
        <v>107507</v>
      </c>
      <c r="I2223" s="241"/>
      <c r="J2223" s="221" t="b">
        <f>EXACT(E2224,[1]Main!E2224)</f>
        <v>1</v>
      </c>
    </row>
    <row r="2224" spans="1:10" x14ac:dyDescent="0.25">
      <c r="A2224" s="249">
        <v>45134</v>
      </c>
      <c r="B2224" s="237"/>
      <c r="C2224" s="238"/>
      <c r="D2224" s="349"/>
      <c r="E2224" s="310">
        <v>140</v>
      </c>
      <c r="F2224" s="311" t="s">
        <v>39</v>
      </c>
      <c r="G2224" s="239" t="s">
        <v>930</v>
      </c>
      <c r="H2224" s="240">
        <f t="shared" si="35"/>
        <v>107367</v>
      </c>
      <c r="I2224" s="241"/>
      <c r="J2224" s="221" t="b">
        <f>EXACT(E2225,[1]Main!E2225)</f>
        <v>1</v>
      </c>
    </row>
    <row r="2225" spans="1:10" x14ac:dyDescent="0.25">
      <c r="A2225" s="249">
        <v>45134</v>
      </c>
      <c r="B2225" s="237"/>
      <c r="C2225" s="238"/>
      <c r="D2225" s="349"/>
      <c r="E2225" s="310">
        <v>400</v>
      </c>
      <c r="F2225" s="311" t="s">
        <v>278</v>
      </c>
      <c r="G2225" s="239" t="s">
        <v>935</v>
      </c>
      <c r="H2225" s="240">
        <f t="shared" si="35"/>
        <v>106967</v>
      </c>
      <c r="I2225" s="241"/>
      <c r="J2225" s="221" t="b">
        <f>EXACT(E2226,[1]Main!E2226)</f>
        <v>1</v>
      </c>
    </row>
    <row r="2226" spans="1:10" x14ac:dyDescent="0.25">
      <c r="A2226" s="249">
        <v>45134</v>
      </c>
      <c r="B2226" s="237"/>
      <c r="C2226" s="238"/>
      <c r="D2226" s="349"/>
      <c r="E2226" s="310">
        <v>2815</v>
      </c>
      <c r="F2226" s="311" t="s">
        <v>1516</v>
      </c>
      <c r="G2226" s="239" t="s">
        <v>928</v>
      </c>
      <c r="H2226" s="240">
        <f t="shared" si="35"/>
        <v>104152</v>
      </c>
      <c r="I2226" s="241"/>
      <c r="J2226" s="221" t="b">
        <f>EXACT(E2227,[1]Main!E2227)</f>
        <v>1</v>
      </c>
    </row>
    <row r="2227" spans="1:10" x14ac:dyDescent="0.25">
      <c r="A2227" s="249">
        <v>45134</v>
      </c>
      <c r="B2227" s="237"/>
      <c r="C2227" s="238"/>
      <c r="D2227" s="349"/>
      <c r="E2227" s="310">
        <v>2645</v>
      </c>
      <c r="F2227" s="311" t="s">
        <v>12</v>
      </c>
      <c r="G2227" s="239" t="s">
        <v>974</v>
      </c>
      <c r="H2227" s="240">
        <f t="shared" si="35"/>
        <v>101507</v>
      </c>
      <c r="I2227" s="241"/>
      <c r="J2227" s="221" t="b">
        <f>EXACT(E2228,[1]Main!E2228)</f>
        <v>1</v>
      </c>
    </row>
    <row r="2228" spans="1:10" x14ac:dyDescent="0.25">
      <c r="A2228" s="249">
        <v>45134</v>
      </c>
      <c r="B2228" s="237"/>
      <c r="C2228" s="238"/>
      <c r="D2228" s="349"/>
      <c r="E2228" s="310">
        <v>350</v>
      </c>
      <c r="F2228" s="311" t="s">
        <v>1517</v>
      </c>
      <c r="G2228" s="239" t="s">
        <v>464</v>
      </c>
      <c r="H2228" s="240">
        <f t="shared" si="35"/>
        <v>101157</v>
      </c>
      <c r="I2228" s="241"/>
      <c r="J2228" s="221" t="b">
        <f>EXACT(E2229,[1]Main!E2229)</f>
        <v>1</v>
      </c>
    </row>
    <row r="2229" spans="1:10" x14ac:dyDescent="0.25">
      <c r="A2229" s="249">
        <v>45134</v>
      </c>
      <c r="B2229" s="237"/>
      <c r="C2229" s="238"/>
      <c r="D2229" s="349"/>
      <c r="E2229" s="310">
        <v>2815</v>
      </c>
      <c r="F2229" s="311" t="s">
        <v>20</v>
      </c>
      <c r="G2229" s="239" t="s">
        <v>928</v>
      </c>
      <c r="H2229" s="240">
        <f t="shared" si="35"/>
        <v>98342</v>
      </c>
      <c r="I2229" s="241"/>
      <c r="J2229" s="221" t="b">
        <f>EXACT(E2230,[1]Main!E2230)</f>
        <v>1</v>
      </c>
    </row>
    <row r="2230" spans="1:10" x14ac:dyDescent="0.25">
      <c r="A2230" s="249">
        <v>45134</v>
      </c>
      <c r="B2230" s="237"/>
      <c r="C2230" s="238"/>
      <c r="D2230" s="349"/>
      <c r="E2230" s="310">
        <v>72</v>
      </c>
      <c r="F2230" s="311" t="s">
        <v>1333</v>
      </c>
      <c r="G2230" s="239" t="s">
        <v>931</v>
      </c>
      <c r="H2230" s="240">
        <f t="shared" si="35"/>
        <v>98270</v>
      </c>
      <c r="I2230" s="241"/>
      <c r="J2230" s="221" t="b">
        <f>EXACT(E2231,[1]Main!E2231)</f>
        <v>1</v>
      </c>
    </row>
    <row r="2231" spans="1:10" x14ac:dyDescent="0.25">
      <c r="A2231" s="249">
        <v>45134</v>
      </c>
      <c r="B2231" s="237"/>
      <c r="C2231" s="238"/>
      <c r="D2231" s="349"/>
      <c r="E2231" s="439">
        <v>10</v>
      </c>
      <c r="F2231" s="441" t="s">
        <v>315</v>
      </c>
      <c r="G2231" s="239" t="s">
        <v>464</v>
      </c>
      <c r="H2231" s="240">
        <f t="shared" si="35"/>
        <v>98260</v>
      </c>
      <c r="I2231" s="241"/>
      <c r="J2231" s="221" t="b">
        <f>EXACT(E2232,[1]Main!E2232)</f>
        <v>1</v>
      </c>
    </row>
    <row r="2232" spans="1:10" x14ac:dyDescent="0.25">
      <c r="A2232" s="249">
        <v>45134</v>
      </c>
      <c r="B2232" s="237"/>
      <c r="C2232" s="238"/>
      <c r="D2232" s="349"/>
      <c r="E2232" s="439">
        <v>105</v>
      </c>
      <c r="F2232" s="441" t="s">
        <v>1419</v>
      </c>
      <c r="G2232" s="239" t="s">
        <v>930</v>
      </c>
      <c r="H2232" s="240">
        <f t="shared" si="35"/>
        <v>98155</v>
      </c>
      <c r="I2232" s="241"/>
      <c r="J2232" s="221" t="b">
        <f>EXACT(E2233,[1]Main!E2233)</f>
        <v>1</v>
      </c>
    </row>
    <row r="2233" spans="1:10" x14ac:dyDescent="0.25">
      <c r="A2233" s="249">
        <v>45134</v>
      </c>
      <c r="B2233" s="237"/>
      <c r="C2233" s="238"/>
      <c r="D2233" s="349"/>
      <c r="E2233" s="439">
        <v>175</v>
      </c>
      <c r="F2233" s="441" t="s">
        <v>498</v>
      </c>
      <c r="G2233" s="239" t="s">
        <v>930</v>
      </c>
      <c r="H2233" s="240">
        <f t="shared" si="35"/>
        <v>97980</v>
      </c>
      <c r="I2233" s="241"/>
      <c r="J2233" s="221" t="b">
        <f>EXACT(E2234,[1]Main!E2234)</f>
        <v>1</v>
      </c>
    </row>
    <row r="2234" spans="1:10" x14ac:dyDescent="0.25">
      <c r="A2234" s="249">
        <v>45134</v>
      </c>
      <c r="B2234" s="237"/>
      <c r="C2234" s="238"/>
      <c r="D2234" s="349"/>
      <c r="E2234" s="439">
        <v>210</v>
      </c>
      <c r="F2234" s="441" t="s">
        <v>1319</v>
      </c>
      <c r="G2234" s="239" t="s">
        <v>930</v>
      </c>
      <c r="H2234" s="240">
        <f t="shared" si="35"/>
        <v>97770</v>
      </c>
      <c r="I2234" s="241"/>
      <c r="J2234" s="221" t="b">
        <f>EXACT(E2235,[1]Main!E2235)</f>
        <v>1</v>
      </c>
    </row>
    <row r="2235" spans="1:10" x14ac:dyDescent="0.25">
      <c r="A2235" s="249">
        <v>45134</v>
      </c>
      <c r="B2235" s="237"/>
      <c r="C2235" s="238"/>
      <c r="D2235" s="349"/>
      <c r="E2235" s="439">
        <v>5100</v>
      </c>
      <c r="F2235" s="441" t="s">
        <v>1523</v>
      </c>
      <c r="G2235" s="239" t="s">
        <v>928</v>
      </c>
      <c r="H2235" s="240">
        <f t="shared" si="35"/>
        <v>92670</v>
      </c>
      <c r="I2235" s="241"/>
      <c r="J2235" s="221" t="b">
        <f>EXACT(E2236,[1]Main!E2236)</f>
        <v>1</v>
      </c>
    </row>
    <row r="2236" spans="1:10" x14ac:dyDescent="0.25">
      <c r="A2236" s="249">
        <v>45134</v>
      </c>
      <c r="B2236" s="237"/>
      <c r="C2236" s="238"/>
      <c r="D2236" s="349"/>
      <c r="E2236" s="439">
        <v>100</v>
      </c>
      <c r="F2236" s="441" t="s">
        <v>903</v>
      </c>
      <c r="G2236" s="239" t="s">
        <v>930</v>
      </c>
      <c r="H2236" s="240">
        <f t="shared" si="35"/>
        <v>92570</v>
      </c>
      <c r="I2236" s="241"/>
      <c r="J2236" s="221" t="b">
        <f>EXACT(E2237,[1]Main!E2237)</f>
        <v>1</v>
      </c>
    </row>
    <row r="2237" spans="1:10" x14ac:dyDescent="0.25">
      <c r="A2237" s="249">
        <v>45134</v>
      </c>
      <c r="B2237" s="237"/>
      <c r="C2237" s="238"/>
      <c r="D2237" s="349"/>
      <c r="E2237" s="237">
        <v>1000</v>
      </c>
      <c r="F2237" s="242" t="s">
        <v>1351</v>
      </c>
      <c r="G2237" s="239" t="s">
        <v>928</v>
      </c>
      <c r="H2237" s="240">
        <f t="shared" si="35"/>
        <v>91570</v>
      </c>
      <c r="I2237" s="241" t="s">
        <v>1525</v>
      </c>
      <c r="J2237" s="221" t="b">
        <f>EXACT(E2238,[1]Main!E2238)</f>
        <v>1</v>
      </c>
    </row>
    <row r="2238" spans="1:10" x14ac:dyDescent="0.25">
      <c r="A2238" s="249">
        <v>45134</v>
      </c>
      <c r="B2238" s="237"/>
      <c r="C2238" s="238"/>
      <c r="D2238" s="349"/>
      <c r="E2238" s="237">
        <f>590-100</f>
        <v>490</v>
      </c>
      <c r="F2238" s="242" t="s">
        <v>946</v>
      </c>
      <c r="G2238" s="239" t="s">
        <v>930</v>
      </c>
      <c r="H2238" s="240">
        <f t="shared" si="35"/>
        <v>91080</v>
      </c>
      <c r="I2238" s="241"/>
      <c r="J2238" s="221" t="b">
        <f>EXACT(E2239,[1]Main!E2239)</f>
        <v>1</v>
      </c>
    </row>
    <row r="2239" spans="1:10" x14ac:dyDescent="0.25">
      <c r="A2239" s="249">
        <v>45134</v>
      </c>
      <c r="B2239" s="237"/>
      <c r="C2239" s="238"/>
      <c r="D2239" s="349"/>
      <c r="E2239" s="237">
        <v>2720</v>
      </c>
      <c r="F2239" s="242" t="s">
        <v>1156</v>
      </c>
      <c r="G2239" s="239" t="s">
        <v>928</v>
      </c>
      <c r="H2239" s="240">
        <f t="shared" si="35"/>
        <v>88360</v>
      </c>
      <c r="I2239" s="241"/>
      <c r="J2239" s="221" t="b">
        <f>EXACT(E2240,[1]Main!E2240)</f>
        <v>1</v>
      </c>
    </row>
    <row r="2240" spans="1:10" x14ac:dyDescent="0.25">
      <c r="A2240" s="249">
        <v>45134</v>
      </c>
      <c r="B2240" s="237"/>
      <c r="C2240" s="238"/>
      <c r="D2240" s="349"/>
      <c r="E2240" s="442">
        <v>150</v>
      </c>
      <c r="F2240" s="443" t="s">
        <v>97</v>
      </c>
      <c r="G2240" s="239" t="s">
        <v>931</v>
      </c>
      <c r="H2240" s="240">
        <f t="shared" si="35"/>
        <v>88210</v>
      </c>
      <c r="I2240" s="241"/>
      <c r="J2240" s="221" t="b">
        <f>EXACT(E2241,[1]Main!E2241)</f>
        <v>1</v>
      </c>
    </row>
    <row r="2241" spans="1:11" x14ac:dyDescent="0.25">
      <c r="A2241" s="249">
        <v>45134</v>
      </c>
      <c r="B2241" s="237"/>
      <c r="C2241" s="238"/>
      <c r="D2241" s="349"/>
      <c r="E2241" s="442">
        <v>190</v>
      </c>
      <c r="F2241" s="443" t="s">
        <v>1450</v>
      </c>
      <c r="G2241" s="239" t="s">
        <v>930</v>
      </c>
      <c r="H2241" s="240">
        <f t="shared" si="35"/>
        <v>88020</v>
      </c>
      <c r="I2241" s="241"/>
      <c r="J2241" s="221" t="b">
        <f>EXACT(E2242,[1]Main!E2242)</f>
        <v>1</v>
      </c>
    </row>
    <row r="2242" spans="1:11" x14ac:dyDescent="0.25">
      <c r="A2242" s="249">
        <v>45134</v>
      </c>
      <c r="B2242" s="237"/>
      <c r="C2242" s="238"/>
      <c r="D2242" s="349"/>
      <c r="E2242" s="442">
        <v>90</v>
      </c>
      <c r="F2242" s="443" t="s">
        <v>223</v>
      </c>
      <c r="G2242" s="239" t="s">
        <v>930</v>
      </c>
      <c r="H2242" s="240">
        <f t="shared" si="35"/>
        <v>87930</v>
      </c>
      <c r="I2242" s="241"/>
      <c r="J2242" s="221" t="b">
        <f>EXACT(E2243,[1]Main!E2243)</f>
        <v>1</v>
      </c>
    </row>
    <row r="2243" spans="1:11" x14ac:dyDescent="0.25">
      <c r="A2243" s="249">
        <v>45134</v>
      </c>
      <c r="B2243" s="237"/>
      <c r="C2243" s="238"/>
      <c r="D2243" s="349"/>
      <c r="E2243" s="442">
        <v>95</v>
      </c>
      <c r="F2243" s="443" t="s">
        <v>30</v>
      </c>
      <c r="G2243" s="239" t="s">
        <v>930</v>
      </c>
      <c r="H2243" s="240">
        <f t="shared" si="35"/>
        <v>87835</v>
      </c>
      <c r="I2243" s="241"/>
      <c r="J2243" s="221" t="b">
        <f>EXACT(E2244,[1]Main!E2244)</f>
        <v>1</v>
      </c>
    </row>
    <row r="2244" spans="1:11" x14ac:dyDescent="0.25">
      <c r="A2244" s="249">
        <v>45134</v>
      </c>
      <c r="B2244" s="237"/>
      <c r="C2244" s="238"/>
      <c r="D2244" s="349"/>
      <c r="E2244" s="442">
        <v>70</v>
      </c>
      <c r="F2244" s="443" t="s">
        <v>26</v>
      </c>
      <c r="G2244" s="239" t="s">
        <v>930</v>
      </c>
      <c r="H2244" s="240">
        <f t="shared" si="35"/>
        <v>87765</v>
      </c>
      <c r="I2244" s="241"/>
      <c r="J2244" s="221" t="b">
        <f>EXACT(E2245,[1]Main!E2245)</f>
        <v>1</v>
      </c>
    </row>
    <row r="2245" spans="1:11" x14ac:dyDescent="0.25">
      <c r="A2245" s="249">
        <v>45134</v>
      </c>
      <c r="B2245" s="237"/>
      <c r="C2245" s="238"/>
      <c r="D2245" s="349"/>
      <c r="E2245" s="442">
        <v>60</v>
      </c>
      <c r="F2245" s="443" t="s">
        <v>1219</v>
      </c>
      <c r="G2245" s="239" t="s">
        <v>930</v>
      </c>
      <c r="H2245" s="240">
        <f t="shared" si="35"/>
        <v>87705</v>
      </c>
      <c r="I2245" s="241"/>
      <c r="J2245" s="221" t="b">
        <f>EXACT(E2246,[1]Main!E2246)</f>
        <v>1</v>
      </c>
    </row>
    <row r="2246" spans="1:11" x14ac:dyDescent="0.25">
      <c r="A2246" s="249">
        <v>45134</v>
      </c>
      <c r="B2246" s="237"/>
      <c r="C2246" s="238"/>
      <c r="D2246" s="349"/>
      <c r="E2246" s="442">
        <v>115</v>
      </c>
      <c r="F2246" s="443" t="s">
        <v>27</v>
      </c>
      <c r="G2246" s="239" t="s">
        <v>943</v>
      </c>
      <c r="H2246" s="240">
        <f t="shared" si="35"/>
        <v>87590</v>
      </c>
      <c r="I2246" s="241"/>
      <c r="J2246" s="221" t="b">
        <f>EXACT(E2247,[1]Main!E2247)</f>
        <v>1</v>
      </c>
    </row>
    <row r="2247" spans="1:11" x14ac:dyDescent="0.25">
      <c r="A2247" s="249">
        <v>45134</v>
      </c>
      <c r="B2247" s="237"/>
      <c r="C2247" s="238"/>
      <c r="D2247" s="349"/>
      <c r="E2247" s="442">
        <v>20</v>
      </c>
      <c r="F2247" s="443" t="s">
        <v>54</v>
      </c>
      <c r="G2247" s="239" t="s">
        <v>938</v>
      </c>
      <c r="H2247" s="240">
        <f t="shared" si="35"/>
        <v>87570</v>
      </c>
      <c r="I2247" s="241"/>
      <c r="J2247" s="221" t="b">
        <f>EXACT(E2248,[1]Main!E2248)</f>
        <v>1</v>
      </c>
    </row>
    <row r="2248" spans="1:11" x14ac:dyDescent="0.25">
      <c r="A2248" s="249">
        <v>45134</v>
      </c>
      <c r="B2248" s="237"/>
      <c r="C2248" s="238"/>
      <c r="D2248" s="349"/>
      <c r="E2248" s="237">
        <v>120</v>
      </c>
      <c r="F2248" s="242" t="s">
        <v>1526</v>
      </c>
      <c r="G2248" s="239" t="s">
        <v>930</v>
      </c>
      <c r="H2248" s="240">
        <f t="shared" si="35"/>
        <v>87450</v>
      </c>
      <c r="I2248" s="241"/>
      <c r="J2248" s="221" t="b">
        <f>EXACT(E2249,[1]Main!E2249)</f>
        <v>1</v>
      </c>
    </row>
    <row r="2249" spans="1:11" x14ac:dyDescent="0.25">
      <c r="A2249" s="249">
        <v>45134</v>
      </c>
      <c r="B2249" s="237"/>
      <c r="C2249" s="238"/>
      <c r="D2249" s="349"/>
      <c r="E2249" s="237">
        <v>175</v>
      </c>
      <c r="F2249" s="242" t="s">
        <v>86</v>
      </c>
      <c r="G2249" s="239" t="s">
        <v>930</v>
      </c>
      <c r="H2249" s="240">
        <f t="shared" si="35"/>
        <v>87275</v>
      </c>
      <c r="I2249" s="241"/>
      <c r="J2249" s="221" t="b">
        <f>EXACT(E2250,[1]Main!E2250)</f>
        <v>1</v>
      </c>
    </row>
    <row r="2250" spans="1:11" x14ac:dyDescent="0.25">
      <c r="A2250" s="249">
        <v>45134</v>
      </c>
      <c r="B2250" s="237"/>
      <c r="C2250" s="238"/>
      <c r="D2250" s="349"/>
      <c r="E2250" s="237">
        <v>52</v>
      </c>
      <c r="F2250" s="242" t="s">
        <v>510</v>
      </c>
      <c r="G2250" s="239" t="s">
        <v>930</v>
      </c>
      <c r="H2250" s="240">
        <f t="shared" si="35"/>
        <v>87223</v>
      </c>
      <c r="I2250" s="241"/>
      <c r="J2250" s="221" t="b">
        <f>EXACT(E2251,[1]Main!E2251)</f>
        <v>1</v>
      </c>
    </row>
    <row r="2251" spans="1:11" x14ac:dyDescent="0.25">
      <c r="A2251" s="249">
        <v>45134</v>
      </c>
      <c r="B2251" s="237"/>
      <c r="C2251" s="238"/>
      <c r="D2251" s="349"/>
      <c r="E2251" s="237">
        <v>165</v>
      </c>
      <c r="F2251" s="242" t="s">
        <v>15</v>
      </c>
      <c r="G2251" s="239" t="s">
        <v>930</v>
      </c>
      <c r="H2251" s="240">
        <f t="shared" si="35"/>
        <v>87058</v>
      </c>
      <c r="I2251" s="241"/>
      <c r="J2251" s="221" t="b">
        <f>EXACT(E2252,[1]Main!E2252)</f>
        <v>1</v>
      </c>
    </row>
    <row r="2252" spans="1:11" x14ac:dyDescent="0.25">
      <c r="A2252" s="249">
        <v>45134</v>
      </c>
      <c r="B2252" s="237"/>
      <c r="C2252" s="238"/>
      <c r="D2252" s="349"/>
      <c r="E2252" s="237">
        <v>59</v>
      </c>
      <c r="F2252" s="242" t="s">
        <v>212</v>
      </c>
      <c r="G2252" s="239" t="s">
        <v>464</v>
      </c>
      <c r="H2252" s="240">
        <f t="shared" si="35"/>
        <v>86999</v>
      </c>
      <c r="I2252" s="241"/>
      <c r="J2252" s="221" t="b">
        <f>EXACT(E2253,[1]Main!E2253)</f>
        <v>1</v>
      </c>
    </row>
    <row r="2253" spans="1:11" x14ac:dyDescent="0.25">
      <c r="A2253" s="249">
        <v>45134</v>
      </c>
      <c r="B2253" s="237"/>
      <c r="C2253" s="238"/>
      <c r="D2253" s="349"/>
      <c r="E2253" s="237">
        <v>200</v>
      </c>
      <c r="F2253" s="242" t="s">
        <v>1528</v>
      </c>
      <c r="G2253" s="239" t="s">
        <v>931</v>
      </c>
      <c r="H2253" s="240">
        <f t="shared" si="35"/>
        <v>86799</v>
      </c>
      <c r="I2253" s="241"/>
      <c r="J2253" s="221" t="b">
        <f>EXACT(E2254,[1]Main!E2254)</f>
        <v>1</v>
      </c>
    </row>
    <row r="2254" spans="1:11" x14ac:dyDescent="0.25">
      <c r="A2254" s="249">
        <v>45134</v>
      </c>
      <c r="B2254" s="237"/>
      <c r="C2254" s="238"/>
      <c r="D2254" s="349"/>
      <c r="E2254" s="237">
        <v>100</v>
      </c>
      <c r="F2254" s="242" t="s">
        <v>1533</v>
      </c>
      <c r="G2254" s="239" t="s">
        <v>938</v>
      </c>
      <c r="H2254" s="240">
        <f t="shared" si="35"/>
        <v>86699</v>
      </c>
      <c r="I2254" s="241"/>
      <c r="J2254" s="221" t="b">
        <f>EXACT(E2255,[1]Main!E2255)</f>
        <v>1</v>
      </c>
    </row>
    <row r="2255" spans="1:11" ht="18" customHeight="1" x14ac:dyDescent="0.25">
      <c r="A2255" s="324">
        <v>45134</v>
      </c>
      <c r="B2255" s="325"/>
      <c r="C2255" s="326"/>
      <c r="D2255" s="327"/>
      <c r="E2255" s="325"/>
      <c r="F2255" s="328"/>
      <c r="G2255" s="328"/>
      <c r="H2255" s="240">
        <f t="shared" si="35"/>
        <v>86699</v>
      </c>
      <c r="I2255" s="329"/>
      <c r="J2255" s="221" t="b">
        <f>EXACT(E2256,[1]Main!E2256)</f>
        <v>1</v>
      </c>
      <c r="K2255" s="241"/>
    </row>
    <row r="2256" spans="1:11" x14ac:dyDescent="0.25">
      <c r="A2256" s="249">
        <v>45135</v>
      </c>
      <c r="B2256" s="237">
        <v>20</v>
      </c>
      <c r="C2256" s="238" t="s">
        <v>27</v>
      </c>
      <c r="D2256" s="349" t="s">
        <v>772</v>
      </c>
      <c r="E2256" s="237">
        <v>122</v>
      </c>
      <c r="F2256" s="242" t="s">
        <v>1531</v>
      </c>
      <c r="G2256" s="239" t="s">
        <v>931</v>
      </c>
      <c r="H2256" s="240">
        <f t="shared" si="35"/>
        <v>86597</v>
      </c>
      <c r="I2256" s="241"/>
      <c r="J2256" s="221" t="b">
        <f>EXACT(E2257,[1]Main!E2257)</f>
        <v>1</v>
      </c>
      <c r="K2256" s="241"/>
    </row>
    <row r="2257" spans="1:10" x14ac:dyDescent="0.25">
      <c r="A2257" s="249">
        <v>45135</v>
      </c>
      <c r="B2257" s="237">
        <v>17864</v>
      </c>
      <c r="C2257" s="238" t="s">
        <v>300</v>
      </c>
      <c r="D2257" s="349" t="s">
        <v>763</v>
      </c>
      <c r="E2257" s="237">
        <v>270</v>
      </c>
      <c r="F2257" s="242" t="s">
        <v>8</v>
      </c>
      <c r="G2257" s="239" t="s">
        <v>930</v>
      </c>
      <c r="H2257" s="240">
        <f t="shared" si="35"/>
        <v>104191</v>
      </c>
      <c r="I2257" s="241"/>
      <c r="J2257" s="221" t="b">
        <f>EXACT(E2258,[1]Main!E2258)</f>
        <v>1</v>
      </c>
    </row>
    <row r="2258" spans="1:10" x14ac:dyDescent="0.25">
      <c r="A2258" s="249">
        <v>45135</v>
      </c>
      <c r="B2258" s="237">
        <v>1437</v>
      </c>
      <c r="C2258" s="238" t="s">
        <v>1135</v>
      </c>
      <c r="D2258" s="349" t="s">
        <v>765</v>
      </c>
      <c r="E2258" s="237">
        <v>170</v>
      </c>
      <c r="F2258" s="242" t="s">
        <v>399</v>
      </c>
      <c r="G2258" s="239" t="s">
        <v>930</v>
      </c>
      <c r="H2258" s="240">
        <f>H2257+B2258-E2258</f>
        <v>105458</v>
      </c>
      <c r="I2258" s="241"/>
      <c r="J2258" s="221" t="b">
        <f>EXACT(E2259,[1]Main!E2259)</f>
        <v>1</v>
      </c>
    </row>
    <row r="2259" spans="1:10" x14ac:dyDescent="0.25">
      <c r="A2259" s="249">
        <v>45135</v>
      </c>
      <c r="B2259" s="237">
        <v>10250</v>
      </c>
      <c r="C2259" s="238" t="s">
        <v>363</v>
      </c>
      <c r="D2259" s="349" t="s">
        <v>763</v>
      </c>
      <c r="E2259" s="237">
        <v>200</v>
      </c>
      <c r="F2259" s="242" t="s">
        <v>7</v>
      </c>
      <c r="G2259" s="239" t="s">
        <v>930</v>
      </c>
      <c r="H2259" s="240">
        <f>H2258+B2259-E2259</f>
        <v>115508</v>
      </c>
      <c r="I2259" s="241"/>
      <c r="J2259" s="221" t="b">
        <f>EXACT(E2260,[1]Main!E2260)</f>
        <v>1</v>
      </c>
    </row>
    <row r="2260" spans="1:10" x14ac:dyDescent="0.25">
      <c r="A2260" s="249">
        <v>45135</v>
      </c>
      <c r="B2260" s="237">
        <v>580</v>
      </c>
      <c r="C2260" s="238" t="s">
        <v>913</v>
      </c>
      <c r="D2260" s="349" t="s">
        <v>765</v>
      </c>
      <c r="E2260" s="237">
        <v>20</v>
      </c>
      <c r="F2260" s="242" t="s">
        <v>1529</v>
      </c>
      <c r="G2260" s="239" t="s">
        <v>938</v>
      </c>
      <c r="H2260" s="240">
        <f t="shared" si="35"/>
        <v>116068</v>
      </c>
      <c r="I2260" s="241"/>
      <c r="J2260" s="221" t="b">
        <f>EXACT(E2261,[1]Main!E2261)</f>
        <v>1</v>
      </c>
    </row>
    <row r="2261" spans="1:10" x14ac:dyDescent="0.25">
      <c r="A2261" s="249">
        <v>45135</v>
      </c>
      <c r="B2261" s="237">
        <v>3030</v>
      </c>
      <c r="C2261" s="238" t="s">
        <v>27</v>
      </c>
      <c r="D2261" s="349" t="s">
        <v>772</v>
      </c>
      <c r="E2261" s="237">
        <v>20</v>
      </c>
      <c r="F2261" s="242" t="s">
        <v>447</v>
      </c>
      <c r="G2261" s="239" t="s">
        <v>931</v>
      </c>
      <c r="H2261" s="240">
        <f>H2260+B2261-E2261</f>
        <v>119078</v>
      </c>
      <c r="I2261" s="241"/>
      <c r="J2261" s="221" t="b">
        <f>EXACT(E2262,[1]Main!E2262)</f>
        <v>1</v>
      </c>
    </row>
    <row r="2262" spans="1:10" x14ac:dyDescent="0.25">
      <c r="A2262" s="249">
        <v>45135</v>
      </c>
      <c r="B2262" s="237">
        <v>750</v>
      </c>
      <c r="C2262" s="238" t="s">
        <v>27</v>
      </c>
      <c r="D2262" s="349" t="s">
        <v>772</v>
      </c>
      <c r="E2262" s="237">
        <v>27</v>
      </c>
      <c r="F2262" s="242" t="s">
        <v>446</v>
      </c>
      <c r="G2262" s="239" t="s">
        <v>931</v>
      </c>
      <c r="H2262" s="240">
        <f>H2261+B2262-E2262</f>
        <v>119801</v>
      </c>
      <c r="I2262" s="241"/>
      <c r="J2262" s="221" t="b">
        <f>EXACT(E2263,[1]Main!E2263)</f>
        <v>1</v>
      </c>
    </row>
    <row r="2263" spans="1:10" x14ac:dyDescent="0.25">
      <c r="A2263" s="249">
        <v>45135</v>
      </c>
      <c r="B2263" s="237">
        <v>1050</v>
      </c>
      <c r="C2263" s="238" t="s">
        <v>1112</v>
      </c>
      <c r="D2263" s="349" t="s">
        <v>924</v>
      </c>
      <c r="E2263" s="237">
        <v>2400</v>
      </c>
      <c r="F2263" s="242" t="s">
        <v>1530</v>
      </c>
      <c r="G2263" s="239" t="s">
        <v>928</v>
      </c>
      <c r="H2263" s="240">
        <f t="shared" si="35"/>
        <v>118451</v>
      </c>
      <c r="I2263" s="241"/>
      <c r="J2263" s="221" t="b">
        <f>EXACT(E2264,[1]Main!E2264)</f>
        <v>1</v>
      </c>
    </row>
    <row r="2264" spans="1:10" x14ac:dyDescent="0.25">
      <c r="A2264" s="249">
        <v>45135</v>
      </c>
      <c r="B2264" s="237">
        <v>22675</v>
      </c>
      <c r="C2264" s="238" t="s">
        <v>1076</v>
      </c>
      <c r="D2264" s="349" t="s">
        <v>763</v>
      </c>
      <c r="E2264" s="237">
        <v>2873</v>
      </c>
      <c r="F2264" s="242" t="s">
        <v>47</v>
      </c>
      <c r="G2264" s="239" t="s">
        <v>928</v>
      </c>
      <c r="H2264" s="240">
        <f t="shared" si="35"/>
        <v>138253</v>
      </c>
      <c r="I2264" s="241"/>
      <c r="J2264" s="221" t="b">
        <f>EXACT(E2265,[1]Main!E2265)</f>
        <v>1</v>
      </c>
    </row>
    <row r="2265" spans="1:10" x14ac:dyDescent="0.25">
      <c r="A2265" s="249">
        <v>45135</v>
      </c>
      <c r="B2265" s="237">
        <v>875</v>
      </c>
      <c r="C2265" s="238" t="s">
        <v>1343</v>
      </c>
      <c r="D2265" s="349" t="s">
        <v>765</v>
      </c>
      <c r="E2265" s="237">
        <v>1120</v>
      </c>
      <c r="F2265" s="242" t="s">
        <v>61</v>
      </c>
      <c r="G2265" s="239" t="s">
        <v>974</v>
      </c>
      <c r="H2265" s="240">
        <f t="shared" si="35"/>
        <v>138008</v>
      </c>
      <c r="I2265" s="241"/>
      <c r="J2265" s="221" t="b">
        <f>EXACT(E2266,[1]Main!E2266)</f>
        <v>1</v>
      </c>
    </row>
    <row r="2266" spans="1:10" x14ac:dyDescent="0.25">
      <c r="A2266" s="249">
        <v>45135</v>
      </c>
      <c r="B2266" s="237">
        <v>1241</v>
      </c>
      <c r="C2266" s="238" t="s">
        <v>18</v>
      </c>
      <c r="D2266" s="349" t="s">
        <v>768</v>
      </c>
      <c r="E2266" s="237">
        <f>1500+1985</f>
        <v>3485</v>
      </c>
      <c r="F2266" s="242" t="s">
        <v>17</v>
      </c>
      <c r="G2266" s="239" t="s">
        <v>928</v>
      </c>
      <c r="H2266" s="240">
        <f t="shared" si="35"/>
        <v>135764</v>
      </c>
      <c r="I2266" s="241" t="s">
        <v>1532</v>
      </c>
      <c r="J2266" s="221" t="b">
        <f>EXACT(E2267,[1]Main!E2267)</f>
        <v>1</v>
      </c>
    </row>
    <row r="2267" spans="1:10" x14ac:dyDescent="0.25">
      <c r="A2267" s="249">
        <v>45135</v>
      </c>
      <c r="B2267" s="237">
        <v>105</v>
      </c>
      <c r="C2267" s="238" t="s">
        <v>27</v>
      </c>
      <c r="D2267" s="349"/>
      <c r="E2267" s="237">
        <v>1415</v>
      </c>
      <c r="F2267" s="242" t="s">
        <v>12</v>
      </c>
      <c r="G2267" s="239" t="s">
        <v>974</v>
      </c>
      <c r="H2267" s="240">
        <f t="shared" si="35"/>
        <v>134454</v>
      </c>
      <c r="I2267" s="241"/>
      <c r="J2267" s="221" t="b">
        <f>EXACT(E2268,[1]Main!E2268)</f>
        <v>1</v>
      </c>
    </row>
    <row r="2268" spans="1:10" x14ac:dyDescent="0.25">
      <c r="A2268" s="249">
        <v>45135</v>
      </c>
      <c r="B2268" s="237"/>
      <c r="C2268" s="238"/>
      <c r="D2268" s="349"/>
      <c r="E2268" s="237">
        <v>115</v>
      </c>
      <c r="F2268" s="242" t="s">
        <v>300</v>
      </c>
      <c r="G2268" s="239" t="s">
        <v>930</v>
      </c>
      <c r="H2268" s="240">
        <f t="shared" si="35"/>
        <v>134339</v>
      </c>
      <c r="I2268" s="241"/>
      <c r="J2268" s="221" t="b">
        <f>EXACT(E2269,[1]Main!E2269)</f>
        <v>1</v>
      </c>
    </row>
    <row r="2269" spans="1:10" x14ac:dyDescent="0.25">
      <c r="A2269" s="249">
        <v>45135</v>
      </c>
      <c r="B2269" s="237"/>
      <c r="C2269" s="238"/>
      <c r="D2269" s="349"/>
      <c r="E2269" s="237">
        <v>320</v>
      </c>
      <c r="F2269" s="242" t="s">
        <v>11</v>
      </c>
      <c r="G2269" s="239" t="s">
        <v>935</v>
      </c>
      <c r="H2269" s="240">
        <f t="shared" si="35"/>
        <v>134019</v>
      </c>
      <c r="I2269" s="241"/>
      <c r="J2269" s="221" t="b">
        <f>EXACT(E2270,[1]Main!E2270)</f>
        <v>1</v>
      </c>
    </row>
    <row r="2270" spans="1:10" x14ac:dyDescent="0.25">
      <c r="A2270" s="249">
        <v>45135</v>
      </c>
      <c r="B2270" s="237"/>
      <c r="C2270" s="238"/>
      <c r="D2270" s="349"/>
      <c r="E2270" s="237">
        <v>125</v>
      </c>
      <c r="F2270" s="242" t="s">
        <v>38</v>
      </c>
      <c r="G2270" s="239" t="s">
        <v>930</v>
      </c>
      <c r="H2270" s="240">
        <f t="shared" si="35"/>
        <v>133894</v>
      </c>
      <c r="I2270" s="241"/>
      <c r="J2270" s="221" t="b">
        <f>EXACT(E2271,[1]Main!E2271)</f>
        <v>1</v>
      </c>
    </row>
    <row r="2271" spans="1:10" x14ac:dyDescent="0.25">
      <c r="A2271" s="249">
        <v>45135</v>
      </c>
      <c r="B2271" s="237"/>
      <c r="C2271" s="238"/>
      <c r="D2271" s="349"/>
      <c r="E2271" s="237">
        <v>75</v>
      </c>
      <c r="F2271" s="242" t="s">
        <v>13</v>
      </c>
      <c r="G2271" s="239" t="s">
        <v>930</v>
      </c>
      <c r="H2271" s="240">
        <f t="shared" ref="H2271:H2296" si="36">H2270+B2271-E2271</f>
        <v>133819</v>
      </c>
      <c r="I2271" s="241"/>
      <c r="J2271" s="221" t="b">
        <f>EXACT(E2272,[1]Main!E2272)</f>
        <v>1</v>
      </c>
    </row>
    <row r="2272" spans="1:10" x14ac:dyDescent="0.25">
      <c r="A2272" s="249">
        <v>45135</v>
      </c>
      <c r="B2272" s="237"/>
      <c r="C2272" s="238"/>
      <c r="D2272" s="349"/>
      <c r="E2272" s="237">
        <v>195</v>
      </c>
      <c r="F2272" s="238" t="s">
        <v>27</v>
      </c>
      <c r="G2272" s="239" t="s">
        <v>943</v>
      </c>
      <c r="H2272" s="240">
        <f t="shared" si="36"/>
        <v>133624</v>
      </c>
      <c r="I2272" s="241"/>
      <c r="J2272" s="221" t="b">
        <f>EXACT(E2273,[1]Main!E2273)</f>
        <v>1</v>
      </c>
    </row>
    <row r="2273" spans="1:10" x14ac:dyDescent="0.25">
      <c r="A2273" s="249">
        <v>45135</v>
      </c>
      <c r="B2273" s="237"/>
      <c r="C2273" s="238"/>
      <c r="D2273" s="349"/>
      <c r="E2273" s="237">
        <v>305</v>
      </c>
      <c r="F2273" s="242" t="s">
        <v>1534</v>
      </c>
      <c r="G2273" s="239" t="s">
        <v>935</v>
      </c>
      <c r="H2273" s="240">
        <f t="shared" si="36"/>
        <v>133319</v>
      </c>
      <c r="I2273" s="241"/>
      <c r="J2273" s="221" t="b">
        <f>EXACT(E2274,[1]Main!E2274)</f>
        <v>1</v>
      </c>
    </row>
    <row r="2274" spans="1:10" x14ac:dyDescent="0.25">
      <c r="A2274" s="249">
        <v>45135</v>
      </c>
      <c r="B2274" s="237"/>
      <c r="C2274" s="238"/>
      <c r="D2274" s="349"/>
      <c r="E2274" s="237">
        <v>490</v>
      </c>
      <c r="F2274" s="238" t="s">
        <v>27</v>
      </c>
      <c r="G2274" s="239" t="s">
        <v>943</v>
      </c>
      <c r="H2274" s="240">
        <f t="shared" si="36"/>
        <v>132829</v>
      </c>
      <c r="I2274" s="241"/>
      <c r="J2274" s="221" t="b">
        <f>EXACT(E2275,[1]Main!E2275)</f>
        <v>1</v>
      </c>
    </row>
    <row r="2275" spans="1:10" x14ac:dyDescent="0.25">
      <c r="A2275" s="249">
        <v>45135</v>
      </c>
      <c r="B2275" s="237"/>
      <c r="C2275" s="238"/>
      <c r="D2275" s="349"/>
      <c r="E2275" s="309"/>
      <c r="F2275" s="243"/>
      <c r="G2275" s="239"/>
      <c r="H2275" s="240">
        <f t="shared" si="36"/>
        <v>132829</v>
      </c>
      <c r="I2275" s="241"/>
      <c r="J2275" s="221" t="b">
        <f>EXACT(E2276,[1]Main!E2276)</f>
        <v>1</v>
      </c>
    </row>
    <row r="2276" spans="1:10" x14ac:dyDescent="0.25">
      <c r="A2276" s="249">
        <v>45135</v>
      </c>
      <c r="B2276" s="237"/>
      <c r="C2276" s="238"/>
      <c r="D2276" s="349"/>
      <c r="E2276" s="237">
        <v>10000</v>
      </c>
      <c r="F2276" s="242" t="s">
        <v>1311</v>
      </c>
      <c r="G2276" s="239" t="s">
        <v>928</v>
      </c>
      <c r="H2276" s="240">
        <f t="shared" si="36"/>
        <v>122829</v>
      </c>
      <c r="I2276" s="241" t="s">
        <v>819</v>
      </c>
      <c r="J2276" s="221" t="b">
        <f>EXACT(E2277,[1]Main!E2277)</f>
        <v>1</v>
      </c>
    </row>
    <row r="2277" spans="1:10" x14ac:dyDescent="0.25">
      <c r="A2277" s="249">
        <v>45135</v>
      </c>
      <c r="B2277" s="237"/>
      <c r="C2277" s="238"/>
      <c r="D2277" s="349"/>
      <c r="E2277" s="237">
        <v>240</v>
      </c>
      <c r="F2277" s="242" t="s">
        <v>1109</v>
      </c>
      <c r="G2277" s="239" t="s">
        <v>930</v>
      </c>
      <c r="H2277" s="240">
        <f t="shared" si="36"/>
        <v>122589</v>
      </c>
      <c r="I2277" s="241"/>
      <c r="J2277" s="221" t="b">
        <f>EXACT(E2278,[1]Main!E2278)</f>
        <v>1</v>
      </c>
    </row>
    <row r="2278" spans="1:10" x14ac:dyDescent="0.25">
      <c r="A2278" s="249">
        <v>45135</v>
      </c>
      <c r="B2278" s="237"/>
      <c r="C2278" s="238"/>
      <c r="D2278" s="349"/>
      <c r="E2278" s="237">
        <v>31</v>
      </c>
      <c r="F2278" s="242" t="s">
        <v>349</v>
      </c>
      <c r="G2278" s="239" t="s">
        <v>931</v>
      </c>
      <c r="H2278" s="240">
        <f t="shared" si="36"/>
        <v>122558</v>
      </c>
      <c r="I2278" s="241"/>
      <c r="J2278" s="221" t="b">
        <f>EXACT(E2279,[1]Main!E2279)</f>
        <v>1</v>
      </c>
    </row>
    <row r="2279" spans="1:10" x14ac:dyDescent="0.25">
      <c r="A2279" s="249">
        <v>45135</v>
      </c>
      <c r="B2279" s="237"/>
      <c r="C2279" s="238"/>
      <c r="D2279" s="349"/>
      <c r="E2279" s="237">
        <v>9</v>
      </c>
      <c r="F2279" s="242" t="s">
        <v>71</v>
      </c>
      <c r="G2279" s="239" t="s">
        <v>931</v>
      </c>
      <c r="H2279" s="240">
        <f t="shared" si="36"/>
        <v>122549</v>
      </c>
      <c r="I2279" s="241"/>
      <c r="J2279" s="221" t="b">
        <f>EXACT(E2280,[1]Main!E2280)</f>
        <v>1</v>
      </c>
    </row>
    <row r="2280" spans="1:10" x14ac:dyDescent="0.25">
      <c r="A2280" s="249">
        <v>45135</v>
      </c>
      <c r="B2280" s="237"/>
      <c r="C2280" s="238"/>
      <c r="D2280" s="349"/>
      <c r="E2280" s="237">
        <v>50</v>
      </c>
      <c r="F2280" s="242" t="s">
        <v>1535</v>
      </c>
      <c r="G2280" s="239" t="s">
        <v>464</v>
      </c>
      <c r="H2280" s="240">
        <f t="shared" si="36"/>
        <v>122499</v>
      </c>
      <c r="I2280" s="241"/>
      <c r="J2280" s="221" t="b">
        <f>EXACT(E2281,[1]Main!E2281)</f>
        <v>1</v>
      </c>
    </row>
    <row r="2281" spans="1:10" x14ac:dyDescent="0.25">
      <c r="A2281" s="249">
        <v>45135</v>
      </c>
      <c r="B2281" s="237"/>
      <c r="C2281" s="238"/>
      <c r="D2281" s="349"/>
      <c r="E2281" s="237">
        <v>260</v>
      </c>
      <c r="F2281" s="242" t="s">
        <v>776</v>
      </c>
      <c r="G2281" s="239" t="s">
        <v>931</v>
      </c>
      <c r="H2281" s="240">
        <f t="shared" si="36"/>
        <v>122239</v>
      </c>
      <c r="I2281" s="241"/>
      <c r="J2281" s="221" t="b">
        <f>EXACT(E2282,[1]Main!E2282)</f>
        <v>1</v>
      </c>
    </row>
    <row r="2282" spans="1:10" x14ac:dyDescent="0.25">
      <c r="A2282" s="249">
        <v>45135</v>
      </c>
      <c r="B2282" s="237"/>
      <c r="C2282" s="238"/>
      <c r="D2282" s="349"/>
      <c r="E2282" s="237">
        <v>2450</v>
      </c>
      <c r="F2282" s="242" t="s">
        <v>1536</v>
      </c>
      <c r="G2282" s="239" t="s">
        <v>928</v>
      </c>
      <c r="H2282" s="240">
        <f t="shared" si="36"/>
        <v>119789</v>
      </c>
      <c r="I2282" s="241" t="s">
        <v>1137</v>
      </c>
      <c r="J2282" s="221" t="b">
        <f>EXACT(E2283,[1]Main!E2283)</f>
        <v>1</v>
      </c>
    </row>
    <row r="2283" spans="1:10" x14ac:dyDescent="0.25">
      <c r="A2283" s="249">
        <v>45135</v>
      </c>
      <c r="B2283" s="237"/>
      <c r="C2283" s="238"/>
      <c r="D2283" s="349"/>
      <c r="E2283" s="237">
        <v>100000</v>
      </c>
      <c r="F2283" s="242" t="s">
        <v>1537</v>
      </c>
      <c r="G2283" s="239" t="s">
        <v>938</v>
      </c>
      <c r="H2283" s="240">
        <f t="shared" si="36"/>
        <v>19789</v>
      </c>
      <c r="I2283" s="241"/>
      <c r="J2283" s="221" t="b">
        <f>EXACT(E2284,[1]Main!E2284)</f>
        <v>1</v>
      </c>
    </row>
    <row r="2284" spans="1:10" x14ac:dyDescent="0.25">
      <c r="A2284" s="324">
        <v>45135</v>
      </c>
      <c r="B2284" s="325"/>
      <c r="C2284" s="326"/>
      <c r="D2284" s="327"/>
      <c r="E2284" s="325"/>
      <c r="F2284" s="328"/>
      <c r="G2284" s="327"/>
      <c r="H2284" s="379">
        <f t="shared" si="36"/>
        <v>19789</v>
      </c>
      <c r="I2284" s="329"/>
      <c r="J2284" s="221" t="b">
        <f>EXACT(E2285,[1]Main!E2285)</f>
        <v>1</v>
      </c>
    </row>
    <row r="2285" spans="1:10" x14ac:dyDescent="0.25">
      <c r="A2285" s="249">
        <v>45136</v>
      </c>
      <c r="B2285" s="237">
        <v>95</v>
      </c>
      <c r="C2285" s="238" t="s">
        <v>27</v>
      </c>
      <c r="D2285" s="349"/>
      <c r="E2285" s="237">
        <v>5000</v>
      </c>
      <c r="F2285" s="242" t="s">
        <v>1538</v>
      </c>
      <c r="G2285" s="239" t="s">
        <v>928</v>
      </c>
      <c r="H2285" s="240">
        <f t="shared" si="36"/>
        <v>14884</v>
      </c>
      <c r="I2285" s="241" t="s">
        <v>796</v>
      </c>
      <c r="J2285" s="221" t="b">
        <f>EXACT(E2286,[1]Main!E2286)</f>
        <v>1</v>
      </c>
    </row>
    <row r="2286" spans="1:10" x14ac:dyDescent="0.25">
      <c r="A2286" s="249">
        <v>45136</v>
      </c>
      <c r="B2286" s="426">
        <v>13075</v>
      </c>
      <c r="C2286" s="427" t="s">
        <v>300</v>
      </c>
      <c r="D2286" s="349"/>
      <c r="E2286" s="237">
        <v>2000</v>
      </c>
      <c r="F2286" s="242" t="s">
        <v>1470</v>
      </c>
      <c r="G2286" s="239" t="s">
        <v>928</v>
      </c>
      <c r="H2286" s="240">
        <f t="shared" si="36"/>
        <v>25959</v>
      </c>
      <c r="I2286" s="241" t="s">
        <v>796</v>
      </c>
      <c r="J2286" s="221" t="b">
        <f>EXACT(E2287,[1]Main!E2287)</f>
        <v>1</v>
      </c>
    </row>
    <row r="2287" spans="1:10" x14ac:dyDescent="0.25">
      <c r="A2287" s="249">
        <v>45136</v>
      </c>
      <c r="B2287" s="426">
        <v>1009</v>
      </c>
      <c r="C2287" s="427" t="s">
        <v>1560</v>
      </c>
      <c r="D2287" s="349"/>
      <c r="E2287" s="237">
        <v>5625</v>
      </c>
      <c r="F2287" s="242" t="s">
        <v>1546</v>
      </c>
      <c r="G2287" s="239" t="s">
        <v>928</v>
      </c>
      <c r="H2287" s="240">
        <f t="shared" si="36"/>
        <v>21343</v>
      </c>
      <c r="I2287" s="241" t="s">
        <v>796</v>
      </c>
      <c r="J2287" s="221" t="b">
        <f>EXACT(E2288,[1]Main!E2288)</f>
        <v>1</v>
      </c>
    </row>
    <row r="2288" spans="1:10" x14ac:dyDescent="0.25">
      <c r="A2288" s="249">
        <v>45136</v>
      </c>
      <c r="B2288" s="445">
        <v>8740</v>
      </c>
      <c r="C2288" s="447" t="s">
        <v>1542</v>
      </c>
      <c r="D2288" s="349"/>
      <c r="E2288" s="237">
        <v>3340</v>
      </c>
      <c r="F2288" s="242" t="s">
        <v>1547</v>
      </c>
      <c r="G2288" s="239" t="s">
        <v>928</v>
      </c>
      <c r="H2288" s="240">
        <f t="shared" si="36"/>
        <v>26743</v>
      </c>
      <c r="I2288" s="241" t="s">
        <v>796</v>
      </c>
      <c r="J2288" s="221" t="b">
        <f>EXACT(E2289,[1]Main!E2289)</f>
        <v>1</v>
      </c>
    </row>
    <row r="2289" spans="1:10" x14ac:dyDescent="0.25">
      <c r="A2289" s="249">
        <v>45136</v>
      </c>
      <c r="B2289" s="237">
        <v>935</v>
      </c>
      <c r="C2289" s="238" t="s">
        <v>1298</v>
      </c>
      <c r="D2289" s="349"/>
      <c r="E2289" s="237">
        <v>6015</v>
      </c>
      <c r="F2289" s="242" t="s">
        <v>1548</v>
      </c>
      <c r="G2289" s="239" t="s">
        <v>928</v>
      </c>
      <c r="H2289" s="240">
        <f t="shared" si="36"/>
        <v>21663</v>
      </c>
      <c r="I2289" s="241"/>
      <c r="J2289" s="221" t="b">
        <f>EXACT(E2290,[1]Main!E2290)</f>
        <v>1</v>
      </c>
    </row>
    <row r="2290" spans="1:10" x14ac:dyDescent="0.25">
      <c r="A2290" s="249">
        <v>45136</v>
      </c>
      <c r="B2290" s="448">
        <v>11223</v>
      </c>
      <c r="C2290" s="450" t="s">
        <v>1561</v>
      </c>
      <c r="D2290" s="349"/>
      <c r="E2290" s="237">
        <v>985</v>
      </c>
      <c r="F2290" s="242" t="s">
        <v>27</v>
      </c>
      <c r="G2290" s="239" t="s">
        <v>943</v>
      </c>
      <c r="H2290" s="240">
        <f t="shared" si="36"/>
        <v>31901</v>
      </c>
      <c r="I2290" s="241"/>
      <c r="J2290" s="221" t="b">
        <f>EXACT(E2291,[1]Main!E2291)</f>
        <v>1</v>
      </c>
    </row>
    <row r="2291" spans="1:10" x14ac:dyDescent="0.25">
      <c r="A2291" s="249">
        <v>45136</v>
      </c>
      <c r="B2291" s="451">
        <v>5060</v>
      </c>
      <c r="C2291" s="453" t="s">
        <v>1291</v>
      </c>
      <c r="D2291" s="349"/>
      <c r="E2291" s="237">
        <v>3635</v>
      </c>
      <c r="F2291" s="242" t="s">
        <v>1552</v>
      </c>
      <c r="G2291" s="239" t="s">
        <v>928</v>
      </c>
      <c r="H2291" s="240">
        <f t="shared" si="36"/>
        <v>33326</v>
      </c>
      <c r="I2291" s="241" t="s">
        <v>796</v>
      </c>
      <c r="J2291" s="221" t="b">
        <f>EXACT(E2292,[1]Main!E2292)</f>
        <v>1</v>
      </c>
    </row>
    <row r="2292" spans="1:10" x14ac:dyDescent="0.25">
      <c r="A2292" s="249">
        <v>45136</v>
      </c>
      <c r="B2292" s="376">
        <v>19200</v>
      </c>
      <c r="C2292" s="438" t="s">
        <v>1387</v>
      </c>
      <c r="D2292" s="349"/>
      <c r="E2292" s="237">
        <v>95</v>
      </c>
      <c r="F2292" s="242" t="s">
        <v>27</v>
      </c>
      <c r="G2292" s="239" t="s">
        <v>943</v>
      </c>
      <c r="H2292" s="240">
        <f t="shared" si="36"/>
        <v>52431</v>
      </c>
      <c r="I2292" s="241"/>
      <c r="J2292" s="221" t="b">
        <f>EXACT(E2293,[1]Main!E2293)</f>
        <v>1</v>
      </c>
    </row>
    <row r="2293" spans="1:10" x14ac:dyDescent="0.25">
      <c r="A2293" s="249">
        <v>45136</v>
      </c>
      <c r="B2293" s="237">
        <v>932</v>
      </c>
      <c r="C2293" s="238" t="s">
        <v>916</v>
      </c>
      <c r="D2293" s="349"/>
      <c r="E2293" s="237">
        <v>70</v>
      </c>
      <c r="F2293" s="242" t="s">
        <v>27</v>
      </c>
      <c r="G2293" s="239" t="s">
        <v>943</v>
      </c>
      <c r="H2293" s="240">
        <f t="shared" si="36"/>
        <v>53293</v>
      </c>
      <c r="I2293" s="241"/>
      <c r="J2293" s="221" t="b">
        <f>EXACT(E2294,[1]Main!E2294)</f>
        <v>1</v>
      </c>
    </row>
    <row r="2294" spans="1:10" x14ac:dyDescent="0.25">
      <c r="A2294" s="249">
        <v>45136</v>
      </c>
      <c r="B2294" s="300">
        <v>18410</v>
      </c>
      <c r="C2294" s="301" t="s">
        <v>1549</v>
      </c>
      <c r="D2294" s="349"/>
      <c r="E2294" s="237">
        <v>2175</v>
      </c>
      <c r="F2294" s="242" t="s">
        <v>1553</v>
      </c>
      <c r="G2294" s="239" t="s">
        <v>928</v>
      </c>
      <c r="H2294" s="240">
        <f t="shared" si="36"/>
        <v>69528</v>
      </c>
      <c r="I2294" s="241" t="s">
        <v>1554</v>
      </c>
      <c r="J2294" s="221" t="b">
        <f>EXACT(E2295,[1]Main!E2295)</f>
        <v>1</v>
      </c>
    </row>
    <row r="2295" spans="1:10" x14ac:dyDescent="0.25">
      <c r="A2295" s="249">
        <v>45136</v>
      </c>
      <c r="B2295" s="237">
        <v>435</v>
      </c>
      <c r="C2295" s="238" t="s">
        <v>1062</v>
      </c>
      <c r="D2295" s="349"/>
      <c r="E2295" s="237">
        <v>1325</v>
      </c>
      <c r="F2295" s="242" t="s">
        <v>37</v>
      </c>
      <c r="G2295" s="239" t="s">
        <v>928</v>
      </c>
      <c r="H2295" s="240">
        <f t="shared" si="36"/>
        <v>68638</v>
      </c>
      <c r="I2295" s="241"/>
      <c r="J2295" s="221" t="b">
        <f>EXACT(E2296,[1]Main!E2296)</f>
        <v>1</v>
      </c>
    </row>
    <row r="2296" spans="1:10" x14ac:dyDescent="0.25">
      <c r="A2296" s="249">
        <v>45136</v>
      </c>
      <c r="B2296" s="454">
        <v>12387</v>
      </c>
      <c r="C2296" s="456" t="s">
        <v>80</v>
      </c>
      <c r="D2296" s="349"/>
      <c r="E2296" s="237">
        <v>195</v>
      </c>
      <c r="F2296" s="242" t="s">
        <v>610</v>
      </c>
      <c r="G2296" s="239" t="s">
        <v>943</v>
      </c>
      <c r="H2296" s="240">
        <f t="shared" si="36"/>
        <v>80830</v>
      </c>
      <c r="I2296" s="241" t="s">
        <v>38</v>
      </c>
      <c r="J2296" s="221" t="b">
        <f>EXACT(E2297,[1]Main!E2297)</f>
        <v>1</v>
      </c>
    </row>
    <row r="2297" spans="1:10" x14ac:dyDescent="0.25">
      <c r="A2297" s="249">
        <v>45136</v>
      </c>
      <c r="B2297" s="237">
        <v>1485</v>
      </c>
      <c r="C2297" s="238" t="s">
        <v>979</v>
      </c>
      <c r="D2297" s="349"/>
      <c r="E2297" s="237">
        <v>120</v>
      </c>
      <c r="F2297" s="242" t="s">
        <v>1555</v>
      </c>
      <c r="G2297" s="239"/>
      <c r="H2297" s="240">
        <f t="shared" ref="H2297:H2360" si="37">H2296+B2297-E2297</f>
        <v>82195</v>
      </c>
      <c r="I2297" s="241"/>
      <c r="J2297" s="221" t="b">
        <f>EXACT(E2298,[1]Main!E2298)</f>
        <v>1</v>
      </c>
    </row>
    <row r="2298" spans="1:10" x14ac:dyDescent="0.25">
      <c r="A2298" s="249">
        <v>45136</v>
      </c>
      <c r="B2298" s="237">
        <v>1515</v>
      </c>
      <c r="C2298" s="238" t="s">
        <v>610</v>
      </c>
      <c r="D2298" s="349"/>
      <c r="E2298" s="237">
        <v>630</v>
      </c>
      <c r="F2298" s="242" t="s">
        <v>27</v>
      </c>
      <c r="G2298" s="239" t="s">
        <v>943</v>
      </c>
      <c r="H2298" s="240">
        <f t="shared" si="37"/>
        <v>83080</v>
      </c>
      <c r="I2298" s="241"/>
      <c r="J2298" s="221" t="b">
        <f>EXACT(E2299,[1]Main!E2299)</f>
        <v>1</v>
      </c>
    </row>
    <row r="2299" spans="1:10" x14ac:dyDescent="0.25">
      <c r="A2299" s="249">
        <v>45136</v>
      </c>
      <c r="B2299" s="237">
        <v>7058</v>
      </c>
      <c r="C2299" s="238" t="s">
        <v>1564</v>
      </c>
      <c r="D2299" s="349"/>
      <c r="E2299" s="237">
        <v>100</v>
      </c>
      <c r="F2299" s="242" t="s">
        <v>1557</v>
      </c>
      <c r="G2299" s="239" t="s">
        <v>930</v>
      </c>
      <c r="H2299" s="240">
        <f t="shared" si="37"/>
        <v>90038</v>
      </c>
      <c r="I2299" s="241"/>
      <c r="J2299" s="221" t="b">
        <f>EXACT(E2300,[1]Main!E2300)</f>
        <v>1</v>
      </c>
    </row>
    <row r="2300" spans="1:10" x14ac:dyDescent="0.25">
      <c r="A2300" s="249">
        <v>45136</v>
      </c>
      <c r="B2300" s="237">
        <v>1950</v>
      </c>
      <c r="C2300" s="238" t="s">
        <v>1569</v>
      </c>
      <c r="D2300" s="349"/>
      <c r="E2300" s="237">
        <v>1550</v>
      </c>
      <c r="F2300" s="242" t="s">
        <v>1558</v>
      </c>
      <c r="G2300" s="239" t="s">
        <v>928</v>
      </c>
      <c r="H2300" s="240">
        <f t="shared" si="37"/>
        <v>90438</v>
      </c>
      <c r="I2300" s="241" t="s">
        <v>1559</v>
      </c>
      <c r="J2300" s="221" t="b">
        <f>EXACT(E2301,[1]Main!E2301)</f>
        <v>1</v>
      </c>
    </row>
    <row r="2301" spans="1:10" x14ac:dyDescent="0.25">
      <c r="A2301" s="249">
        <v>45136</v>
      </c>
      <c r="B2301" s="433">
        <v>17186</v>
      </c>
      <c r="C2301" s="435" t="s">
        <v>88</v>
      </c>
      <c r="D2301" s="349"/>
      <c r="E2301" s="426">
        <v>195</v>
      </c>
      <c r="F2301" s="428" t="s">
        <v>27</v>
      </c>
      <c r="G2301" s="239" t="s">
        <v>943</v>
      </c>
      <c r="H2301" s="240">
        <f t="shared" si="37"/>
        <v>107429</v>
      </c>
      <c r="I2301" s="241"/>
      <c r="J2301" s="221" t="b">
        <f>EXACT(E2302,[1]Main!E2302)</f>
        <v>1</v>
      </c>
    </row>
    <row r="2302" spans="1:10" x14ac:dyDescent="0.25">
      <c r="A2302" s="249">
        <v>45136</v>
      </c>
      <c r="B2302" s="237">
        <v>100</v>
      </c>
      <c r="C2302" s="238" t="s">
        <v>1061</v>
      </c>
      <c r="D2302" s="349"/>
      <c r="E2302" s="426">
        <v>1380</v>
      </c>
      <c r="F2302" s="428" t="s">
        <v>14</v>
      </c>
      <c r="G2302" s="239" t="s">
        <v>928</v>
      </c>
      <c r="H2302" s="240">
        <f t="shared" si="37"/>
        <v>106149</v>
      </c>
      <c r="I2302" s="241"/>
      <c r="J2302" s="221" t="b">
        <f>EXACT(E2303,[1]Main!E2303)</f>
        <v>1</v>
      </c>
    </row>
    <row r="2303" spans="1:10" x14ac:dyDescent="0.25">
      <c r="A2303" s="249">
        <v>45136</v>
      </c>
      <c r="B2303" s="237">
        <v>623</v>
      </c>
      <c r="C2303" s="238" t="s">
        <v>1062</v>
      </c>
      <c r="D2303" s="349"/>
      <c r="E2303" s="426">
        <v>15</v>
      </c>
      <c r="F2303" s="428" t="s">
        <v>73</v>
      </c>
      <c r="G2303" s="239" t="s">
        <v>945</v>
      </c>
      <c r="H2303" s="240">
        <f t="shared" si="37"/>
        <v>106757</v>
      </c>
      <c r="I2303" s="241"/>
      <c r="J2303" s="221" t="b">
        <f>EXACT(E2304,[1]Main!E2304)</f>
        <v>1</v>
      </c>
    </row>
    <row r="2304" spans="1:10" x14ac:dyDescent="0.25">
      <c r="A2304" s="249">
        <v>45136</v>
      </c>
      <c r="B2304" s="237">
        <v>17793</v>
      </c>
      <c r="C2304" s="238" t="s">
        <v>363</v>
      </c>
      <c r="D2304" s="349"/>
      <c r="E2304" s="426">
        <v>750</v>
      </c>
      <c r="F2304" s="428" t="s">
        <v>1539</v>
      </c>
      <c r="G2304" s="239" t="s">
        <v>464</v>
      </c>
      <c r="H2304" s="240">
        <f t="shared" si="37"/>
        <v>123800</v>
      </c>
      <c r="I2304" s="241"/>
      <c r="J2304" s="221" t="b">
        <f>EXACT(E2305,[1]Main!E2305)</f>
        <v>1</v>
      </c>
    </row>
    <row r="2305" spans="1:10" x14ac:dyDescent="0.25">
      <c r="A2305" s="249">
        <v>45136</v>
      </c>
      <c r="B2305" s="237">
        <v>7316</v>
      </c>
      <c r="C2305" s="238" t="s">
        <v>266</v>
      </c>
      <c r="D2305" s="349"/>
      <c r="E2305" s="426">
        <v>10</v>
      </c>
      <c r="F2305" s="428" t="s">
        <v>446</v>
      </c>
      <c r="G2305" s="239" t="s">
        <v>931</v>
      </c>
      <c r="H2305" s="240">
        <f t="shared" si="37"/>
        <v>131106</v>
      </c>
      <c r="I2305" s="241"/>
      <c r="J2305" s="221" t="b">
        <f>EXACT(E2306,[1]Main!E2306)</f>
        <v>1</v>
      </c>
    </row>
    <row r="2306" spans="1:10" x14ac:dyDescent="0.25">
      <c r="A2306" s="249">
        <v>45136</v>
      </c>
      <c r="B2306" s="237">
        <v>1323</v>
      </c>
      <c r="C2306" s="238" t="s">
        <v>916</v>
      </c>
      <c r="D2306" s="349"/>
      <c r="E2306" s="426">
        <v>280</v>
      </c>
      <c r="F2306" s="428" t="s">
        <v>8</v>
      </c>
      <c r="G2306" s="239" t="s">
        <v>930</v>
      </c>
      <c r="H2306" s="240">
        <f t="shared" si="37"/>
        <v>132149</v>
      </c>
      <c r="I2306" s="241"/>
      <c r="J2306" s="221" t="b">
        <f>EXACT(E2307,[1]Main!E2307)</f>
        <v>1</v>
      </c>
    </row>
    <row r="2307" spans="1:10" x14ac:dyDescent="0.25">
      <c r="A2307" s="249">
        <v>45136</v>
      </c>
      <c r="B2307" s="325">
        <v>18155</v>
      </c>
      <c r="C2307" s="326" t="s">
        <v>915</v>
      </c>
      <c r="D2307" s="349"/>
      <c r="E2307" s="426">
        <v>170</v>
      </c>
      <c r="F2307" s="428" t="s">
        <v>7</v>
      </c>
      <c r="G2307" s="239" t="s">
        <v>930</v>
      </c>
      <c r="H2307" s="240">
        <f t="shared" si="37"/>
        <v>150134</v>
      </c>
      <c r="I2307" s="241"/>
      <c r="J2307" s="221" t="b">
        <f>EXACT(E2308,[1]Main!E2308)</f>
        <v>1</v>
      </c>
    </row>
    <row r="2308" spans="1:10" x14ac:dyDescent="0.25">
      <c r="A2308" s="249">
        <v>45136</v>
      </c>
      <c r="B2308" s="237">
        <v>840</v>
      </c>
      <c r="C2308" s="238" t="s">
        <v>490</v>
      </c>
      <c r="D2308" s="349"/>
      <c r="E2308" s="426">
        <v>100</v>
      </c>
      <c r="F2308" s="428" t="s">
        <v>80</v>
      </c>
      <c r="G2308" s="239" t="s">
        <v>930</v>
      </c>
      <c r="H2308" s="240">
        <f t="shared" si="37"/>
        <v>150874</v>
      </c>
      <c r="I2308" s="241"/>
      <c r="J2308" s="221" t="b">
        <f>EXACT(E2309,[1]Main!E2309)</f>
        <v>1</v>
      </c>
    </row>
    <row r="2309" spans="1:10" x14ac:dyDescent="0.25">
      <c r="A2309" s="249">
        <v>45136</v>
      </c>
      <c r="B2309" s="237">
        <f>750+370</f>
        <v>1120</v>
      </c>
      <c r="C2309" s="238" t="s">
        <v>1587</v>
      </c>
      <c r="D2309" s="349"/>
      <c r="E2309" s="426">
        <v>170</v>
      </c>
      <c r="F2309" s="428" t="s">
        <v>399</v>
      </c>
      <c r="G2309" s="239" t="s">
        <v>930</v>
      </c>
      <c r="H2309" s="240">
        <f t="shared" si="37"/>
        <v>151824</v>
      </c>
      <c r="I2309" s="241"/>
      <c r="J2309" s="221" t="b">
        <f>EXACT(E2310,[1]Main!E2310)</f>
        <v>1</v>
      </c>
    </row>
    <row r="2310" spans="1:10" x14ac:dyDescent="0.25">
      <c r="A2310" s="249">
        <v>45136</v>
      </c>
      <c r="B2310" s="237">
        <v>9740</v>
      </c>
      <c r="C2310" s="238" t="s">
        <v>1162</v>
      </c>
      <c r="D2310" s="349"/>
      <c r="E2310" s="426">
        <v>4990</v>
      </c>
      <c r="F2310" s="428" t="s">
        <v>1540</v>
      </c>
      <c r="G2310" s="239" t="s">
        <v>928</v>
      </c>
      <c r="H2310" s="240">
        <f t="shared" si="37"/>
        <v>156574</v>
      </c>
      <c r="I2310" s="241"/>
      <c r="J2310" s="221" t="b">
        <f>EXACT(E2311,[1]Main!E2311)</f>
        <v>1</v>
      </c>
    </row>
    <row r="2311" spans="1:10" x14ac:dyDescent="0.25">
      <c r="A2311" s="249">
        <v>45136</v>
      </c>
      <c r="B2311" s="237"/>
      <c r="C2311" s="238"/>
      <c r="D2311" s="349"/>
      <c r="E2311" s="426">
        <v>1200</v>
      </c>
      <c r="F2311" s="428" t="s">
        <v>12</v>
      </c>
      <c r="G2311" s="239" t="s">
        <v>974</v>
      </c>
      <c r="H2311" s="240">
        <f t="shared" si="37"/>
        <v>155374</v>
      </c>
      <c r="I2311" s="241"/>
      <c r="J2311" s="221" t="b">
        <f>EXACT(E2312,[1]Main!E2312)</f>
        <v>1</v>
      </c>
    </row>
    <row r="2312" spans="1:10" x14ac:dyDescent="0.25">
      <c r="A2312" s="249">
        <v>45136</v>
      </c>
      <c r="B2312" s="237"/>
      <c r="C2312" s="238"/>
      <c r="D2312" s="349"/>
      <c r="E2312" s="426">
        <v>3000</v>
      </c>
      <c r="F2312" s="428" t="s">
        <v>1541</v>
      </c>
      <c r="G2312" s="239" t="s">
        <v>928</v>
      </c>
      <c r="H2312" s="240">
        <f t="shared" si="37"/>
        <v>152374</v>
      </c>
      <c r="I2312" s="241"/>
      <c r="J2312" s="221" t="b">
        <f>EXACT(E2313,[1]Main!E2313)</f>
        <v>1</v>
      </c>
    </row>
    <row r="2313" spans="1:10" x14ac:dyDescent="0.25">
      <c r="A2313" s="249">
        <v>45136</v>
      </c>
      <c r="B2313" s="237"/>
      <c r="C2313" s="238"/>
      <c r="D2313" s="349"/>
      <c r="E2313" s="445">
        <v>1230</v>
      </c>
      <c r="F2313" s="446" t="s">
        <v>1543</v>
      </c>
      <c r="G2313" s="239" t="s">
        <v>928</v>
      </c>
      <c r="H2313" s="240">
        <f t="shared" si="37"/>
        <v>151144</v>
      </c>
      <c r="I2313" s="241"/>
      <c r="J2313" s="221" t="b">
        <f>EXACT(E2314,[1]Main!E2314)</f>
        <v>1</v>
      </c>
    </row>
    <row r="2314" spans="1:10" x14ac:dyDescent="0.25">
      <c r="A2314" s="249">
        <v>45136</v>
      </c>
      <c r="B2314" s="237"/>
      <c r="C2314" s="238"/>
      <c r="D2314" s="349"/>
      <c r="E2314" s="445">
        <v>175</v>
      </c>
      <c r="F2314" s="446" t="s">
        <v>1450</v>
      </c>
      <c r="G2314" s="239" t="s">
        <v>930</v>
      </c>
      <c r="H2314" s="240">
        <f t="shared" si="37"/>
        <v>150969</v>
      </c>
      <c r="I2314" s="241"/>
      <c r="J2314" s="221" t="b">
        <f>EXACT(E2315,[1]Main!E2315)</f>
        <v>1</v>
      </c>
    </row>
    <row r="2315" spans="1:10" x14ac:dyDescent="0.25">
      <c r="A2315" s="249">
        <v>45136</v>
      </c>
      <c r="B2315" s="237"/>
      <c r="C2315" s="238"/>
      <c r="D2315" s="349"/>
      <c r="E2315" s="445">
        <v>75</v>
      </c>
      <c r="F2315" s="446" t="s">
        <v>26</v>
      </c>
      <c r="G2315" s="239" t="s">
        <v>930</v>
      </c>
      <c r="H2315" s="240">
        <f t="shared" si="37"/>
        <v>150894</v>
      </c>
      <c r="I2315" s="241"/>
      <c r="J2315" s="221" t="b">
        <f>EXACT(E2316,[1]Main!E2316)</f>
        <v>1</v>
      </c>
    </row>
    <row r="2316" spans="1:10" x14ac:dyDescent="0.25">
      <c r="A2316" s="249">
        <v>45136</v>
      </c>
      <c r="B2316" s="237"/>
      <c r="C2316" s="238"/>
      <c r="D2316" s="349"/>
      <c r="E2316" s="445">
        <v>85</v>
      </c>
      <c r="F2316" s="446" t="s">
        <v>1219</v>
      </c>
      <c r="G2316" s="239" t="s">
        <v>930</v>
      </c>
      <c r="H2316" s="240">
        <f t="shared" si="37"/>
        <v>150809</v>
      </c>
      <c r="I2316" s="241"/>
      <c r="J2316" s="221" t="b">
        <f>EXACT(E2317,[1]Main!E2317)</f>
        <v>1</v>
      </c>
    </row>
    <row r="2317" spans="1:10" x14ac:dyDescent="0.25">
      <c r="A2317" s="249">
        <v>45136</v>
      </c>
      <c r="B2317" s="237"/>
      <c r="C2317" s="238"/>
      <c r="D2317" s="349"/>
      <c r="E2317" s="445">
        <v>710</v>
      </c>
      <c r="F2317" s="446" t="s">
        <v>279</v>
      </c>
      <c r="G2317" s="239" t="s">
        <v>930</v>
      </c>
      <c r="H2317" s="240">
        <f t="shared" si="37"/>
        <v>150099</v>
      </c>
      <c r="I2317" s="241"/>
      <c r="J2317" s="221" t="b">
        <f>EXACT(E2318,[1]Main!E2318)</f>
        <v>1</v>
      </c>
    </row>
    <row r="2318" spans="1:10" x14ac:dyDescent="0.25">
      <c r="A2318" s="249">
        <v>45136</v>
      </c>
      <c r="B2318" s="237"/>
      <c r="C2318" s="238"/>
      <c r="D2318" s="349"/>
      <c r="E2318" s="445">
        <v>260</v>
      </c>
      <c r="F2318" s="446" t="s">
        <v>741</v>
      </c>
      <c r="G2318" s="239"/>
      <c r="H2318" s="240">
        <f t="shared" si="37"/>
        <v>149839</v>
      </c>
      <c r="I2318" s="241"/>
      <c r="J2318" s="221" t="b">
        <f>EXACT(E2319,[1]Main!E2319)</f>
        <v>1</v>
      </c>
    </row>
    <row r="2319" spans="1:10" x14ac:dyDescent="0.25">
      <c r="A2319" s="249">
        <v>45136</v>
      </c>
      <c r="B2319" s="237"/>
      <c r="C2319" s="238"/>
      <c r="D2319" s="349"/>
      <c r="E2319" s="448">
        <v>3</v>
      </c>
      <c r="F2319" s="449" t="s">
        <v>1544</v>
      </c>
      <c r="G2319" s="239"/>
      <c r="H2319" s="240">
        <f t="shared" si="37"/>
        <v>149836</v>
      </c>
      <c r="I2319" s="241"/>
      <c r="J2319" s="221" t="b">
        <f>EXACT(E2320,[1]Main!E2320)</f>
        <v>1</v>
      </c>
    </row>
    <row r="2320" spans="1:10" x14ac:dyDescent="0.25">
      <c r="A2320" s="249">
        <v>45136</v>
      </c>
      <c r="B2320" s="237"/>
      <c r="C2320" s="238"/>
      <c r="D2320" s="349"/>
      <c r="E2320" s="451">
        <v>190</v>
      </c>
      <c r="F2320" s="452" t="s">
        <v>15</v>
      </c>
      <c r="G2320" s="239"/>
      <c r="H2320" s="240">
        <f t="shared" si="37"/>
        <v>149646</v>
      </c>
      <c r="I2320" s="241"/>
      <c r="J2320" s="221" t="b">
        <f>EXACT(E2321,[1]Main!E2321)</f>
        <v>1</v>
      </c>
    </row>
    <row r="2321" spans="1:10" x14ac:dyDescent="0.25">
      <c r="A2321" s="249">
        <v>45136</v>
      </c>
      <c r="B2321" s="237"/>
      <c r="C2321" s="238"/>
      <c r="D2321" s="349"/>
      <c r="E2321" s="451">
        <v>100</v>
      </c>
      <c r="F2321" s="452" t="s">
        <v>510</v>
      </c>
      <c r="G2321" s="239"/>
      <c r="H2321" s="240">
        <f t="shared" si="37"/>
        <v>149546</v>
      </c>
      <c r="I2321" s="241"/>
      <c r="J2321" s="221" t="b">
        <f>EXACT(E2322,[1]Main!E2322)</f>
        <v>1</v>
      </c>
    </row>
    <row r="2322" spans="1:10" x14ac:dyDescent="0.25">
      <c r="A2322" s="249">
        <v>45136</v>
      </c>
      <c r="B2322" s="237"/>
      <c r="C2322" s="238"/>
      <c r="D2322" s="349"/>
      <c r="E2322" s="376">
        <v>140</v>
      </c>
      <c r="F2322" s="377" t="s">
        <v>1416</v>
      </c>
      <c r="G2322" s="239"/>
      <c r="H2322" s="240">
        <f t="shared" si="37"/>
        <v>149406</v>
      </c>
      <c r="I2322" s="241"/>
      <c r="J2322" s="221" t="b">
        <f>EXACT(E2323,[1]Main!E2323)</f>
        <v>1</v>
      </c>
    </row>
    <row r="2323" spans="1:10" x14ac:dyDescent="0.25">
      <c r="A2323" s="249">
        <v>45136</v>
      </c>
      <c r="B2323" s="237"/>
      <c r="C2323" s="238"/>
      <c r="D2323" s="349"/>
      <c r="E2323" s="376">
        <v>45</v>
      </c>
      <c r="F2323" s="377" t="s">
        <v>339</v>
      </c>
      <c r="G2323" s="239"/>
      <c r="H2323" s="240">
        <f t="shared" si="37"/>
        <v>149361</v>
      </c>
      <c r="I2323" s="241"/>
      <c r="J2323" s="221" t="b">
        <f>EXACT(E2324,[1]Main!E2324)</f>
        <v>1</v>
      </c>
    </row>
    <row r="2324" spans="1:10" x14ac:dyDescent="0.25">
      <c r="A2324" s="249">
        <v>45136</v>
      </c>
      <c r="B2324" s="237"/>
      <c r="C2324" s="238"/>
      <c r="D2324" s="349"/>
      <c r="E2324" s="376">
        <v>120</v>
      </c>
      <c r="F2324" s="377" t="s">
        <v>714</v>
      </c>
      <c r="G2324" s="239"/>
      <c r="H2324" s="240">
        <f t="shared" si="37"/>
        <v>149241</v>
      </c>
      <c r="I2324" s="241"/>
      <c r="J2324" s="221" t="b">
        <f>EXACT(E2325,[1]Main!E2325)</f>
        <v>1</v>
      </c>
    </row>
    <row r="2325" spans="1:10" x14ac:dyDescent="0.25">
      <c r="A2325" s="249">
        <v>45136</v>
      </c>
      <c r="B2325" s="237"/>
      <c r="C2325" s="238"/>
      <c r="D2325" s="349"/>
      <c r="E2325" s="376">
        <v>70</v>
      </c>
      <c r="F2325" s="377" t="s">
        <v>86</v>
      </c>
      <c r="G2325" s="239"/>
      <c r="H2325" s="240">
        <f t="shared" si="37"/>
        <v>149171</v>
      </c>
      <c r="I2325" s="241"/>
      <c r="J2325" s="221" t="b">
        <f>EXACT(E2326,[1]Main!E2326)</f>
        <v>1</v>
      </c>
    </row>
    <row r="2326" spans="1:10" x14ac:dyDescent="0.25">
      <c r="A2326" s="249">
        <v>45136</v>
      </c>
      <c r="B2326" s="237"/>
      <c r="C2326" s="238"/>
      <c r="D2326" s="349"/>
      <c r="E2326" s="376">
        <v>635</v>
      </c>
      <c r="F2326" s="377" t="s">
        <v>1015</v>
      </c>
      <c r="G2326" s="239"/>
      <c r="H2326" s="240">
        <f t="shared" si="37"/>
        <v>148536</v>
      </c>
      <c r="I2326" s="241"/>
      <c r="J2326" s="221" t="b">
        <f>EXACT(E2327,[1]Main!E2327)</f>
        <v>1</v>
      </c>
    </row>
    <row r="2327" spans="1:10" x14ac:dyDescent="0.25">
      <c r="A2327" s="249">
        <v>45136</v>
      </c>
      <c r="B2327" s="237"/>
      <c r="C2327" s="238"/>
      <c r="D2327" s="349"/>
      <c r="E2327" s="376">
        <v>350</v>
      </c>
      <c r="F2327" s="377" t="s">
        <v>715</v>
      </c>
      <c r="G2327" s="239"/>
      <c r="H2327" s="240">
        <f t="shared" si="37"/>
        <v>148186</v>
      </c>
      <c r="I2327" s="241"/>
      <c r="J2327" s="221" t="b">
        <f>EXACT(E2328,[1]Main!E2328)</f>
        <v>1</v>
      </c>
    </row>
    <row r="2328" spans="1:10" x14ac:dyDescent="0.25">
      <c r="A2328" s="249">
        <v>45136</v>
      </c>
      <c r="B2328" s="237"/>
      <c r="C2328" s="238"/>
      <c r="D2328" s="349"/>
      <c r="E2328" s="376">
        <v>990</v>
      </c>
      <c r="F2328" s="377" t="s">
        <v>27</v>
      </c>
      <c r="G2328" s="239"/>
      <c r="H2328" s="240">
        <f t="shared" si="37"/>
        <v>147196</v>
      </c>
      <c r="I2328" s="241"/>
      <c r="J2328" s="221" t="b">
        <f>EXACT(E2329,[1]Main!E2329)</f>
        <v>1</v>
      </c>
    </row>
    <row r="2329" spans="1:10" x14ac:dyDescent="0.25">
      <c r="A2329" s="249">
        <v>45136</v>
      </c>
      <c r="B2329" s="237"/>
      <c r="C2329" s="238"/>
      <c r="D2329" s="349"/>
      <c r="E2329" s="376">
        <v>115</v>
      </c>
      <c r="F2329" s="377" t="s">
        <v>498</v>
      </c>
      <c r="G2329" s="239"/>
      <c r="H2329" s="240">
        <f t="shared" si="37"/>
        <v>147081</v>
      </c>
      <c r="I2329" s="241"/>
      <c r="J2329" s="221" t="b">
        <f>EXACT(E2330,[1]Main!E2330)</f>
        <v>1</v>
      </c>
    </row>
    <row r="2330" spans="1:10" x14ac:dyDescent="0.25">
      <c r="A2330" s="249">
        <v>45136</v>
      </c>
      <c r="B2330" s="237"/>
      <c r="C2330" s="238"/>
      <c r="D2330" s="349"/>
      <c r="E2330" s="376">
        <v>70</v>
      </c>
      <c r="F2330" s="377" t="s">
        <v>32</v>
      </c>
      <c r="G2330" s="239"/>
      <c r="H2330" s="240">
        <f t="shared" si="37"/>
        <v>147011</v>
      </c>
      <c r="I2330" s="241"/>
      <c r="J2330" s="221" t="b">
        <f>EXACT(E2331,[1]Main!E2331)</f>
        <v>1</v>
      </c>
    </row>
    <row r="2331" spans="1:10" x14ac:dyDescent="0.25">
      <c r="A2331" s="249">
        <v>45136</v>
      </c>
      <c r="B2331" s="237"/>
      <c r="C2331" s="238"/>
      <c r="D2331" s="349"/>
      <c r="E2331" s="376">
        <v>110</v>
      </c>
      <c r="F2331" s="377" t="s">
        <v>1419</v>
      </c>
      <c r="G2331" s="239"/>
      <c r="H2331" s="240">
        <f t="shared" si="37"/>
        <v>146901</v>
      </c>
      <c r="I2331" s="241"/>
      <c r="J2331" s="221" t="b">
        <f>EXACT(E2332,[1]Main!E2332)</f>
        <v>1</v>
      </c>
    </row>
    <row r="2332" spans="1:10" x14ac:dyDescent="0.25">
      <c r="A2332" s="249">
        <v>45136</v>
      </c>
      <c r="B2332" s="237"/>
      <c r="C2332" s="238"/>
      <c r="D2332" s="349"/>
      <c r="E2332" s="376">
        <v>100</v>
      </c>
      <c r="F2332" s="377" t="s">
        <v>1372</v>
      </c>
      <c r="G2332" s="239"/>
      <c r="H2332" s="240">
        <f t="shared" si="37"/>
        <v>146801</v>
      </c>
      <c r="I2332" s="241"/>
      <c r="J2332" s="221" t="b">
        <f>EXACT(E2333,[1]Main!E2333)</f>
        <v>1</v>
      </c>
    </row>
    <row r="2333" spans="1:10" x14ac:dyDescent="0.25">
      <c r="A2333" s="249">
        <v>45136</v>
      </c>
      <c r="B2333" s="237"/>
      <c r="C2333" s="238"/>
      <c r="D2333" s="349"/>
      <c r="E2333" s="376">
        <v>210</v>
      </c>
      <c r="F2333" s="377" t="s">
        <v>1319</v>
      </c>
      <c r="G2333" s="239"/>
      <c r="H2333" s="240">
        <f t="shared" si="37"/>
        <v>146591</v>
      </c>
      <c r="I2333" s="241"/>
      <c r="J2333" s="221" t="b">
        <f>EXACT(E2334,[1]Main!E2334)</f>
        <v>1</v>
      </c>
    </row>
    <row r="2334" spans="1:10" x14ac:dyDescent="0.25">
      <c r="A2334" s="249">
        <v>45136</v>
      </c>
      <c r="B2334" s="237"/>
      <c r="C2334" s="238"/>
      <c r="D2334" s="349"/>
      <c r="E2334" s="300">
        <v>195</v>
      </c>
      <c r="F2334" s="303" t="s">
        <v>255</v>
      </c>
      <c r="G2334" s="239"/>
      <c r="H2334" s="240">
        <f t="shared" si="37"/>
        <v>146396</v>
      </c>
      <c r="I2334" s="241"/>
      <c r="J2334" s="221" t="b">
        <f>EXACT(E2335,[1]Main!E2335)</f>
        <v>1</v>
      </c>
    </row>
    <row r="2335" spans="1:10" x14ac:dyDescent="0.25">
      <c r="A2335" s="249">
        <v>45136</v>
      </c>
      <c r="B2335" s="237"/>
      <c r="C2335" s="238"/>
      <c r="D2335" s="349"/>
      <c r="E2335" s="300">
        <v>145</v>
      </c>
      <c r="F2335" s="303" t="s">
        <v>1422</v>
      </c>
      <c r="G2335" s="239"/>
      <c r="H2335" s="240">
        <f t="shared" si="37"/>
        <v>146251</v>
      </c>
      <c r="I2335" s="241"/>
      <c r="J2335" s="221" t="b">
        <f>EXACT(E2336,[1]Main!E2336)</f>
        <v>1</v>
      </c>
    </row>
    <row r="2336" spans="1:10" x14ac:dyDescent="0.25">
      <c r="A2336" s="249">
        <v>45136</v>
      </c>
      <c r="B2336" s="237"/>
      <c r="C2336" s="238"/>
      <c r="D2336" s="349"/>
      <c r="E2336" s="300">
        <v>160</v>
      </c>
      <c r="F2336" s="303" t="s">
        <v>32</v>
      </c>
      <c r="G2336" s="239"/>
      <c r="H2336" s="240">
        <f t="shared" si="37"/>
        <v>146091</v>
      </c>
      <c r="I2336" s="241"/>
      <c r="J2336" s="221" t="b">
        <f>EXACT(E2337,[1]Main!E2337)</f>
        <v>1</v>
      </c>
    </row>
    <row r="2337" spans="1:10" x14ac:dyDescent="0.25">
      <c r="A2337" s="249">
        <v>45136</v>
      </c>
      <c r="B2337" s="237"/>
      <c r="C2337" s="238"/>
      <c r="D2337" s="349"/>
      <c r="E2337" s="300">
        <v>60</v>
      </c>
      <c r="F2337" s="303" t="s">
        <v>341</v>
      </c>
      <c r="G2337" s="239"/>
      <c r="H2337" s="240">
        <f t="shared" si="37"/>
        <v>146031</v>
      </c>
      <c r="I2337" s="241"/>
      <c r="J2337" s="221" t="b">
        <f>EXACT(E2338,[1]Main!E2338)</f>
        <v>1</v>
      </c>
    </row>
    <row r="2338" spans="1:10" x14ac:dyDescent="0.25">
      <c r="A2338" s="249">
        <v>45136</v>
      </c>
      <c r="B2338" s="237"/>
      <c r="C2338" s="238"/>
      <c r="D2338" s="349"/>
      <c r="E2338" s="300">
        <v>410</v>
      </c>
      <c r="F2338" s="303" t="s">
        <v>52</v>
      </c>
      <c r="G2338" s="239"/>
      <c r="H2338" s="240">
        <f t="shared" si="37"/>
        <v>145621</v>
      </c>
      <c r="I2338" s="241"/>
      <c r="J2338" s="221" t="b">
        <f>EXACT(E2339,[1]Main!E2339)</f>
        <v>1</v>
      </c>
    </row>
    <row r="2339" spans="1:10" x14ac:dyDescent="0.25">
      <c r="A2339" s="249">
        <v>45136</v>
      </c>
      <c r="B2339" s="237"/>
      <c r="C2339" s="238"/>
      <c r="D2339" s="349"/>
      <c r="E2339" s="300">
        <v>290</v>
      </c>
      <c r="F2339" s="303" t="s">
        <v>744</v>
      </c>
      <c r="G2339" s="239"/>
      <c r="H2339" s="240">
        <f t="shared" si="37"/>
        <v>145331</v>
      </c>
      <c r="I2339" s="241"/>
      <c r="J2339" s="221" t="b">
        <f>EXACT(E2340,[1]Main!E2340)</f>
        <v>1</v>
      </c>
    </row>
    <row r="2340" spans="1:10" x14ac:dyDescent="0.25">
      <c r="A2340" s="249">
        <v>45136</v>
      </c>
      <c r="B2340" s="237"/>
      <c r="C2340" s="238"/>
      <c r="D2340" s="349"/>
      <c r="E2340" s="300">
        <v>120</v>
      </c>
      <c r="F2340" s="303" t="s">
        <v>39</v>
      </c>
      <c r="G2340" s="239"/>
      <c r="H2340" s="240">
        <f t="shared" si="37"/>
        <v>145211</v>
      </c>
      <c r="I2340" s="241"/>
      <c r="J2340" s="221" t="b">
        <f>EXACT(E2341,[1]Main!E2341)</f>
        <v>1</v>
      </c>
    </row>
    <row r="2341" spans="1:10" x14ac:dyDescent="0.25">
      <c r="A2341" s="249">
        <v>45136</v>
      </c>
      <c r="B2341" s="237"/>
      <c r="C2341" s="238"/>
      <c r="D2341" s="349"/>
      <c r="E2341" s="300">
        <v>580</v>
      </c>
      <c r="F2341" s="303" t="s">
        <v>61</v>
      </c>
      <c r="G2341" s="239"/>
      <c r="H2341" s="240">
        <f t="shared" si="37"/>
        <v>144631</v>
      </c>
      <c r="I2341" s="241"/>
      <c r="J2341" s="221" t="b">
        <f>EXACT(E2342,[1]Main!E2342)</f>
        <v>1</v>
      </c>
    </row>
    <row r="2342" spans="1:10" x14ac:dyDescent="0.25">
      <c r="A2342" s="249">
        <v>45136</v>
      </c>
      <c r="B2342" s="237"/>
      <c r="C2342" s="238"/>
      <c r="D2342" s="349"/>
      <c r="E2342" s="300">
        <v>3165</v>
      </c>
      <c r="F2342" s="303" t="s">
        <v>12</v>
      </c>
      <c r="G2342" s="239"/>
      <c r="H2342" s="240">
        <f t="shared" si="37"/>
        <v>141466</v>
      </c>
      <c r="I2342" s="241"/>
      <c r="J2342" s="221" t="b">
        <f>EXACT(E2343,[1]Main!E2343)</f>
        <v>1</v>
      </c>
    </row>
    <row r="2343" spans="1:10" x14ac:dyDescent="0.25">
      <c r="A2343" s="249">
        <v>45136</v>
      </c>
      <c r="B2343" s="237"/>
      <c r="C2343" s="238"/>
      <c r="D2343" s="349"/>
      <c r="E2343" s="300">
        <v>2625</v>
      </c>
      <c r="F2343" s="303" t="s">
        <v>1551</v>
      </c>
      <c r="G2343" s="239"/>
      <c r="H2343" s="240">
        <f t="shared" si="37"/>
        <v>138841</v>
      </c>
      <c r="I2343" s="241"/>
      <c r="J2343" s="221" t="b">
        <f>EXACT(E2344,[1]Main!E2344)</f>
        <v>1</v>
      </c>
    </row>
    <row r="2344" spans="1:10" x14ac:dyDescent="0.25">
      <c r="A2344" s="249">
        <v>45136</v>
      </c>
      <c r="B2344" s="237"/>
      <c r="C2344" s="238"/>
      <c r="D2344" s="349"/>
      <c r="E2344" s="237">
        <v>105</v>
      </c>
      <c r="F2344" s="242" t="s">
        <v>27</v>
      </c>
      <c r="G2344" s="239"/>
      <c r="H2344" s="240">
        <f t="shared" si="37"/>
        <v>138736</v>
      </c>
      <c r="I2344" s="241"/>
      <c r="J2344" s="221" t="b">
        <f>EXACT(E2345,[1]Main!E2345)</f>
        <v>1</v>
      </c>
    </row>
    <row r="2345" spans="1:10" x14ac:dyDescent="0.25">
      <c r="A2345" s="249">
        <v>45136</v>
      </c>
      <c r="B2345" s="237"/>
      <c r="C2345" s="238"/>
      <c r="D2345" s="349"/>
      <c r="E2345" s="237">
        <v>5440</v>
      </c>
      <c r="F2345" s="242" t="s">
        <v>1562</v>
      </c>
      <c r="G2345" s="239"/>
      <c r="H2345" s="240">
        <f t="shared" si="37"/>
        <v>133296</v>
      </c>
      <c r="I2345" s="241"/>
      <c r="J2345" s="221" t="b">
        <f>EXACT(E2346,[1]Main!E2346)</f>
        <v>1</v>
      </c>
    </row>
    <row r="2346" spans="1:10" x14ac:dyDescent="0.25">
      <c r="A2346" s="249">
        <v>45136</v>
      </c>
      <c r="B2346" s="237"/>
      <c r="C2346" s="238"/>
      <c r="D2346" s="349"/>
      <c r="E2346" s="454">
        <v>132</v>
      </c>
      <c r="F2346" s="455" t="s">
        <v>300</v>
      </c>
      <c r="G2346" s="239"/>
      <c r="H2346" s="240">
        <f t="shared" si="37"/>
        <v>133164</v>
      </c>
      <c r="I2346" s="241"/>
      <c r="J2346" s="221" t="b">
        <f>EXACT(E2347,[1]Main!E2347)</f>
        <v>1</v>
      </c>
    </row>
    <row r="2347" spans="1:10" x14ac:dyDescent="0.25">
      <c r="A2347" s="249">
        <v>45136</v>
      </c>
      <c r="B2347" s="237"/>
      <c r="C2347" s="238"/>
      <c r="D2347" s="349"/>
      <c r="E2347" s="454">
        <v>100</v>
      </c>
      <c r="F2347" s="455" t="s">
        <v>27</v>
      </c>
      <c r="G2347" s="239"/>
      <c r="H2347" s="240">
        <f t="shared" si="37"/>
        <v>133064</v>
      </c>
      <c r="I2347" s="241"/>
      <c r="J2347" s="221" t="b">
        <f>EXACT(E2348,[1]Main!E2348)</f>
        <v>1</v>
      </c>
    </row>
    <row r="2348" spans="1:10" x14ac:dyDescent="0.25">
      <c r="A2348" s="249">
        <v>45136</v>
      </c>
      <c r="B2348" s="237"/>
      <c r="C2348" s="238"/>
      <c r="D2348" s="349"/>
      <c r="E2348" s="454">
        <v>725</v>
      </c>
      <c r="F2348" s="455" t="s">
        <v>1556</v>
      </c>
      <c r="G2348" s="239"/>
      <c r="H2348" s="240">
        <f t="shared" si="37"/>
        <v>132339</v>
      </c>
      <c r="I2348" s="241"/>
      <c r="J2348" s="221" t="b">
        <f>EXACT(E2349,[1]Main!E2349)</f>
        <v>1</v>
      </c>
    </row>
    <row r="2349" spans="1:10" x14ac:dyDescent="0.25">
      <c r="A2349" s="249">
        <v>45136</v>
      </c>
      <c r="B2349" s="237"/>
      <c r="C2349" s="238"/>
      <c r="D2349" s="349"/>
      <c r="E2349" s="454">
        <v>80</v>
      </c>
      <c r="F2349" s="455" t="s">
        <v>61</v>
      </c>
      <c r="G2349" s="239"/>
      <c r="H2349" s="240">
        <f t="shared" si="37"/>
        <v>132259</v>
      </c>
      <c r="I2349" s="241"/>
      <c r="J2349" s="221" t="b">
        <f>EXACT(E2350,[1]Main!E2350)</f>
        <v>1</v>
      </c>
    </row>
    <row r="2350" spans="1:10" x14ac:dyDescent="0.25">
      <c r="A2350" s="249">
        <v>45136</v>
      </c>
      <c r="B2350" s="237"/>
      <c r="C2350" s="238"/>
      <c r="D2350" s="349"/>
      <c r="E2350" s="454">
        <v>595</v>
      </c>
      <c r="F2350" s="455" t="s">
        <v>11</v>
      </c>
      <c r="G2350" s="239"/>
      <c r="H2350" s="240">
        <f t="shared" si="37"/>
        <v>131664</v>
      </c>
      <c r="I2350" s="241"/>
      <c r="J2350" s="221" t="b">
        <f>EXACT(E2351,[1]Main!E2351)</f>
        <v>1</v>
      </c>
    </row>
    <row r="2351" spans="1:10" x14ac:dyDescent="0.25">
      <c r="A2351" s="249">
        <v>45136</v>
      </c>
      <c r="B2351" s="237"/>
      <c r="C2351" s="238"/>
      <c r="D2351" s="349"/>
      <c r="E2351" s="454">
        <v>560</v>
      </c>
      <c r="F2351" s="455" t="s">
        <v>474</v>
      </c>
      <c r="G2351" s="239"/>
      <c r="H2351" s="240">
        <f t="shared" si="37"/>
        <v>131104</v>
      </c>
      <c r="I2351" s="241"/>
      <c r="J2351" s="221" t="b">
        <f>EXACT(E2352,[1]Main!E2352)</f>
        <v>1</v>
      </c>
    </row>
    <row r="2352" spans="1:10" x14ac:dyDescent="0.25">
      <c r="A2352" s="249">
        <v>45136</v>
      </c>
      <c r="B2352" s="237"/>
      <c r="C2352" s="238"/>
      <c r="D2352" s="349"/>
      <c r="E2352" s="237">
        <v>1500</v>
      </c>
      <c r="F2352" s="242" t="s">
        <v>222</v>
      </c>
      <c r="G2352" s="239" t="s">
        <v>928</v>
      </c>
      <c r="H2352" s="240">
        <f t="shared" si="37"/>
        <v>129604</v>
      </c>
      <c r="I2352" s="241" t="s">
        <v>796</v>
      </c>
      <c r="J2352" s="221" t="b">
        <f>EXACT(E2353,[1]Main!E2353)</f>
        <v>1</v>
      </c>
    </row>
    <row r="2353" spans="1:10" x14ac:dyDescent="0.25">
      <c r="A2353" s="249">
        <v>45136</v>
      </c>
      <c r="B2353" s="237"/>
      <c r="C2353" s="238"/>
      <c r="D2353" s="349"/>
      <c r="E2353" s="237">
        <v>3525</v>
      </c>
      <c r="F2353" s="242" t="s">
        <v>51</v>
      </c>
      <c r="G2353" s="239" t="s">
        <v>928</v>
      </c>
      <c r="H2353" s="240">
        <f t="shared" si="37"/>
        <v>126079</v>
      </c>
      <c r="I2353" s="241"/>
      <c r="J2353" s="221" t="b">
        <f>EXACT(E2354,[1]Main!E2354)</f>
        <v>1</v>
      </c>
    </row>
    <row r="2354" spans="1:10" x14ac:dyDescent="0.25">
      <c r="A2354" s="249">
        <v>45136</v>
      </c>
      <c r="B2354" s="237"/>
      <c r="C2354" s="238"/>
      <c r="D2354" s="349"/>
      <c r="E2354" s="237">
        <v>2640</v>
      </c>
      <c r="F2354" s="242" t="s">
        <v>1506</v>
      </c>
      <c r="G2354" s="239" t="s">
        <v>928</v>
      </c>
      <c r="H2354" s="240">
        <f t="shared" si="37"/>
        <v>123439</v>
      </c>
      <c r="I2354" s="241"/>
      <c r="J2354" s="221" t="b">
        <f>EXACT(E2355,[1]Main!E2355)</f>
        <v>1</v>
      </c>
    </row>
    <row r="2355" spans="1:10" x14ac:dyDescent="0.25">
      <c r="A2355" s="249">
        <v>45136</v>
      </c>
      <c r="B2355" s="237"/>
      <c r="C2355" s="238"/>
      <c r="D2355" s="349"/>
      <c r="E2355" s="237">
        <v>13980</v>
      </c>
      <c r="F2355" s="242" t="s">
        <v>1563</v>
      </c>
      <c r="G2355" s="239" t="s">
        <v>928</v>
      </c>
      <c r="H2355" s="240">
        <f t="shared" si="37"/>
        <v>109459</v>
      </c>
      <c r="I2355" s="241" t="s">
        <v>796</v>
      </c>
      <c r="J2355" s="221" t="b">
        <f>EXACT(E2356,[1]Main!E2356)</f>
        <v>1</v>
      </c>
    </row>
    <row r="2356" spans="1:10" x14ac:dyDescent="0.25">
      <c r="A2356" s="249">
        <v>45136</v>
      </c>
      <c r="B2356" s="237"/>
      <c r="C2356" s="238"/>
      <c r="D2356" s="349"/>
      <c r="E2356" s="237">
        <v>4000</v>
      </c>
      <c r="F2356" s="242" t="s">
        <v>785</v>
      </c>
      <c r="G2356" s="239" t="s">
        <v>928</v>
      </c>
      <c r="H2356" s="240">
        <f t="shared" si="37"/>
        <v>105459</v>
      </c>
      <c r="I2356" s="241"/>
      <c r="J2356" s="221" t="b">
        <f>EXACT(E2357,[1]Main!E2357)</f>
        <v>1</v>
      </c>
    </row>
    <row r="2357" spans="1:10" x14ac:dyDescent="0.25">
      <c r="A2357" s="249">
        <v>45136</v>
      </c>
      <c r="B2357" s="237"/>
      <c r="C2357" s="238"/>
      <c r="D2357" s="349"/>
      <c r="E2357" s="237">
        <v>15000</v>
      </c>
      <c r="F2357" s="242" t="s">
        <v>43</v>
      </c>
      <c r="G2357" s="239"/>
      <c r="H2357" s="240">
        <f t="shared" si="37"/>
        <v>90459</v>
      </c>
      <c r="I2357" s="241"/>
      <c r="J2357" s="221" t="b">
        <f>EXACT(E2358,[1]Main!E2358)</f>
        <v>1</v>
      </c>
    </row>
    <row r="2358" spans="1:10" x14ac:dyDescent="0.25">
      <c r="A2358" s="249">
        <v>45136</v>
      </c>
      <c r="B2358" s="237"/>
      <c r="C2358" s="238"/>
      <c r="D2358" s="349"/>
      <c r="E2358" s="237">
        <v>64</v>
      </c>
      <c r="F2358" s="242" t="s">
        <v>127</v>
      </c>
      <c r="G2358" s="239"/>
      <c r="H2358" s="240">
        <f t="shared" si="37"/>
        <v>90395</v>
      </c>
      <c r="I2358" s="241"/>
      <c r="J2358" s="221" t="b">
        <f>EXACT(E2359,[1]Main!E2359)</f>
        <v>1</v>
      </c>
    </row>
    <row r="2359" spans="1:10" x14ac:dyDescent="0.25">
      <c r="A2359" s="249">
        <v>45136</v>
      </c>
      <c r="B2359" s="237"/>
      <c r="C2359" s="238"/>
      <c r="D2359" s="349"/>
      <c r="E2359" s="237">
        <v>131</v>
      </c>
      <c r="F2359" s="242" t="s">
        <v>1567</v>
      </c>
      <c r="G2359" s="239"/>
      <c r="H2359" s="240">
        <f t="shared" si="37"/>
        <v>90264</v>
      </c>
      <c r="I2359" s="241"/>
      <c r="J2359" s="221" t="b">
        <f>EXACT(E2360,[1]Main!E2360)</f>
        <v>1</v>
      </c>
    </row>
    <row r="2360" spans="1:10" x14ac:dyDescent="0.25">
      <c r="A2360" s="249">
        <v>45136</v>
      </c>
      <c r="B2360" s="237"/>
      <c r="C2360" s="238"/>
      <c r="D2360" s="349"/>
      <c r="E2360" s="237">
        <v>79</v>
      </c>
      <c r="F2360" s="242" t="s">
        <v>71</v>
      </c>
      <c r="G2360" s="239"/>
      <c r="H2360" s="240">
        <f t="shared" si="37"/>
        <v>90185</v>
      </c>
      <c r="I2360" s="241"/>
      <c r="J2360" s="221" t="b">
        <f>EXACT(E2361,[1]Main!E2361)</f>
        <v>1</v>
      </c>
    </row>
    <row r="2361" spans="1:10" x14ac:dyDescent="0.25">
      <c r="A2361" s="249">
        <v>45136</v>
      </c>
      <c r="B2361" s="237"/>
      <c r="C2361" s="238"/>
      <c r="D2361" s="349"/>
      <c r="E2361" s="237">
        <v>121</v>
      </c>
      <c r="F2361" s="242" t="s">
        <v>1566</v>
      </c>
      <c r="G2361" s="239"/>
      <c r="H2361" s="240">
        <f t="shared" ref="H2361:H2504" si="38">H2360+B2361-E2361</f>
        <v>90064</v>
      </c>
      <c r="I2361" s="241"/>
      <c r="J2361" s="221" t="b">
        <f>EXACT(E2362,[1]Main!E2362)</f>
        <v>1</v>
      </c>
    </row>
    <row r="2362" spans="1:10" x14ac:dyDescent="0.25">
      <c r="A2362" s="249">
        <v>45136</v>
      </c>
      <c r="B2362" s="237"/>
      <c r="C2362" s="238"/>
      <c r="D2362" s="349"/>
      <c r="E2362" s="237">
        <v>53</v>
      </c>
      <c r="F2362" s="242" t="s">
        <v>1565</v>
      </c>
      <c r="G2362" s="239"/>
      <c r="H2362" s="240">
        <f t="shared" si="38"/>
        <v>90011</v>
      </c>
      <c r="I2362" s="241"/>
      <c r="J2362" s="221" t="b">
        <f>EXACT(E2363,[1]Main!E2363)</f>
        <v>0</v>
      </c>
    </row>
    <row r="2363" spans="1:10" x14ac:dyDescent="0.25">
      <c r="A2363" s="249">
        <v>45136</v>
      </c>
      <c r="B2363" s="237"/>
      <c r="C2363" s="238"/>
      <c r="D2363" s="349"/>
      <c r="E2363" s="309"/>
      <c r="F2363" s="243"/>
      <c r="G2363" s="239"/>
      <c r="H2363" s="240">
        <f t="shared" si="38"/>
        <v>90011</v>
      </c>
      <c r="I2363" s="241"/>
      <c r="J2363" s="221" t="b">
        <f>EXACT(E2364,[1]Main!E2364)</f>
        <v>1</v>
      </c>
    </row>
    <row r="2364" spans="1:10" x14ac:dyDescent="0.25">
      <c r="A2364" s="249">
        <v>45136</v>
      </c>
      <c r="B2364" s="237"/>
      <c r="C2364" s="238"/>
      <c r="D2364" s="349"/>
      <c r="E2364" s="237">
        <v>6280</v>
      </c>
      <c r="F2364" s="242" t="s">
        <v>16</v>
      </c>
      <c r="G2364" s="239"/>
      <c r="H2364" s="240">
        <f t="shared" si="38"/>
        <v>83731</v>
      </c>
      <c r="I2364" s="241"/>
      <c r="J2364" s="221" t="b">
        <f>EXACT(E2365,[1]Main!E2365)</f>
        <v>0</v>
      </c>
    </row>
    <row r="2365" spans="1:10" x14ac:dyDescent="0.25">
      <c r="A2365" s="249">
        <v>45136</v>
      </c>
      <c r="B2365" s="237"/>
      <c r="C2365" s="238"/>
      <c r="D2365" s="349"/>
      <c r="E2365" s="237">
        <v>5000</v>
      </c>
      <c r="F2365" s="242" t="s">
        <v>1570</v>
      </c>
      <c r="G2365" s="239"/>
      <c r="H2365" s="240">
        <f t="shared" si="38"/>
        <v>78731</v>
      </c>
      <c r="I2365" s="241"/>
      <c r="J2365" s="221" t="b">
        <f>EXACT(E2366,[1]Main!E2366)</f>
        <v>0</v>
      </c>
    </row>
    <row r="2366" spans="1:10" x14ac:dyDescent="0.25">
      <c r="A2366" s="249">
        <v>45136</v>
      </c>
      <c r="B2366" s="237"/>
      <c r="C2366" s="238"/>
      <c r="D2366" s="349"/>
      <c r="E2366" s="237">
        <v>2000</v>
      </c>
      <c r="F2366" s="242" t="s">
        <v>1571</v>
      </c>
      <c r="G2366" s="239" t="s">
        <v>464</v>
      </c>
      <c r="H2366" s="240">
        <f t="shared" si="38"/>
        <v>76731</v>
      </c>
      <c r="I2366" s="241"/>
      <c r="J2366" s="221" t="b">
        <f>EXACT(E2367,[1]Main!E2367)</f>
        <v>0</v>
      </c>
    </row>
    <row r="2367" spans="1:10" x14ac:dyDescent="0.25">
      <c r="A2367" s="249">
        <v>45136</v>
      </c>
      <c r="B2367" s="237"/>
      <c r="C2367" s="238"/>
      <c r="D2367" s="349"/>
      <c r="E2367" s="237">
        <v>200</v>
      </c>
      <c r="F2367" s="242" t="s">
        <v>1572</v>
      </c>
      <c r="G2367" s="239" t="s">
        <v>464</v>
      </c>
      <c r="H2367" s="240">
        <f t="shared" si="38"/>
        <v>76531</v>
      </c>
      <c r="I2367" s="241"/>
      <c r="J2367" s="221" t="b">
        <f>EXACT(E2368,[1]Main!E2368)</f>
        <v>0</v>
      </c>
    </row>
    <row r="2368" spans="1:10" x14ac:dyDescent="0.25">
      <c r="A2368" s="249">
        <v>45136</v>
      </c>
      <c r="B2368" s="237"/>
      <c r="C2368" s="238"/>
      <c r="D2368" s="349"/>
      <c r="E2368" s="237">
        <v>200</v>
      </c>
      <c r="F2368" s="242" t="s">
        <v>1573</v>
      </c>
      <c r="G2368" s="239"/>
      <c r="H2368" s="240">
        <f t="shared" si="38"/>
        <v>76331</v>
      </c>
      <c r="I2368" s="241"/>
      <c r="J2368" s="221" t="b">
        <f>EXACT(E2369,[1]Main!E2369)</f>
        <v>0</v>
      </c>
    </row>
    <row r="2369" spans="1:10" x14ac:dyDescent="0.25">
      <c r="A2369" s="249">
        <v>45136</v>
      </c>
      <c r="B2369" s="237"/>
      <c r="C2369" s="238"/>
      <c r="D2369" s="349"/>
      <c r="E2369" s="237">
        <v>240</v>
      </c>
      <c r="F2369" s="242" t="s">
        <v>1510</v>
      </c>
      <c r="G2369" s="239"/>
      <c r="H2369" s="240">
        <f t="shared" si="38"/>
        <v>76091</v>
      </c>
      <c r="I2369" s="241"/>
      <c r="J2369" s="221" t="b">
        <f>EXACT(E2370,[1]Main!E2370)</f>
        <v>0</v>
      </c>
    </row>
    <row r="2370" spans="1:10" x14ac:dyDescent="0.25">
      <c r="A2370" s="249">
        <v>45136</v>
      </c>
      <c r="B2370" s="237"/>
      <c r="C2370" s="238"/>
      <c r="D2370" s="349"/>
      <c r="E2370" s="433">
        <v>225</v>
      </c>
      <c r="F2370" s="434" t="s">
        <v>255</v>
      </c>
      <c r="G2370" s="239"/>
      <c r="H2370" s="240">
        <f t="shared" si="38"/>
        <v>75866</v>
      </c>
      <c r="I2370" s="241"/>
      <c r="J2370" s="221" t="b">
        <f>EXACT(E2371,[1]Main!E2371)</f>
        <v>0</v>
      </c>
    </row>
    <row r="2371" spans="1:10" x14ac:dyDescent="0.25">
      <c r="A2371" s="249">
        <v>45136</v>
      </c>
      <c r="B2371" s="237"/>
      <c r="C2371" s="238"/>
      <c r="D2371" s="349"/>
      <c r="E2371" s="433">
        <v>205</v>
      </c>
      <c r="F2371" s="434" t="s">
        <v>393</v>
      </c>
      <c r="G2371" s="239"/>
      <c r="H2371" s="240">
        <f t="shared" si="38"/>
        <v>75661</v>
      </c>
      <c r="I2371" s="241"/>
      <c r="J2371" s="221" t="b">
        <f>EXACT(E2372,[1]Main!E2372)</f>
        <v>0</v>
      </c>
    </row>
    <row r="2372" spans="1:10" x14ac:dyDescent="0.25">
      <c r="A2372" s="249">
        <v>45136</v>
      </c>
      <c r="B2372" s="237"/>
      <c r="C2372" s="238"/>
      <c r="D2372" s="349"/>
      <c r="E2372" s="433">
        <v>221</v>
      </c>
      <c r="F2372" s="434" t="s">
        <v>1580</v>
      </c>
      <c r="G2372" s="239"/>
      <c r="H2372" s="240">
        <f t="shared" si="38"/>
        <v>75440</v>
      </c>
      <c r="I2372" s="241"/>
      <c r="J2372" s="221" t="b">
        <f>EXACT(E2373,[1]Main!E2373)</f>
        <v>0</v>
      </c>
    </row>
    <row r="2373" spans="1:10" x14ac:dyDescent="0.25">
      <c r="A2373" s="249">
        <v>45136</v>
      </c>
      <c r="B2373" s="237"/>
      <c r="C2373" s="238"/>
      <c r="D2373" s="349"/>
      <c r="E2373" s="433">
        <v>27</v>
      </c>
      <c r="F2373" s="434" t="s">
        <v>315</v>
      </c>
      <c r="G2373" s="239"/>
      <c r="H2373" s="240">
        <f t="shared" si="38"/>
        <v>75413</v>
      </c>
      <c r="I2373" s="241"/>
      <c r="J2373" s="221" t="b">
        <f>EXACT(E2374,[1]Main!E2374)</f>
        <v>0</v>
      </c>
    </row>
    <row r="2374" spans="1:10" x14ac:dyDescent="0.25">
      <c r="A2374" s="249">
        <v>45136</v>
      </c>
      <c r="B2374" s="237"/>
      <c r="C2374" s="238"/>
      <c r="D2374" s="349"/>
      <c r="E2374" s="433">
        <v>70</v>
      </c>
      <c r="F2374" s="434" t="s">
        <v>1574</v>
      </c>
      <c r="G2374" s="239"/>
      <c r="H2374" s="240">
        <f t="shared" si="38"/>
        <v>75343</v>
      </c>
      <c r="I2374" s="241"/>
      <c r="J2374" s="221" t="b">
        <f>EXACT(E2375,[1]Main!E2375)</f>
        <v>0</v>
      </c>
    </row>
    <row r="2375" spans="1:10" x14ac:dyDescent="0.25">
      <c r="A2375" s="249">
        <v>45136</v>
      </c>
      <c r="B2375" s="237"/>
      <c r="C2375" s="238"/>
      <c r="D2375" s="349"/>
      <c r="E2375" s="433">
        <v>45</v>
      </c>
      <c r="F2375" s="434" t="s">
        <v>339</v>
      </c>
      <c r="G2375" s="239"/>
      <c r="H2375" s="240">
        <f t="shared" si="38"/>
        <v>75298</v>
      </c>
      <c r="I2375" s="241"/>
      <c r="J2375" s="221" t="b">
        <f>EXACT(E2376,[1]Main!E2376)</f>
        <v>0</v>
      </c>
    </row>
    <row r="2376" spans="1:10" x14ac:dyDescent="0.25">
      <c r="A2376" s="249">
        <v>45136</v>
      </c>
      <c r="B2376" s="237"/>
      <c r="C2376" s="238"/>
      <c r="D2376" s="349"/>
      <c r="E2376" s="433">
        <v>280</v>
      </c>
      <c r="F2376" s="434" t="s">
        <v>744</v>
      </c>
      <c r="G2376" s="239"/>
      <c r="H2376" s="240">
        <f t="shared" si="38"/>
        <v>75018</v>
      </c>
      <c r="I2376" s="241"/>
      <c r="J2376" s="221" t="b">
        <f>EXACT(E2377,[1]Main!E2377)</f>
        <v>0</v>
      </c>
    </row>
    <row r="2377" spans="1:10" x14ac:dyDescent="0.25">
      <c r="A2377" s="249">
        <v>45136</v>
      </c>
      <c r="B2377" s="237"/>
      <c r="C2377" s="238"/>
      <c r="D2377" s="349"/>
      <c r="E2377" s="433">
        <v>120</v>
      </c>
      <c r="F2377" s="434" t="s">
        <v>39</v>
      </c>
      <c r="G2377" s="239"/>
      <c r="H2377" s="240">
        <f t="shared" si="38"/>
        <v>74898</v>
      </c>
      <c r="I2377" s="241"/>
      <c r="J2377" s="221" t="b">
        <f>EXACT(E2378,[1]Main!E2378)</f>
        <v>0</v>
      </c>
    </row>
    <row r="2378" spans="1:10" x14ac:dyDescent="0.25">
      <c r="A2378" s="249">
        <v>45136</v>
      </c>
      <c r="B2378" s="237"/>
      <c r="C2378" s="238"/>
      <c r="D2378" s="349"/>
      <c r="E2378" s="433">
        <v>140</v>
      </c>
      <c r="F2378" s="434" t="s">
        <v>1575</v>
      </c>
      <c r="G2378" s="239"/>
      <c r="H2378" s="240">
        <f t="shared" si="38"/>
        <v>74758</v>
      </c>
      <c r="I2378" s="241"/>
      <c r="J2378" s="221" t="b">
        <f>EXACT(E2379,[1]Main!E2379)</f>
        <v>0</v>
      </c>
    </row>
    <row r="2379" spans="1:10" x14ac:dyDescent="0.25">
      <c r="A2379" s="249">
        <v>45136</v>
      </c>
      <c r="B2379" s="237"/>
      <c r="C2379" s="238"/>
      <c r="D2379" s="349"/>
      <c r="E2379" s="433">
        <v>5705</v>
      </c>
      <c r="F2379" s="434" t="s">
        <v>1576</v>
      </c>
      <c r="G2379" s="239"/>
      <c r="H2379" s="240">
        <f t="shared" si="38"/>
        <v>69053</v>
      </c>
      <c r="I2379" s="241"/>
      <c r="J2379" s="221" t="b">
        <f>EXACT(E2380,[1]Main!E2380)</f>
        <v>0</v>
      </c>
    </row>
    <row r="2380" spans="1:10" x14ac:dyDescent="0.25">
      <c r="A2380" s="249">
        <v>45136</v>
      </c>
      <c r="B2380" s="237"/>
      <c r="C2380" s="238"/>
      <c r="D2380" s="349"/>
      <c r="E2380" s="433">
        <v>310</v>
      </c>
      <c r="F2380" s="434" t="s">
        <v>34</v>
      </c>
      <c r="G2380" s="239"/>
      <c r="H2380" s="240">
        <f t="shared" si="38"/>
        <v>68743</v>
      </c>
      <c r="I2380" s="241"/>
      <c r="J2380" s="221" t="b">
        <f>EXACT(E2381,[1]Main!E2381)</f>
        <v>0</v>
      </c>
    </row>
    <row r="2381" spans="1:10" x14ac:dyDescent="0.25">
      <c r="A2381" s="249">
        <v>45136</v>
      </c>
      <c r="B2381" s="237"/>
      <c r="C2381" s="238"/>
      <c r="D2381" s="349"/>
      <c r="E2381" s="433">
        <v>675</v>
      </c>
      <c r="F2381" s="434" t="s">
        <v>12</v>
      </c>
      <c r="G2381" s="239"/>
      <c r="H2381" s="240">
        <f t="shared" si="38"/>
        <v>68068</v>
      </c>
      <c r="I2381" s="241"/>
      <c r="J2381" s="221" t="b">
        <f>EXACT(E2382,[1]Main!E2382)</f>
        <v>0</v>
      </c>
    </row>
    <row r="2382" spans="1:10" x14ac:dyDescent="0.25">
      <c r="A2382" s="249">
        <v>45136</v>
      </c>
      <c r="B2382" s="237"/>
      <c r="C2382" s="238"/>
      <c r="D2382" s="349"/>
      <c r="E2382" s="433">
        <v>4930</v>
      </c>
      <c r="F2382" s="434" t="s">
        <v>1577</v>
      </c>
      <c r="G2382" s="239"/>
      <c r="H2382" s="240">
        <f t="shared" si="38"/>
        <v>63138</v>
      </c>
      <c r="I2382" s="241"/>
      <c r="J2382" s="221" t="b">
        <f>EXACT(E2383,[1]Main!E2383)</f>
        <v>0</v>
      </c>
    </row>
    <row r="2383" spans="1:10" x14ac:dyDescent="0.25">
      <c r="A2383" s="249">
        <v>45136</v>
      </c>
      <c r="B2383" s="237"/>
      <c r="C2383" s="238"/>
      <c r="D2383" s="349"/>
      <c r="E2383" s="433">
        <v>320</v>
      </c>
      <c r="F2383" s="434" t="s">
        <v>61</v>
      </c>
      <c r="G2383" s="239"/>
      <c r="H2383" s="240">
        <f t="shared" si="38"/>
        <v>62818</v>
      </c>
      <c r="I2383" s="241"/>
      <c r="J2383" s="221" t="b">
        <f>EXACT(E2384,[1]Main!E2384)</f>
        <v>0</v>
      </c>
    </row>
    <row r="2384" spans="1:10" x14ac:dyDescent="0.25">
      <c r="A2384" s="249">
        <v>45136</v>
      </c>
      <c r="B2384" s="237"/>
      <c r="C2384" s="238"/>
      <c r="D2384" s="349"/>
      <c r="E2384" s="433">
        <v>1263</v>
      </c>
      <c r="F2384" s="434" t="s">
        <v>1578</v>
      </c>
      <c r="G2384" s="239"/>
      <c r="H2384" s="240">
        <f t="shared" si="38"/>
        <v>61555</v>
      </c>
      <c r="I2384" s="241"/>
      <c r="J2384" s="221" t="b">
        <f>EXACT(E2385,[1]Main!E2385)</f>
        <v>0</v>
      </c>
    </row>
    <row r="2385" spans="1:10" x14ac:dyDescent="0.25">
      <c r="A2385" s="249">
        <v>45136</v>
      </c>
      <c r="B2385" s="237"/>
      <c r="C2385" s="238"/>
      <c r="D2385" s="349"/>
      <c r="E2385" s="237">
        <f>5*115+4*115+140+5.5*50-20</f>
        <v>1430</v>
      </c>
      <c r="F2385" s="242" t="s">
        <v>14</v>
      </c>
      <c r="G2385" s="239"/>
      <c r="H2385" s="240">
        <f t="shared" si="38"/>
        <v>60125</v>
      </c>
      <c r="I2385" s="241"/>
      <c r="J2385" s="221" t="b">
        <f>EXACT(E2386,[1]Main!E2386)</f>
        <v>0</v>
      </c>
    </row>
    <row r="2386" spans="1:10" x14ac:dyDescent="0.25">
      <c r="A2386" s="249">
        <v>45136</v>
      </c>
      <c r="B2386" s="237"/>
      <c r="C2386" s="238"/>
      <c r="D2386" s="349"/>
      <c r="E2386" s="457">
        <v>5000</v>
      </c>
      <c r="F2386" s="458" t="s">
        <v>16</v>
      </c>
      <c r="G2386" s="239"/>
      <c r="H2386" s="240">
        <f t="shared" si="38"/>
        <v>55125</v>
      </c>
      <c r="I2386" s="241"/>
      <c r="J2386" s="221" t="b">
        <f>EXACT(E2387,[1]Main!E2387)</f>
        <v>0</v>
      </c>
    </row>
    <row r="2387" spans="1:10" x14ac:dyDescent="0.25">
      <c r="A2387" s="249">
        <v>45136</v>
      </c>
      <c r="B2387" s="237"/>
      <c r="C2387" s="238"/>
      <c r="D2387" s="349"/>
      <c r="E2387" s="457">
        <v>5000</v>
      </c>
      <c r="F2387" s="458" t="s">
        <v>1581</v>
      </c>
      <c r="G2387" s="239"/>
      <c r="H2387" s="240">
        <f t="shared" si="38"/>
        <v>50125</v>
      </c>
      <c r="I2387" s="241"/>
      <c r="J2387" s="221" t="b">
        <f>EXACT(E2388,[1]Main!E2388)</f>
        <v>0</v>
      </c>
    </row>
    <row r="2388" spans="1:10" x14ac:dyDescent="0.25">
      <c r="A2388" s="249">
        <v>45136</v>
      </c>
      <c r="B2388" s="237"/>
      <c r="C2388" s="238"/>
      <c r="D2388" s="349"/>
      <c r="E2388" s="457">
        <v>20</v>
      </c>
      <c r="F2388" s="458" t="s">
        <v>52</v>
      </c>
      <c r="G2388" s="239"/>
      <c r="H2388" s="240">
        <f t="shared" si="38"/>
        <v>50105</v>
      </c>
      <c r="I2388" s="241"/>
      <c r="J2388" s="221" t="b">
        <f>EXACT(E2389,[1]Main!E2389)</f>
        <v>0</v>
      </c>
    </row>
    <row r="2389" spans="1:10" x14ac:dyDescent="0.25">
      <c r="A2389" s="249">
        <v>45136</v>
      </c>
      <c r="B2389" s="237"/>
      <c r="C2389" s="238"/>
      <c r="D2389" s="349"/>
      <c r="E2389" s="457">
        <v>58</v>
      </c>
      <c r="F2389" s="458" t="s">
        <v>27</v>
      </c>
      <c r="G2389" s="239"/>
      <c r="H2389" s="240">
        <f t="shared" si="38"/>
        <v>50047</v>
      </c>
      <c r="I2389" s="241"/>
      <c r="J2389" s="221" t="b">
        <f>EXACT(E2390,[1]Main!E2390)</f>
        <v>0</v>
      </c>
    </row>
    <row r="2390" spans="1:10" x14ac:dyDescent="0.25">
      <c r="A2390" s="249">
        <v>45136</v>
      </c>
      <c r="B2390" s="237"/>
      <c r="C2390" s="238"/>
      <c r="D2390" s="349"/>
      <c r="E2390" s="457">
        <v>20</v>
      </c>
      <c r="F2390" s="458" t="s">
        <v>97</v>
      </c>
      <c r="G2390" s="239"/>
      <c r="H2390" s="240">
        <f t="shared" si="38"/>
        <v>50027</v>
      </c>
      <c r="I2390" s="241"/>
      <c r="J2390" s="221" t="b">
        <f>EXACT(E2391,[1]Main!E2391)</f>
        <v>0</v>
      </c>
    </row>
    <row r="2391" spans="1:10" x14ac:dyDescent="0.25">
      <c r="A2391" s="249">
        <v>45136</v>
      </c>
      <c r="B2391" s="237"/>
      <c r="C2391" s="238"/>
      <c r="D2391" s="349"/>
      <c r="E2391" s="393">
        <v>6</v>
      </c>
      <c r="F2391" s="404" t="s">
        <v>119</v>
      </c>
      <c r="G2391" s="239"/>
      <c r="H2391" s="240">
        <f t="shared" si="38"/>
        <v>50021</v>
      </c>
      <c r="I2391" s="241"/>
      <c r="J2391" s="221" t="b">
        <f>EXACT(E2392,[1]Main!E2392)</f>
        <v>0</v>
      </c>
    </row>
    <row r="2392" spans="1:10" x14ac:dyDescent="0.25">
      <c r="A2392" s="249">
        <v>45136</v>
      </c>
      <c r="B2392" s="237"/>
      <c r="C2392" s="238"/>
      <c r="D2392" s="349"/>
      <c r="E2392" s="393">
        <v>5000</v>
      </c>
      <c r="F2392" s="404" t="s">
        <v>1581</v>
      </c>
      <c r="G2392" s="239"/>
      <c r="H2392" s="240">
        <f t="shared" si="38"/>
        <v>45021</v>
      </c>
      <c r="I2392" s="241" t="s">
        <v>796</v>
      </c>
      <c r="J2392" s="221" t="b">
        <f>EXACT(E2393,[1]Main!E2393)</f>
        <v>0</v>
      </c>
    </row>
    <row r="2393" spans="1:10" x14ac:dyDescent="0.25">
      <c r="A2393" s="249">
        <v>45136</v>
      </c>
      <c r="B2393" s="237"/>
      <c r="C2393" s="238"/>
      <c r="D2393" s="349"/>
      <c r="E2393" s="393">
        <v>2000</v>
      </c>
      <c r="F2393" s="404" t="s">
        <v>1583</v>
      </c>
      <c r="G2393" s="239"/>
      <c r="H2393" s="240">
        <f t="shared" si="38"/>
        <v>43021</v>
      </c>
      <c r="I2393" s="241" t="s">
        <v>796</v>
      </c>
      <c r="J2393" s="221" t="b">
        <f>EXACT(E2394,[1]Main!E2394)</f>
        <v>0</v>
      </c>
    </row>
    <row r="2394" spans="1:10" x14ac:dyDescent="0.25">
      <c r="A2394" s="249">
        <v>45136</v>
      </c>
      <c r="B2394" s="237"/>
      <c r="C2394" s="238"/>
      <c r="D2394" s="349"/>
      <c r="E2394" s="237">
        <v>143</v>
      </c>
      <c r="F2394" s="242" t="s">
        <v>450</v>
      </c>
      <c r="G2394" s="239"/>
      <c r="H2394" s="240">
        <f t="shared" si="38"/>
        <v>42878</v>
      </c>
      <c r="I2394" s="241"/>
      <c r="J2394" s="221" t="b">
        <f>EXACT(E2395,[1]Main!E2395)</f>
        <v>0</v>
      </c>
    </row>
    <row r="2395" spans="1:10" x14ac:dyDescent="0.25">
      <c r="A2395" s="249">
        <v>45136</v>
      </c>
      <c r="B2395" s="237"/>
      <c r="C2395" s="238"/>
      <c r="D2395" s="349"/>
      <c r="E2395" s="325">
        <v>15</v>
      </c>
      <c r="F2395" s="328" t="s">
        <v>29</v>
      </c>
      <c r="G2395" s="239"/>
      <c r="H2395" s="240">
        <f t="shared" si="38"/>
        <v>42863</v>
      </c>
      <c r="I2395" s="241"/>
      <c r="J2395" s="221" t="b">
        <f>EXACT(E2396,[1]Main!E2396)</f>
        <v>0</v>
      </c>
    </row>
    <row r="2396" spans="1:10" x14ac:dyDescent="0.25">
      <c r="A2396" s="249">
        <v>45136</v>
      </c>
      <c r="B2396" s="237"/>
      <c r="C2396" s="238"/>
      <c r="D2396" s="349"/>
      <c r="E2396" s="325">
        <v>15</v>
      </c>
      <c r="F2396" s="328" t="s">
        <v>555</v>
      </c>
      <c r="G2396" s="239"/>
      <c r="H2396" s="240">
        <f t="shared" si="38"/>
        <v>42848</v>
      </c>
      <c r="I2396" s="241"/>
      <c r="J2396" s="221" t="b">
        <f>EXACT(E2397,[1]Main!E2397)</f>
        <v>0</v>
      </c>
    </row>
    <row r="2397" spans="1:10" x14ac:dyDescent="0.25">
      <c r="A2397" s="249">
        <v>45136</v>
      </c>
      <c r="B2397" s="237"/>
      <c r="C2397" s="238"/>
      <c r="D2397" s="349"/>
      <c r="E2397" s="325">
        <v>27</v>
      </c>
      <c r="F2397" s="328" t="s">
        <v>315</v>
      </c>
      <c r="G2397" s="239"/>
      <c r="H2397" s="240">
        <f t="shared" si="38"/>
        <v>42821</v>
      </c>
      <c r="I2397" s="241"/>
      <c r="J2397" s="221" t="b">
        <f>EXACT(E2398,[1]Main!E2398)</f>
        <v>0</v>
      </c>
    </row>
    <row r="2398" spans="1:10" x14ac:dyDescent="0.25">
      <c r="A2398" s="249">
        <v>45136</v>
      </c>
      <c r="B2398" s="237"/>
      <c r="C2398" s="238"/>
      <c r="D2398" s="349"/>
      <c r="E2398" s="325">
        <v>100</v>
      </c>
      <c r="F2398" s="328" t="s">
        <v>1419</v>
      </c>
      <c r="G2398" s="239"/>
      <c r="H2398" s="240">
        <f t="shared" si="38"/>
        <v>42721</v>
      </c>
      <c r="I2398" s="241"/>
      <c r="J2398" s="221" t="b">
        <f>EXACT(E2399,[1]Main!E2399)</f>
        <v>0</v>
      </c>
    </row>
    <row r="2399" spans="1:10" x14ac:dyDescent="0.25">
      <c r="A2399" s="249">
        <v>45136</v>
      </c>
      <c r="B2399" s="237"/>
      <c r="C2399" s="238"/>
      <c r="D2399" s="349"/>
      <c r="E2399" s="325">
        <v>180</v>
      </c>
      <c r="F2399" s="328" t="s">
        <v>715</v>
      </c>
      <c r="G2399" s="239"/>
      <c r="H2399" s="240">
        <f t="shared" si="38"/>
        <v>42541</v>
      </c>
      <c r="I2399" s="241"/>
      <c r="J2399" s="221" t="b">
        <f>EXACT(E2400,[1]Main!E2400)</f>
        <v>0</v>
      </c>
    </row>
    <row r="2400" spans="1:10" x14ac:dyDescent="0.25">
      <c r="A2400" s="249">
        <v>45136</v>
      </c>
      <c r="B2400" s="237"/>
      <c r="C2400" s="238"/>
      <c r="D2400" s="349"/>
      <c r="E2400" s="325">
        <v>625</v>
      </c>
      <c r="F2400" s="328" t="s">
        <v>313</v>
      </c>
      <c r="G2400" s="239"/>
      <c r="H2400" s="240">
        <f t="shared" si="38"/>
        <v>41916</v>
      </c>
      <c r="I2400" s="241"/>
      <c r="J2400" s="221" t="b">
        <f>EXACT(E2401,[1]Main!E2401)</f>
        <v>0</v>
      </c>
    </row>
    <row r="2401" spans="1:10" x14ac:dyDescent="0.25">
      <c r="A2401" s="249">
        <v>45136</v>
      </c>
      <c r="B2401" s="237"/>
      <c r="C2401" s="238"/>
      <c r="D2401" s="349"/>
      <c r="E2401" s="325">
        <v>1155</v>
      </c>
      <c r="F2401" s="328" t="s">
        <v>331</v>
      </c>
      <c r="G2401" s="239"/>
      <c r="H2401" s="240">
        <f t="shared" si="38"/>
        <v>40761</v>
      </c>
      <c r="I2401" s="241"/>
      <c r="J2401" s="221" t="b">
        <f>EXACT(E2402,[1]Main!E2402)</f>
        <v>0</v>
      </c>
    </row>
    <row r="2402" spans="1:10" x14ac:dyDescent="0.25">
      <c r="A2402" s="249">
        <v>45136</v>
      </c>
      <c r="B2402" s="237"/>
      <c r="C2402" s="238"/>
      <c r="D2402" s="349"/>
      <c r="E2402" s="325">
        <v>120</v>
      </c>
      <c r="F2402" s="328" t="s">
        <v>1585</v>
      </c>
      <c r="G2402" s="239"/>
      <c r="H2402" s="240">
        <f t="shared" si="38"/>
        <v>40641</v>
      </c>
      <c r="I2402" s="241"/>
      <c r="J2402" s="221" t="b">
        <f>EXACT(E2403,[1]Main!E2403)</f>
        <v>0</v>
      </c>
    </row>
    <row r="2403" spans="1:10" x14ac:dyDescent="0.25">
      <c r="A2403" s="249">
        <v>45136</v>
      </c>
      <c r="B2403" s="237"/>
      <c r="C2403" s="238"/>
      <c r="D2403" s="349"/>
      <c r="E2403" s="325">
        <v>2075</v>
      </c>
      <c r="F2403" s="328" t="s">
        <v>1421</v>
      </c>
      <c r="G2403" s="239"/>
      <c r="H2403" s="240">
        <f t="shared" si="38"/>
        <v>38566</v>
      </c>
      <c r="I2403" s="241"/>
      <c r="J2403" s="221" t="b">
        <f>EXACT(E2404,[1]Main!E2404)</f>
        <v>0</v>
      </c>
    </row>
    <row r="2404" spans="1:10" x14ac:dyDescent="0.25">
      <c r="A2404" s="249">
        <v>45136</v>
      </c>
      <c r="B2404" s="237"/>
      <c r="C2404" s="238"/>
      <c r="D2404" s="349"/>
      <c r="E2404" s="325">
        <v>208</v>
      </c>
      <c r="F2404" s="328" t="s">
        <v>1586</v>
      </c>
      <c r="G2404" s="239"/>
      <c r="H2404" s="240">
        <f t="shared" si="38"/>
        <v>38358</v>
      </c>
      <c r="I2404" s="241"/>
      <c r="J2404" s="221" t="b">
        <f>EXACT(E2405,[1]Main!E2405)</f>
        <v>0</v>
      </c>
    </row>
    <row r="2405" spans="1:10" x14ac:dyDescent="0.25">
      <c r="A2405" s="249">
        <v>45136</v>
      </c>
      <c r="B2405" s="237"/>
      <c r="C2405" s="238"/>
      <c r="D2405" s="349"/>
      <c r="E2405" s="325">
        <v>160</v>
      </c>
      <c r="F2405" s="328" t="s">
        <v>498</v>
      </c>
      <c r="G2405" s="239"/>
      <c r="H2405" s="240">
        <f t="shared" si="38"/>
        <v>38198</v>
      </c>
      <c r="I2405" s="241"/>
      <c r="J2405" s="221" t="b">
        <f>EXACT(E2406,[1]Main!E2406)</f>
        <v>0</v>
      </c>
    </row>
    <row r="2406" spans="1:10" x14ac:dyDescent="0.25">
      <c r="A2406" s="249">
        <v>45136</v>
      </c>
      <c r="B2406" s="237"/>
      <c r="C2406" s="238"/>
      <c r="D2406" s="349"/>
      <c r="E2406" s="325">
        <v>215</v>
      </c>
      <c r="F2406" s="328" t="s">
        <v>1319</v>
      </c>
      <c r="G2406" s="239"/>
      <c r="H2406" s="240">
        <f t="shared" si="38"/>
        <v>37983</v>
      </c>
      <c r="I2406" s="241"/>
      <c r="J2406" s="221" t="b">
        <f>EXACT(E2407,[1]Main!E2407)</f>
        <v>0</v>
      </c>
    </row>
    <row r="2407" spans="1:10" x14ac:dyDescent="0.25">
      <c r="A2407" s="249">
        <v>45136</v>
      </c>
      <c r="B2407" s="237"/>
      <c r="C2407" s="238"/>
      <c r="D2407" s="349"/>
      <c r="E2407" s="325">
        <v>4000</v>
      </c>
      <c r="F2407" s="328" t="s">
        <v>1584</v>
      </c>
      <c r="G2407" s="239"/>
      <c r="H2407" s="240">
        <f t="shared" si="38"/>
        <v>33983</v>
      </c>
      <c r="I2407" s="241"/>
      <c r="J2407" s="221" t="b">
        <f>EXACT(E2408,[1]Main!E2408)</f>
        <v>0</v>
      </c>
    </row>
    <row r="2408" spans="1:10" x14ac:dyDescent="0.25">
      <c r="A2408" s="249">
        <v>45136</v>
      </c>
      <c r="B2408" s="237"/>
      <c r="C2408" s="238"/>
      <c r="D2408" s="349"/>
      <c r="E2408" s="237">
        <v>3000</v>
      </c>
      <c r="F2408" s="242" t="s">
        <v>882</v>
      </c>
      <c r="G2408" s="239"/>
      <c r="H2408" s="240">
        <f t="shared" si="38"/>
        <v>30983</v>
      </c>
      <c r="I2408" s="241" t="s">
        <v>796</v>
      </c>
      <c r="J2408" s="221" t="b">
        <f>EXACT(E2409,[1]Main!E2409)</f>
        <v>0</v>
      </c>
    </row>
    <row r="2409" spans="1:10" x14ac:dyDescent="0.25">
      <c r="A2409" s="249">
        <v>45136</v>
      </c>
      <c r="B2409" s="237"/>
      <c r="C2409" s="238"/>
      <c r="D2409" s="349"/>
      <c r="E2409" s="237">
        <v>200</v>
      </c>
      <c r="F2409" s="242" t="s">
        <v>1589</v>
      </c>
      <c r="G2409" s="239"/>
      <c r="H2409" s="240">
        <f t="shared" si="38"/>
        <v>30783</v>
      </c>
      <c r="I2409" s="241"/>
      <c r="J2409" s="221" t="b">
        <f>EXACT(E2410,[1]Main!E2410)</f>
        <v>0</v>
      </c>
    </row>
    <row r="2410" spans="1:10" x14ac:dyDescent="0.25">
      <c r="A2410" s="249">
        <v>45136</v>
      </c>
      <c r="B2410" s="237"/>
      <c r="C2410" s="238"/>
      <c r="D2410" s="349"/>
      <c r="E2410" s="237">
        <v>1000</v>
      </c>
      <c r="F2410" s="242" t="s">
        <v>1590</v>
      </c>
      <c r="G2410" s="239"/>
      <c r="H2410" s="240">
        <f t="shared" si="38"/>
        <v>29783</v>
      </c>
      <c r="I2410" s="241"/>
      <c r="J2410" s="221" t="b">
        <f>EXACT(E2411,[1]Main!E2411)</f>
        <v>0</v>
      </c>
    </row>
    <row r="2411" spans="1:10" x14ac:dyDescent="0.25">
      <c r="A2411" s="249">
        <v>45136</v>
      </c>
      <c r="B2411" s="237"/>
      <c r="C2411" s="238"/>
      <c r="D2411" s="349"/>
      <c r="E2411" s="237">
        <f>2040+5110</f>
        <v>7150</v>
      </c>
      <c r="F2411" s="242" t="s">
        <v>228</v>
      </c>
      <c r="G2411" s="239"/>
      <c r="H2411" s="240">
        <f t="shared" si="38"/>
        <v>22633</v>
      </c>
      <c r="I2411" s="241"/>
      <c r="J2411" s="221" t="b">
        <f>EXACT(E2412,[1]Main!E2412)</f>
        <v>0</v>
      </c>
    </row>
    <row r="2412" spans="1:10" x14ac:dyDescent="0.25">
      <c r="A2412" s="249">
        <v>45136</v>
      </c>
      <c r="B2412" s="237"/>
      <c r="C2412" s="238"/>
      <c r="D2412" s="349"/>
      <c r="E2412" s="237">
        <v>135</v>
      </c>
      <c r="F2412" s="242" t="s">
        <v>1450</v>
      </c>
      <c r="G2412" s="239"/>
      <c r="H2412" s="240">
        <f t="shared" si="38"/>
        <v>22498</v>
      </c>
      <c r="I2412" s="241"/>
      <c r="J2412" s="221" t="b">
        <f>EXACT(E2413,[1]Main!E2413)</f>
        <v>0</v>
      </c>
    </row>
    <row r="2413" spans="1:10" x14ac:dyDescent="0.25">
      <c r="A2413" s="249">
        <v>45136</v>
      </c>
      <c r="B2413" s="237"/>
      <c r="C2413" s="238"/>
      <c r="D2413" s="349"/>
      <c r="E2413" s="237">
        <v>205</v>
      </c>
      <c r="F2413" s="242" t="s">
        <v>708</v>
      </c>
      <c r="G2413" s="239"/>
      <c r="H2413" s="240">
        <f t="shared" si="38"/>
        <v>22293</v>
      </c>
      <c r="I2413" s="241"/>
      <c r="J2413" s="221" t="b">
        <f>EXACT(E2414,[1]Main!E2414)</f>
        <v>0</v>
      </c>
    </row>
    <row r="2414" spans="1:10" x14ac:dyDescent="0.25">
      <c r="A2414" s="249">
        <v>45136</v>
      </c>
      <c r="B2414" s="237"/>
      <c r="C2414" s="238"/>
      <c r="D2414" s="349"/>
      <c r="E2414" s="237">
        <v>90</v>
      </c>
      <c r="F2414" s="242" t="s">
        <v>223</v>
      </c>
      <c r="G2414" s="239"/>
      <c r="H2414" s="240">
        <f t="shared" si="38"/>
        <v>22203</v>
      </c>
      <c r="I2414" s="241"/>
      <c r="J2414" s="221" t="b">
        <f>EXACT(E2415,[1]Main!E2415)</f>
        <v>0</v>
      </c>
    </row>
    <row r="2415" spans="1:10" x14ac:dyDescent="0.25">
      <c r="A2415" s="249">
        <v>45136</v>
      </c>
      <c r="B2415" s="237"/>
      <c r="C2415" s="238"/>
      <c r="D2415" s="349"/>
      <c r="E2415" s="237">
        <v>85</v>
      </c>
      <c r="F2415" s="242" t="s">
        <v>1219</v>
      </c>
      <c r="G2415" s="239"/>
      <c r="H2415" s="240">
        <f t="shared" si="38"/>
        <v>22118</v>
      </c>
      <c r="I2415" s="241"/>
      <c r="J2415" s="221" t="b">
        <f>EXACT(E2416,[1]Main!E2416)</f>
        <v>0</v>
      </c>
    </row>
    <row r="2416" spans="1:10" x14ac:dyDescent="0.25">
      <c r="A2416" s="249">
        <v>45136</v>
      </c>
      <c r="B2416" s="237"/>
      <c r="C2416" s="238"/>
      <c r="D2416" s="349"/>
      <c r="E2416" s="237">
        <v>115</v>
      </c>
      <c r="F2416" s="242" t="s">
        <v>1526</v>
      </c>
      <c r="G2416" s="239"/>
      <c r="H2416" s="240">
        <f t="shared" si="38"/>
        <v>22003</v>
      </c>
      <c r="I2416" s="241"/>
      <c r="J2416" s="221" t="b">
        <f>EXACT(E2417,[1]Main!E2417)</f>
        <v>0</v>
      </c>
    </row>
    <row r="2417" spans="1:10" x14ac:dyDescent="0.25">
      <c r="A2417" s="249">
        <v>45136</v>
      </c>
      <c r="B2417" s="237"/>
      <c r="C2417" s="238"/>
      <c r="D2417" s="349"/>
      <c r="E2417" s="237">
        <v>10000</v>
      </c>
      <c r="F2417" s="242" t="s">
        <v>594</v>
      </c>
      <c r="G2417" s="239"/>
      <c r="H2417" s="240">
        <f t="shared" si="38"/>
        <v>12003</v>
      </c>
      <c r="I2417" s="241" t="s">
        <v>1591</v>
      </c>
      <c r="J2417" s="221" t="b">
        <f>EXACT(E2418,[1]Main!E2418)</f>
        <v>1</v>
      </c>
    </row>
    <row r="2418" spans="1:10" x14ac:dyDescent="0.25">
      <c r="A2418" s="324">
        <v>45136</v>
      </c>
      <c r="B2418" s="325"/>
      <c r="C2418" s="326"/>
      <c r="D2418" s="327"/>
      <c r="E2418" s="325"/>
      <c r="F2418" s="328"/>
      <c r="G2418" s="327"/>
      <c r="H2418" s="240">
        <f t="shared" si="38"/>
        <v>12003</v>
      </c>
      <c r="I2418" s="329"/>
      <c r="J2418" s="221" t="b">
        <f>EXACT(E2419,[1]Main!E2419)</f>
        <v>1</v>
      </c>
    </row>
    <row r="2419" spans="1:10" x14ac:dyDescent="0.25">
      <c r="A2419" s="249">
        <v>45137</v>
      </c>
      <c r="B2419" s="237"/>
      <c r="C2419" s="238"/>
      <c r="D2419" s="349"/>
      <c r="G2419" s="239"/>
      <c r="H2419" s="240">
        <f t="shared" si="38"/>
        <v>12003</v>
      </c>
      <c r="I2419" s="241"/>
      <c r="J2419" s="221" t="b">
        <f>EXACT(E2420,[1]Main!E2420)</f>
        <v>0</v>
      </c>
    </row>
    <row r="2420" spans="1:10" x14ac:dyDescent="0.25">
      <c r="A2420" s="249">
        <v>45137</v>
      </c>
      <c r="B2420" s="237">
        <v>3000</v>
      </c>
      <c r="C2420" s="238" t="s">
        <v>363</v>
      </c>
      <c r="D2420" s="349"/>
      <c r="E2420" s="237">
        <v>315</v>
      </c>
      <c r="F2420" s="242" t="s">
        <v>1470</v>
      </c>
      <c r="G2420" s="239"/>
      <c r="H2420" s="240">
        <f t="shared" si="38"/>
        <v>14688</v>
      </c>
      <c r="I2420" s="241"/>
      <c r="J2420" s="221" t="b">
        <f>EXACT(E2421,[1]Main!E2421)</f>
        <v>0</v>
      </c>
    </row>
    <row r="2421" spans="1:10" x14ac:dyDescent="0.25">
      <c r="A2421" s="249">
        <v>45137</v>
      </c>
      <c r="B2421" s="237">
        <v>105</v>
      </c>
      <c r="C2421" s="238" t="s">
        <v>27</v>
      </c>
      <c r="D2421" s="349"/>
      <c r="E2421" s="237">
        <v>5730</v>
      </c>
      <c r="F2421" s="242" t="s">
        <v>1592</v>
      </c>
      <c r="G2421" s="239"/>
      <c r="H2421" s="240">
        <f t="shared" si="38"/>
        <v>9063</v>
      </c>
      <c r="I2421" s="241"/>
      <c r="J2421" s="221" t="b">
        <f>EXACT(E2422,[1]Main!E2422)</f>
        <v>0</v>
      </c>
    </row>
    <row r="2422" spans="1:10" x14ac:dyDescent="0.25">
      <c r="A2422" s="249">
        <v>45137</v>
      </c>
      <c r="B2422" s="237">
        <v>100</v>
      </c>
      <c r="C2422" s="238" t="s">
        <v>1061</v>
      </c>
      <c r="D2422" s="349"/>
      <c r="E2422" s="454">
        <v>3</v>
      </c>
      <c r="F2422" s="455" t="s">
        <v>119</v>
      </c>
      <c r="G2422" s="239"/>
      <c r="H2422" s="240">
        <f t="shared" si="38"/>
        <v>9160</v>
      </c>
      <c r="I2422" s="241"/>
      <c r="J2422" s="221" t="b">
        <f>EXACT(E2423,[1]Main!E2423)</f>
        <v>0</v>
      </c>
    </row>
    <row r="2423" spans="1:10" x14ac:dyDescent="0.25">
      <c r="A2423" s="249">
        <v>45137</v>
      </c>
      <c r="B2423" s="454">
        <v>17468</v>
      </c>
      <c r="C2423" s="456" t="s">
        <v>88</v>
      </c>
      <c r="D2423" s="349"/>
      <c r="E2423" s="454">
        <v>210</v>
      </c>
      <c r="F2423" s="455" t="s">
        <v>255</v>
      </c>
      <c r="G2423" s="239"/>
      <c r="H2423" s="240">
        <f t="shared" si="38"/>
        <v>26418</v>
      </c>
      <c r="I2423" s="241"/>
      <c r="J2423" s="221" t="b">
        <f>EXACT(E2424,[1]Main!E2424)</f>
        <v>0</v>
      </c>
    </row>
    <row r="2424" spans="1:10" x14ac:dyDescent="0.25">
      <c r="A2424" s="249">
        <v>45137</v>
      </c>
      <c r="B2424" s="237">
        <v>370</v>
      </c>
      <c r="C2424" s="238" t="s">
        <v>1180</v>
      </c>
      <c r="D2424" s="349"/>
      <c r="E2424" s="454">
        <v>120</v>
      </c>
      <c r="F2424" s="455" t="s">
        <v>393</v>
      </c>
      <c r="G2424" s="239"/>
      <c r="H2424" s="240">
        <f t="shared" si="38"/>
        <v>26668</v>
      </c>
      <c r="I2424" s="241"/>
      <c r="J2424" s="221" t="b">
        <f>EXACT(E2425,[1]Main!E2425)</f>
        <v>0</v>
      </c>
    </row>
    <row r="2425" spans="1:10" x14ac:dyDescent="0.25">
      <c r="A2425" s="249">
        <v>45137</v>
      </c>
      <c r="B2425" s="237">
        <v>255</v>
      </c>
      <c r="C2425" s="238" t="s">
        <v>650</v>
      </c>
      <c r="D2425" s="349"/>
      <c r="E2425" s="454">
        <v>17000</v>
      </c>
      <c r="F2425" s="455" t="s">
        <v>296</v>
      </c>
      <c r="G2425" s="239"/>
      <c r="H2425" s="240">
        <f t="shared" si="38"/>
        <v>9923</v>
      </c>
      <c r="I2425" s="241"/>
      <c r="J2425" s="221" t="b">
        <f>EXACT(E2426,[1]Main!E2426)</f>
        <v>0</v>
      </c>
    </row>
    <row r="2426" spans="1:10" x14ac:dyDescent="0.25">
      <c r="A2426" s="249">
        <v>45137</v>
      </c>
      <c r="B2426" s="433">
        <v>10537</v>
      </c>
      <c r="C2426" s="435" t="s">
        <v>60</v>
      </c>
      <c r="D2426" s="349"/>
      <c r="E2426" s="237">
        <v>145</v>
      </c>
      <c r="F2426" s="242" t="s">
        <v>708</v>
      </c>
      <c r="G2426" s="239"/>
      <c r="H2426" s="240">
        <f t="shared" si="38"/>
        <v>20315</v>
      </c>
      <c r="I2426" s="241"/>
      <c r="J2426" s="221" t="b">
        <f>EXACT(E2427,[1]Main!E2427)</f>
        <v>0</v>
      </c>
    </row>
    <row r="2427" spans="1:10" x14ac:dyDescent="0.25">
      <c r="A2427" s="249">
        <v>45137</v>
      </c>
      <c r="B2427" s="237">
        <v>572</v>
      </c>
      <c r="C2427" s="238" t="s">
        <v>1509</v>
      </c>
      <c r="D2427" s="349"/>
      <c r="E2427" s="433">
        <v>50</v>
      </c>
      <c r="F2427" s="434" t="s">
        <v>31</v>
      </c>
      <c r="G2427" s="239"/>
      <c r="H2427" s="240">
        <f t="shared" si="38"/>
        <v>20837</v>
      </c>
      <c r="I2427" s="241"/>
      <c r="J2427" s="221" t="b">
        <f>EXACT(E2428,[1]Main!E2428)</f>
        <v>0</v>
      </c>
    </row>
    <row r="2428" spans="1:10" x14ac:dyDescent="0.25">
      <c r="A2428" s="249">
        <v>45137</v>
      </c>
      <c r="B2428" s="384">
        <v>11422</v>
      </c>
      <c r="C2428" s="385" t="s">
        <v>85</v>
      </c>
      <c r="D2428" s="349"/>
      <c r="E2428" s="433">
        <v>215</v>
      </c>
      <c r="F2428" s="434" t="s">
        <v>329</v>
      </c>
      <c r="G2428" s="239"/>
      <c r="H2428" s="240">
        <f t="shared" si="38"/>
        <v>32044</v>
      </c>
      <c r="I2428" s="241"/>
      <c r="J2428" s="221" t="b">
        <f>EXACT(E2429,[1]Main!E2429)</f>
        <v>0</v>
      </c>
    </row>
    <row r="2429" spans="1:10" x14ac:dyDescent="0.25">
      <c r="A2429" s="249">
        <v>45137</v>
      </c>
      <c r="B2429" s="237">
        <v>72</v>
      </c>
      <c r="C2429" s="238" t="s">
        <v>1605</v>
      </c>
      <c r="D2429" s="349"/>
      <c r="E2429" s="433">
        <v>60</v>
      </c>
      <c r="F2429" s="434" t="s">
        <v>1529</v>
      </c>
      <c r="G2429" s="239"/>
      <c r="H2429" s="240">
        <f t="shared" si="38"/>
        <v>32056</v>
      </c>
      <c r="I2429" s="241"/>
      <c r="J2429" s="221" t="b">
        <f>EXACT(E2430,[1]Main!E2430)</f>
        <v>0</v>
      </c>
    </row>
    <row r="2430" spans="1:10" x14ac:dyDescent="0.25">
      <c r="A2430" s="249">
        <v>45137</v>
      </c>
      <c r="B2430" s="400">
        <v>11000</v>
      </c>
      <c r="C2430" s="401" t="s">
        <v>1076</v>
      </c>
      <c r="D2430" s="349"/>
      <c r="E2430" s="433">
        <v>10</v>
      </c>
      <c r="F2430" s="434" t="s">
        <v>447</v>
      </c>
      <c r="G2430" s="239"/>
      <c r="H2430" s="240">
        <f t="shared" si="38"/>
        <v>43046</v>
      </c>
      <c r="I2430" s="241"/>
      <c r="J2430" s="221" t="b">
        <f>EXACT(E2431,[1]Main!E2431)</f>
        <v>0</v>
      </c>
    </row>
    <row r="2431" spans="1:10" x14ac:dyDescent="0.25">
      <c r="A2431" s="249">
        <v>45137</v>
      </c>
      <c r="B2431" s="237">
        <v>168</v>
      </c>
      <c r="C2431" s="238" t="s">
        <v>979</v>
      </c>
      <c r="D2431" s="349"/>
      <c r="E2431" s="433">
        <v>20</v>
      </c>
      <c r="F2431" s="434" t="s">
        <v>446</v>
      </c>
      <c r="G2431" s="239"/>
      <c r="H2431" s="240">
        <f t="shared" si="38"/>
        <v>43194</v>
      </c>
      <c r="I2431" s="241"/>
      <c r="J2431" s="221" t="b">
        <f>EXACT(E2432,[1]Main!E2432)</f>
        <v>0</v>
      </c>
    </row>
    <row r="2432" spans="1:10" x14ac:dyDescent="0.25">
      <c r="A2432" s="249">
        <v>45137</v>
      </c>
      <c r="B2432" s="393">
        <v>5507</v>
      </c>
      <c r="C2432" s="394" t="s">
        <v>1545</v>
      </c>
      <c r="D2432" s="349"/>
      <c r="E2432" s="433">
        <v>2835</v>
      </c>
      <c r="F2432" s="434" t="s">
        <v>1458</v>
      </c>
      <c r="G2432" s="239"/>
      <c r="H2432" s="240">
        <f t="shared" si="38"/>
        <v>45866</v>
      </c>
      <c r="I2432" s="241"/>
      <c r="J2432" s="221" t="b">
        <f>EXACT(E2433,[1]Main!E2433)</f>
        <v>0</v>
      </c>
    </row>
    <row r="2433" spans="1:10" x14ac:dyDescent="0.25">
      <c r="A2433" s="249">
        <v>45137</v>
      </c>
      <c r="B2433" s="237">
        <v>1400</v>
      </c>
      <c r="C2433" s="238" t="s">
        <v>1609</v>
      </c>
      <c r="D2433" s="349"/>
      <c r="E2433" s="433">
        <v>160</v>
      </c>
      <c r="F2433" s="434" t="s">
        <v>1593</v>
      </c>
      <c r="G2433" s="239"/>
      <c r="H2433" s="240">
        <f t="shared" si="38"/>
        <v>47106</v>
      </c>
      <c r="I2433" s="241"/>
      <c r="J2433" s="221" t="b">
        <f>EXACT(E2434,[1]Main!E2434)</f>
        <v>0</v>
      </c>
    </row>
    <row r="2434" spans="1:10" x14ac:dyDescent="0.25">
      <c r="A2434" s="249">
        <v>45137</v>
      </c>
      <c r="B2434" s="237">
        <v>405</v>
      </c>
      <c r="C2434" s="238" t="s">
        <v>27</v>
      </c>
      <c r="D2434" s="349"/>
      <c r="E2434" s="433">
        <v>73</v>
      </c>
      <c r="F2434" s="434" t="s">
        <v>1594</v>
      </c>
      <c r="G2434" s="239"/>
      <c r="H2434" s="240">
        <f t="shared" si="38"/>
        <v>47438</v>
      </c>
      <c r="I2434" s="241"/>
      <c r="J2434" s="221" t="b">
        <f>EXACT(E2435,[1]Main!E2435)</f>
        <v>0</v>
      </c>
    </row>
    <row r="2435" spans="1:10" x14ac:dyDescent="0.25">
      <c r="A2435" s="249">
        <v>45137</v>
      </c>
      <c r="B2435" s="237">
        <v>10000</v>
      </c>
      <c r="C2435" s="238" t="s">
        <v>363</v>
      </c>
      <c r="D2435" s="349"/>
      <c r="E2435" s="433">
        <v>159</v>
      </c>
      <c r="F2435" s="434" t="s">
        <v>97</v>
      </c>
      <c r="G2435" s="239"/>
      <c r="H2435" s="240">
        <f t="shared" si="38"/>
        <v>57279</v>
      </c>
      <c r="I2435" s="241"/>
      <c r="J2435" s="221" t="b">
        <f>EXACT(E2436,[1]Main!E2436)</f>
        <v>0</v>
      </c>
    </row>
    <row r="2436" spans="1:10" x14ac:dyDescent="0.25">
      <c r="A2436" s="249">
        <v>45137</v>
      </c>
      <c r="B2436" s="237"/>
      <c r="C2436" s="238"/>
      <c r="D2436" s="349"/>
      <c r="E2436" s="433">
        <v>1975</v>
      </c>
      <c r="F2436" s="434" t="s">
        <v>27</v>
      </c>
      <c r="G2436" s="239"/>
      <c r="H2436" s="240">
        <f t="shared" si="38"/>
        <v>55304</v>
      </c>
      <c r="I2436" s="241"/>
      <c r="J2436" s="221" t="b">
        <f>EXACT(E2437,[1]Main!E2437)</f>
        <v>0</v>
      </c>
    </row>
    <row r="2437" spans="1:10" x14ac:dyDescent="0.25">
      <c r="A2437" s="249">
        <v>45137</v>
      </c>
      <c r="B2437" s="237"/>
      <c r="C2437" s="238"/>
      <c r="D2437" s="349"/>
      <c r="E2437" s="433">
        <v>900</v>
      </c>
      <c r="F2437" s="434" t="s">
        <v>296</v>
      </c>
      <c r="G2437" s="239"/>
      <c r="H2437" s="240">
        <f t="shared" si="38"/>
        <v>54404</v>
      </c>
      <c r="I2437" s="241"/>
      <c r="J2437" s="221" t="b">
        <f>EXACT(E2438,[1]Main!E2438)</f>
        <v>0</v>
      </c>
    </row>
    <row r="2438" spans="1:10" x14ac:dyDescent="0.25">
      <c r="A2438" s="249">
        <v>45137</v>
      </c>
      <c r="B2438" s="237"/>
      <c r="C2438" s="238"/>
      <c r="D2438" s="349"/>
      <c r="E2438" s="433">
        <v>265</v>
      </c>
      <c r="F2438" s="434" t="s">
        <v>61</v>
      </c>
      <c r="G2438" s="239"/>
      <c r="H2438" s="240">
        <f t="shared" si="38"/>
        <v>54139</v>
      </c>
      <c r="I2438" s="241"/>
      <c r="J2438" s="221" t="b">
        <f>EXACT(E2439,[1]Main!E2439)</f>
        <v>0</v>
      </c>
    </row>
    <row r="2439" spans="1:10" x14ac:dyDescent="0.25">
      <c r="A2439" s="249">
        <v>45137</v>
      </c>
      <c r="B2439" s="237"/>
      <c r="C2439" s="238"/>
      <c r="D2439" s="349"/>
      <c r="E2439" s="433">
        <v>1490</v>
      </c>
      <c r="F2439" s="434" t="s">
        <v>519</v>
      </c>
      <c r="G2439" s="239"/>
      <c r="H2439" s="240">
        <f t="shared" si="38"/>
        <v>52649</v>
      </c>
      <c r="I2439" s="241"/>
      <c r="J2439" s="221" t="b">
        <f>EXACT(E2440,[1]Main!E2440)</f>
        <v>0</v>
      </c>
    </row>
    <row r="2440" spans="1:10" x14ac:dyDescent="0.25">
      <c r="A2440" s="249">
        <v>45137</v>
      </c>
      <c r="B2440" s="237"/>
      <c r="C2440" s="238"/>
      <c r="D2440" s="349"/>
      <c r="E2440" s="433">
        <v>2300</v>
      </c>
      <c r="F2440" s="434" t="s">
        <v>17</v>
      </c>
      <c r="G2440" s="239"/>
      <c r="H2440" s="240">
        <f t="shared" si="38"/>
        <v>50349</v>
      </c>
      <c r="I2440" s="241"/>
      <c r="J2440" s="221" t="b">
        <f>EXACT(E2441,[1]Main!E2441)</f>
        <v>0</v>
      </c>
    </row>
    <row r="2441" spans="1:10" x14ac:dyDescent="0.25">
      <c r="A2441" s="249">
        <v>45137</v>
      </c>
      <c r="B2441" s="237"/>
      <c r="C2441" s="238"/>
      <c r="D2441" s="349"/>
      <c r="E2441" s="237">
        <v>2850</v>
      </c>
      <c r="F2441" s="242" t="s">
        <v>1595</v>
      </c>
      <c r="G2441" s="239"/>
      <c r="H2441" s="240">
        <f t="shared" si="38"/>
        <v>47499</v>
      </c>
      <c r="I2441" s="241"/>
      <c r="J2441" s="221" t="b">
        <f>EXACT(E2442,[1]Main!E2442)</f>
        <v>0</v>
      </c>
    </row>
    <row r="2442" spans="1:10" x14ac:dyDescent="0.25">
      <c r="A2442" s="249">
        <v>45137</v>
      </c>
      <c r="B2442" s="237"/>
      <c r="C2442" s="238"/>
      <c r="D2442" s="349"/>
      <c r="E2442" s="384">
        <v>22</v>
      </c>
      <c r="F2442" s="399" t="s">
        <v>119</v>
      </c>
      <c r="G2442" s="239"/>
      <c r="H2442" s="240">
        <f t="shared" si="38"/>
        <v>47477</v>
      </c>
      <c r="I2442" s="241"/>
      <c r="J2442" s="221" t="b">
        <f>EXACT(E2443,[1]Main!E2443)</f>
        <v>0</v>
      </c>
    </row>
    <row r="2443" spans="1:10" x14ac:dyDescent="0.25">
      <c r="A2443" s="249">
        <v>45137</v>
      </c>
      <c r="B2443" s="237"/>
      <c r="C2443" s="238"/>
      <c r="D2443" s="349"/>
      <c r="E2443" s="384">
        <v>70</v>
      </c>
      <c r="F2443" s="399" t="s">
        <v>24</v>
      </c>
      <c r="G2443" s="239"/>
      <c r="H2443" s="240">
        <f t="shared" si="38"/>
        <v>47407</v>
      </c>
      <c r="I2443" s="241"/>
      <c r="J2443" s="221" t="b">
        <f>EXACT(E2444,[1]Main!E2444)</f>
        <v>0</v>
      </c>
    </row>
    <row r="2444" spans="1:10" x14ac:dyDescent="0.25">
      <c r="A2444" s="249">
        <v>45137</v>
      </c>
      <c r="B2444" s="237"/>
      <c r="C2444" s="238"/>
      <c r="D2444" s="349"/>
      <c r="E2444" s="384">
        <v>100</v>
      </c>
      <c r="F2444" s="399" t="s">
        <v>1465</v>
      </c>
      <c r="G2444" s="239"/>
      <c r="H2444" s="240">
        <f t="shared" si="38"/>
        <v>47307</v>
      </c>
      <c r="I2444" s="241"/>
      <c r="J2444" s="221" t="b">
        <f>EXACT(E2445,[1]Main!E2445)</f>
        <v>0</v>
      </c>
    </row>
    <row r="2445" spans="1:10" x14ac:dyDescent="0.25">
      <c r="A2445" s="249">
        <v>45137</v>
      </c>
      <c r="B2445" s="237"/>
      <c r="C2445" s="238"/>
      <c r="D2445" s="349"/>
      <c r="E2445" s="384">
        <v>190</v>
      </c>
      <c r="F2445" s="399" t="s">
        <v>15</v>
      </c>
      <c r="G2445" s="239"/>
      <c r="H2445" s="240">
        <f t="shared" si="38"/>
        <v>47117</v>
      </c>
      <c r="I2445" s="241"/>
      <c r="J2445" s="221" t="b">
        <f>EXACT(E2446,[1]Main!E2446)</f>
        <v>0</v>
      </c>
    </row>
    <row r="2446" spans="1:10" x14ac:dyDescent="0.25">
      <c r="A2446" s="249">
        <v>45137</v>
      </c>
      <c r="B2446" s="237"/>
      <c r="C2446" s="238"/>
      <c r="D2446" s="349"/>
      <c r="E2446" s="384">
        <v>170</v>
      </c>
      <c r="F2446" s="399" t="s">
        <v>86</v>
      </c>
      <c r="G2446" s="239"/>
      <c r="H2446" s="240">
        <f t="shared" si="38"/>
        <v>46947</v>
      </c>
      <c r="I2446" s="241"/>
      <c r="J2446" s="221" t="b">
        <f>EXACT(E2447,[1]Main!E2447)</f>
        <v>0</v>
      </c>
    </row>
    <row r="2447" spans="1:10" x14ac:dyDescent="0.25">
      <c r="A2447" s="249">
        <v>45137</v>
      </c>
      <c r="B2447" s="237"/>
      <c r="C2447" s="238"/>
      <c r="D2447" s="349"/>
      <c r="E2447" s="384">
        <v>2315</v>
      </c>
      <c r="F2447" s="399" t="s">
        <v>1597</v>
      </c>
      <c r="G2447" s="239"/>
      <c r="H2447" s="240">
        <f t="shared" si="38"/>
        <v>44632</v>
      </c>
      <c r="I2447" s="241"/>
      <c r="J2447" s="221" t="b">
        <f>EXACT(E2448,[1]Main!E2448)</f>
        <v>0</v>
      </c>
    </row>
    <row r="2448" spans="1:10" x14ac:dyDescent="0.25">
      <c r="A2448" s="249">
        <v>45137</v>
      </c>
      <c r="B2448" s="237"/>
      <c r="C2448" s="238"/>
      <c r="D2448" s="349"/>
      <c r="E2448" s="384">
        <v>5000</v>
      </c>
      <c r="F2448" s="399" t="s">
        <v>346</v>
      </c>
      <c r="G2448" s="239"/>
      <c r="H2448" s="240">
        <f t="shared" si="38"/>
        <v>39632</v>
      </c>
      <c r="I2448" s="241"/>
      <c r="J2448" s="221" t="b">
        <f>EXACT(E2449,[1]Main!E2449)</f>
        <v>0</v>
      </c>
    </row>
    <row r="2449" spans="1:10" x14ac:dyDescent="0.25">
      <c r="A2449" s="249">
        <v>45137</v>
      </c>
      <c r="B2449" s="237"/>
      <c r="C2449" s="238"/>
      <c r="D2449" s="349"/>
      <c r="E2449" s="384">
        <v>200</v>
      </c>
      <c r="F2449" s="399" t="s">
        <v>1598</v>
      </c>
      <c r="G2449" s="239"/>
      <c r="H2449" s="240">
        <f t="shared" si="38"/>
        <v>39432</v>
      </c>
      <c r="I2449" s="241"/>
      <c r="J2449" s="221" t="b">
        <f>EXACT(E2450,[1]Main!E2450)</f>
        <v>0</v>
      </c>
    </row>
    <row r="2450" spans="1:10" x14ac:dyDescent="0.25">
      <c r="A2450" s="249">
        <v>45137</v>
      </c>
      <c r="B2450" s="237"/>
      <c r="C2450" s="238"/>
      <c r="D2450" s="349"/>
      <c r="E2450" s="384">
        <v>550</v>
      </c>
      <c r="F2450" s="399" t="s">
        <v>1596</v>
      </c>
      <c r="G2450" s="239"/>
      <c r="H2450" s="240">
        <f t="shared" si="38"/>
        <v>38882</v>
      </c>
      <c r="I2450" s="241"/>
      <c r="J2450" s="221" t="b">
        <f>EXACT(E2451,[1]Main!E2451)</f>
        <v>0</v>
      </c>
    </row>
    <row r="2451" spans="1:10" x14ac:dyDescent="0.25">
      <c r="A2451" s="249">
        <v>45137</v>
      </c>
      <c r="B2451" s="237"/>
      <c r="C2451" s="238"/>
      <c r="D2451" s="349"/>
      <c r="E2451" s="384">
        <v>2085</v>
      </c>
      <c r="F2451" s="399" t="s">
        <v>53</v>
      </c>
      <c r="G2451" s="239"/>
      <c r="H2451" s="240">
        <f t="shared" si="38"/>
        <v>36797</v>
      </c>
      <c r="I2451" s="241"/>
      <c r="J2451" s="221" t="b">
        <f>EXACT(E2452,[1]Main!E2452)</f>
        <v>0</v>
      </c>
    </row>
    <row r="2452" spans="1:10" x14ac:dyDescent="0.25">
      <c r="A2452" s="249">
        <v>45137</v>
      </c>
      <c r="B2452" s="237"/>
      <c r="C2452" s="238"/>
      <c r="D2452" s="349"/>
      <c r="E2452" s="384">
        <v>580</v>
      </c>
      <c r="F2452" s="399" t="s">
        <v>1599</v>
      </c>
      <c r="G2452" s="239"/>
      <c r="H2452" s="240">
        <f t="shared" si="38"/>
        <v>36217</v>
      </c>
      <c r="I2452" s="241"/>
      <c r="J2452" s="221" t="b">
        <f>EXACT(E2453,[1]Main!E2453)</f>
        <v>0</v>
      </c>
    </row>
    <row r="2453" spans="1:10" x14ac:dyDescent="0.25">
      <c r="A2453" s="249">
        <v>45137</v>
      </c>
      <c r="B2453" s="237"/>
      <c r="C2453" s="238"/>
      <c r="D2453" s="349"/>
      <c r="E2453" s="237">
        <v>762</v>
      </c>
      <c r="F2453" s="242" t="s">
        <v>1600</v>
      </c>
      <c r="G2453" s="239"/>
      <c r="H2453" s="240">
        <f t="shared" si="38"/>
        <v>35455</v>
      </c>
      <c r="I2453" s="241"/>
      <c r="J2453" s="221" t="b">
        <f>EXACT(E2454,[1]Main!E2454)</f>
        <v>0</v>
      </c>
    </row>
    <row r="2454" spans="1:10" x14ac:dyDescent="0.25">
      <c r="A2454" s="249">
        <v>45137</v>
      </c>
      <c r="B2454" s="237"/>
      <c r="C2454" s="238"/>
      <c r="D2454" s="349"/>
      <c r="E2454" s="237">
        <v>1000</v>
      </c>
      <c r="F2454" s="242" t="s">
        <v>1316</v>
      </c>
      <c r="G2454" s="239"/>
      <c r="H2454" s="240">
        <f t="shared" si="38"/>
        <v>34455</v>
      </c>
      <c r="I2454" s="241" t="s">
        <v>1602</v>
      </c>
      <c r="J2454" s="221" t="b">
        <f>EXACT(E2455,[1]Main!E2455)</f>
        <v>0</v>
      </c>
    </row>
    <row r="2455" spans="1:10" x14ac:dyDescent="0.25">
      <c r="A2455" s="249">
        <v>45137</v>
      </c>
      <c r="B2455" s="237"/>
      <c r="C2455" s="238"/>
      <c r="D2455" s="349"/>
      <c r="E2455" s="237">
        <v>3800</v>
      </c>
      <c r="F2455" s="242" t="s">
        <v>1601</v>
      </c>
      <c r="G2455" s="239"/>
      <c r="H2455" s="240">
        <f t="shared" si="38"/>
        <v>30655</v>
      </c>
      <c r="I2455" s="241" t="s">
        <v>796</v>
      </c>
      <c r="J2455" s="221" t="b">
        <f>EXACT(E2456,[1]Main!E2456)</f>
        <v>0</v>
      </c>
    </row>
    <row r="2456" spans="1:10" x14ac:dyDescent="0.25">
      <c r="A2456" s="249">
        <v>45137</v>
      </c>
      <c r="B2456" s="237"/>
      <c r="C2456" s="238"/>
      <c r="D2456" s="349"/>
      <c r="E2456" s="237">
        <v>565</v>
      </c>
      <c r="F2456" s="242" t="s">
        <v>1607</v>
      </c>
      <c r="G2456" s="239"/>
      <c r="H2456" s="240">
        <f t="shared" si="38"/>
        <v>30090</v>
      </c>
      <c r="I2456" s="241" t="s">
        <v>1608</v>
      </c>
      <c r="J2456" s="221" t="b">
        <f>EXACT(E2457,[1]Main!E2457)</f>
        <v>0</v>
      </c>
    </row>
    <row r="2457" spans="1:10" x14ac:dyDescent="0.25">
      <c r="A2457" s="249">
        <v>45137</v>
      </c>
      <c r="B2457" s="237"/>
      <c r="C2457" s="238"/>
      <c r="D2457" s="349"/>
      <c r="E2457" s="400">
        <v>180</v>
      </c>
      <c r="F2457" s="406" t="s">
        <v>284</v>
      </c>
      <c r="G2457" s="239"/>
      <c r="H2457" s="240">
        <f t="shared" si="38"/>
        <v>29910</v>
      </c>
      <c r="I2457" s="241"/>
      <c r="J2457" s="221" t="b">
        <f>EXACT(E2458,[1]Main!E2458)</f>
        <v>0</v>
      </c>
    </row>
    <row r="2458" spans="1:10" x14ac:dyDescent="0.25">
      <c r="A2458" s="249">
        <v>45137</v>
      </c>
      <c r="B2458" s="237"/>
      <c r="C2458" s="238"/>
      <c r="D2458" s="349"/>
      <c r="E2458" s="400">
        <v>2170</v>
      </c>
      <c r="F2458" s="406" t="s">
        <v>1147</v>
      </c>
      <c r="G2458" s="239"/>
      <c r="H2458" s="240">
        <f t="shared" si="38"/>
        <v>27740</v>
      </c>
      <c r="I2458" s="241"/>
      <c r="J2458" s="221" t="b">
        <f>EXACT(E2459,[1]Main!E2459)</f>
        <v>0</v>
      </c>
    </row>
    <row r="2459" spans="1:10" x14ac:dyDescent="0.25">
      <c r="A2459" s="249">
        <v>45137</v>
      </c>
      <c r="B2459" s="237"/>
      <c r="C2459" s="238"/>
      <c r="D2459" s="349"/>
      <c r="E2459" s="400">
        <v>425</v>
      </c>
      <c r="F2459" s="406" t="s">
        <v>11</v>
      </c>
      <c r="G2459" s="239"/>
      <c r="H2459" s="240">
        <f t="shared" si="38"/>
        <v>27315</v>
      </c>
      <c r="I2459" s="241"/>
      <c r="J2459" s="221" t="b">
        <f>EXACT(E2460,[1]Main!E2460)</f>
        <v>0</v>
      </c>
    </row>
    <row r="2460" spans="1:10" x14ac:dyDescent="0.25">
      <c r="A2460" s="249">
        <v>45137</v>
      </c>
      <c r="B2460" s="237"/>
      <c r="C2460" s="238"/>
      <c r="D2460" s="349"/>
      <c r="E2460" s="400">
        <v>1370</v>
      </c>
      <c r="F2460" s="406" t="s">
        <v>1603</v>
      </c>
      <c r="G2460" s="239"/>
      <c r="H2460" s="240">
        <f t="shared" si="38"/>
        <v>25945</v>
      </c>
      <c r="I2460" s="241"/>
      <c r="J2460" s="221" t="b">
        <f>EXACT(E2461,[1]Main!E2461)</f>
        <v>0</v>
      </c>
    </row>
    <row r="2461" spans="1:10" x14ac:dyDescent="0.25">
      <c r="A2461" s="249">
        <v>45137</v>
      </c>
      <c r="B2461" s="237"/>
      <c r="C2461" s="238"/>
      <c r="D2461" s="349"/>
      <c r="E2461" s="400">
        <v>455</v>
      </c>
      <c r="F2461" s="406" t="s">
        <v>1060</v>
      </c>
      <c r="G2461" s="239"/>
      <c r="H2461" s="240">
        <f t="shared" si="38"/>
        <v>25490</v>
      </c>
      <c r="I2461" s="241"/>
      <c r="J2461" s="221" t="b">
        <f>EXACT(E2462,[1]Main!E2462)</f>
        <v>0</v>
      </c>
    </row>
    <row r="2462" spans="1:10" x14ac:dyDescent="0.25">
      <c r="A2462" s="249">
        <v>45137</v>
      </c>
      <c r="B2462" s="237"/>
      <c r="C2462" s="238"/>
      <c r="D2462" s="349"/>
      <c r="E2462" s="400">
        <v>720</v>
      </c>
      <c r="F2462" s="406" t="s">
        <v>56</v>
      </c>
      <c r="G2462" s="239"/>
      <c r="H2462" s="240">
        <f t="shared" si="38"/>
        <v>24770</v>
      </c>
      <c r="I2462" s="241"/>
      <c r="J2462" s="221" t="b">
        <f>EXACT(E2463,[1]Main!E2463)</f>
        <v>0</v>
      </c>
    </row>
    <row r="2463" spans="1:10" x14ac:dyDescent="0.25">
      <c r="A2463" s="249">
        <v>45137</v>
      </c>
      <c r="B2463" s="237"/>
      <c r="C2463" s="238"/>
      <c r="D2463" s="349"/>
      <c r="E2463" s="400">
        <v>220</v>
      </c>
      <c r="F2463" s="406" t="s">
        <v>252</v>
      </c>
      <c r="G2463" s="239"/>
      <c r="H2463" s="240">
        <f t="shared" si="38"/>
        <v>24550</v>
      </c>
      <c r="I2463" s="241"/>
      <c r="J2463" s="221" t="b">
        <f>EXACT(E2464,[1]Main!E2464)</f>
        <v>0</v>
      </c>
    </row>
    <row r="2464" spans="1:10" x14ac:dyDescent="0.25">
      <c r="A2464" s="249">
        <v>45137</v>
      </c>
      <c r="B2464" s="237"/>
      <c r="C2464" s="238"/>
      <c r="D2464" s="349"/>
      <c r="E2464" s="400">
        <v>1520</v>
      </c>
      <c r="F2464" s="495" t="s">
        <v>12</v>
      </c>
      <c r="G2464" s="239"/>
      <c r="H2464" s="240">
        <f t="shared" si="38"/>
        <v>23030</v>
      </c>
      <c r="I2464" s="241"/>
      <c r="J2464" s="221" t="b">
        <f>EXACT(E2465,[1]Main!E2465)</f>
        <v>0</v>
      </c>
    </row>
    <row r="2465" spans="1:10" x14ac:dyDescent="0.25">
      <c r="A2465" s="249">
        <v>45137</v>
      </c>
      <c r="B2465" s="237"/>
      <c r="C2465" s="238"/>
      <c r="D2465" s="349"/>
      <c r="E2465" s="400">
        <v>607</v>
      </c>
      <c r="F2465" s="406" t="s">
        <v>1604</v>
      </c>
      <c r="G2465" s="239"/>
      <c r="H2465" s="240">
        <f t="shared" si="38"/>
        <v>22423</v>
      </c>
      <c r="I2465" s="241"/>
      <c r="J2465" s="221" t="b">
        <f>EXACT(E2466,[1]Main!E2466)</f>
        <v>0</v>
      </c>
    </row>
    <row r="2466" spans="1:10" x14ac:dyDescent="0.25">
      <c r="A2466" s="249">
        <v>45137</v>
      </c>
      <c r="B2466" s="237"/>
      <c r="C2466" s="238"/>
      <c r="D2466" s="349"/>
      <c r="E2466" s="400">
        <v>10</v>
      </c>
      <c r="F2466" s="406" t="s">
        <v>357</v>
      </c>
      <c r="G2466" s="239"/>
      <c r="H2466" s="240">
        <f t="shared" si="38"/>
        <v>22413</v>
      </c>
      <c r="I2466" s="241"/>
      <c r="J2466" s="221" t="b">
        <f>EXACT(E2467,[1]Main!E2467)</f>
        <v>0</v>
      </c>
    </row>
    <row r="2467" spans="1:10" x14ac:dyDescent="0.25">
      <c r="A2467" s="249">
        <v>45137</v>
      </c>
      <c r="B2467" s="237"/>
      <c r="C2467" s="238"/>
      <c r="D2467" s="349"/>
      <c r="E2467" s="400">
        <v>1280</v>
      </c>
      <c r="F2467" s="406" t="s">
        <v>17</v>
      </c>
      <c r="G2467" s="239"/>
      <c r="H2467" s="240">
        <f t="shared" si="38"/>
        <v>21133</v>
      </c>
      <c r="I2467" s="241"/>
      <c r="J2467" s="221" t="b">
        <f>EXACT(E2468,[1]Main!E2468)</f>
        <v>0</v>
      </c>
    </row>
    <row r="2468" spans="1:10" x14ac:dyDescent="0.25">
      <c r="A2468" s="249">
        <v>45137</v>
      </c>
      <c r="B2468" s="237"/>
      <c r="C2468" s="238"/>
      <c r="D2468" s="349"/>
      <c r="E2468" s="393">
        <v>15</v>
      </c>
      <c r="F2468" s="404" t="s">
        <v>32</v>
      </c>
      <c r="G2468" s="239"/>
      <c r="H2468" s="240">
        <f t="shared" si="38"/>
        <v>21118</v>
      </c>
      <c r="I2468" s="241"/>
      <c r="J2468" s="221" t="b">
        <f>EXACT(E2469,[1]Main!E2469)</f>
        <v>0</v>
      </c>
    </row>
    <row r="2469" spans="1:10" x14ac:dyDescent="0.25">
      <c r="A2469" s="249">
        <v>45137</v>
      </c>
      <c r="B2469" s="237"/>
      <c r="C2469" s="238"/>
      <c r="D2469" s="349"/>
      <c r="E2469" s="393">
        <v>80</v>
      </c>
      <c r="F2469" s="404" t="s">
        <v>71</v>
      </c>
      <c r="G2469" s="239"/>
      <c r="H2469" s="240">
        <f t="shared" si="38"/>
        <v>21038</v>
      </c>
      <c r="I2469" s="241"/>
      <c r="J2469" s="221" t="b">
        <f>EXACT(E2470,[1]Main!E2470)</f>
        <v>0</v>
      </c>
    </row>
    <row r="2470" spans="1:10" x14ac:dyDescent="0.25">
      <c r="A2470" s="249">
        <v>45137</v>
      </c>
      <c r="B2470" s="237"/>
      <c r="C2470" s="238"/>
      <c r="D2470" s="349"/>
      <c r="E2470" s="237">
        <v>5000</v>
      </c>
      <c r="F2470" s="242" t="s">
        <v>43</v>
      </c>
      <c r="G2470" s="239"/>
      <c r="H2470" s="240">
        <f t="shared" si="38"/>
        <v>16038</v>
      </c>
      <c r="I2470" s="241"/>
      <c r="J2470" s="221" t="b">
        <f>EXACT(E2471,[1]Main!E2471)</f>
        <v>0</v>
      </c>
    </row>
    <row r="2471" spans="1:10" x14ac:dyDescent="0.25">
      <c r="A2471" s="249">
        <v>45137</v>
      </c>
      <c r="B2471" s="237"/>
      <c r="C2471" s="238"/>
      <c r="D2471" s="349"/>
      <c r="E2471" s="496">
        <v>500</v>
      </c>
      <c r="F2471" s="497" t="s">
        <v>1610</v>
      </c>
      <c r="G2471" s="239"/>
      <c r="H2471" s="240">
        <f t="shared" si="38"/>
        <v>15538</v>
      </c>
      <c r="I2471" s="241"/>
      <c r="J2471" s="221" t="b">
        <f>EXACT(E2472,[1]Main!E2472)</f>
        <v>0</v>
      </c>
    </row>
    <row r="2472" spans="1:10" x14ac:dyDescent="0.25">
      <c r="A2472" s="249">
        <v>45137</v>
      </c>
      <c r="B2472" s="237"/>
      <c r="C2472" s="238"/>
      <c r="D2472" s="349"/>
      <c r="E2472" s="237">
        <v>85</v>
      </c>
      <c r="F2472" s="242" t="s">
        <v>32</v>
      </c>
      <c r="G2472" s="239"/>
      <c r="H2472" s="240">
        <f t="shared" si="38"/>
        <v>15453</v>
      </c>
      <c r="I2472" s="241"/>
      <c r="J2472" s="221" t="b">
        <f>EXACT(E2473,[1]Main!E2473)</f>
        <v>0</v>
      </c>
    </row>
    <row r="2473" spans="1:10" x14ac:dyDescent="0.25">
      <c r="A2473" s="249">
        <v>45137</v>
      </c>
      <c r="B2473" s="237"/>
      <c r="C2473" s="238"/>
      <c r="D2473" s="349"/>
      <c r="E2473" s="237">
        <v>1640</v>
      </c>
      <c r="F2473" s="242" t="s">
        <v>1562</v>
      </c>
      <c r="G2473" s="239"/>
      <c r="H2473" s="240">
        <f t="shared" si="38"/>
        <v>13813</v>
      </c>
      <c r="I2473" s="241" t="s">
        <v>796</v>
      </c>
      <c r="J2473" s="221" t="b">
        <f>EXACT(E2474,[1]Main!E2474)</f>
        <v>0</v>
      </c>
    </row>
    <row r="2474" spans="1:10" x14ac:dyDescent="0.25">
      <c r="A2474" s="249">
        <v>45137</v>
      </c>
      <c r="B2474" s="237"/>
      <c r="C2474" s="238"/>
      <c r="D2474" s="349"/>
      <c r="E2474" s="237">
        <v>240</v>
      </c>
      <c r="F2474" s="242" t="s">
        <v>1510</v>
      </c>
      <c r="G2474" s="239"/>
      <c r="H2474" s="240">
        <f t="shared" si="38"/>
        <v>13573</v>
      </c>
      <c r="I2474" s="241"/>
      <c r="J2474" s="221" t="b">
        <f>EXACT(E2475,[1]Main!E2475)</f>
        <v>0</v>
      </c>
    </row>
    <row r="2475" spans="1:10" x14ac:dyDescent="0.25">
      <c r="A2475" s="249">
        <v>45137</v>
      </c>
      <c r="B2475" s="237"/>
      <c r="C2475" s="238"/>
      <c r="D2475" s="349"/>
      <c r="E2475" s="237">
        <v>20</v>
      </c>
      <c r="F2475" s="242" t="s">
        <v>1611</v>
      </c>
      <c r="G2475" s="239"/>
      <c r="H2475" s="240">
        <f t="shared" si="38"/>
        <v>13553</v>
      </c>
      <c r="I2475" s="241"/>
      <c r="J2475" s="221" t="b">
        <f>EXACT(E2476,[1]Main!E2476)</f>
        <v>0</v>
      </c>
    </row>
    <row r="2476" spans="1:10" x14ac:dyDescent="0.25">
      <c r="A2476" s="249">
        <v>45137</v>
      </c>
      <c r="B2476" s="237"/>
      <c r="C2476" s="238"/>
      <c r="D2476" s="349"/>
      <c r="E2476" s="237">
        <v>512</v>
      </c>
      <c r="F2476" s="242" t="s">
        <v>1612</v>
      </c>
      <c r="G2476" s="239"/>
      <c r="H2476" s="240">
        <f t="shared" si="38"/>
        <v>13041</v>
      </c>
      <c r="I2476" s="498" t="s">
        <v>1613</v>
      </c>
      <c r="J2476" s="221" t="b">
        <f>EXACT(E2477,[1]Main!E2477)</f>
        <v>0</v>
      </c>
    </row>
    <row r="2477" spans="1:10" x14ac:dyDescent="0.25">
      <c r="A2477" s="249">
        <v>45137</v>
      </c>
      <c r="B2477" s="237"/>
      <c r="C2477" s="238"/>
      <c r="D2477" s="349"/>
      <c r="E2477" s="237">
        <f>7*115+5*115+140+110-25-15</f>
        <v>1590</v>
      </c>
      <c r="F2477" s="242" t="s">
        <v>14</v>
      </c>
      <c r="G2477" s="239"/>
      <c r="H2477" s="240">
        <f t="shared" si="38"/>
        <v>11451</v>
      </c>
      <c r="I2477" s="241"/>
      <c r="J2477" s="221" t="b">
        <f>EXACT(E2478,[1]Main!E2478)</f>
        <v>0</v>
      </c>
    </row>
    <row r="2478" spans="1:10" x14ac:dyDescent="0.25">
      <c r="A2478" s="249">
        <v>45137</v>
      </c>
      <c r="B2478" s="237"/>
      <c r="C2478" s="238"/>
      <c r="D2478" s="349"/>
      <c r="E2478" s="237">
        <v>6825</v>
      </c>
      <c r="F2478" s="242" t="s">
        <v>16</v>
      </c>
      <c r="G2478" s="239"/>
      <c r="H2478" s="240">
        <f t="shared" si="38"/>
        <v>4626</v>
      </c>
      <c r="I2478" s="241"/>
      <c r="J2478" s="221" t="b">
        <f>EXACT(E2479,[1]Main!E2479)</f>
        <v>0</v>
      </c>
    </row>
    <row r="2479" spans="1:10" x14ac:dyDescent="0.25">
      <c r="A2479" s="249">
        <v>45137</v>
      </c>
      <c r="B2479" s="237"/>
      <c r="C2479" s="238"/>
      <c r="D2479" s="349"/>
      <c r="E2479" s="237">
        <v>1495</v>
      </c>
      <c r="F2479" s="242" t="s">
        <v>1016</v>
      </c>
      <c r="G2479" s="239"/>
      <c r="H2479" s="240">
        <f t="shared" si="38"/>
        <v>3131</v>
      </c>
      <c r="I2479" s="241" t="s">
        <v>796</v>
      </c>
      <c r="J2479" s="221" t="b">
        <f>EXACT(E2480,[1]Main!E2480)</f>
        <v>0</v>
      </c>
    </row>
    <row r="2480" spans="1:10" x14ac:dyDescent="0.25">
      <c r="A2480" s="249">
        <v>45137</v>
      </c>
      <c r="B2480" s="237"/>
      <c r="C2480" s="238"/>
      <c r="D2480" s="349"/>
      <c r="E2480" s="237">
        <v>1000</v>
      </c>
      <c r="F2480" s="242" t="s">
        <v>1614</v>
      </c>
      <c r="G2480" s="239"/>
      <c r="H2480" s="240">
        <f t="shared" si="38"/>
        <v>2131</v>
      </c>
      <c r="I2480" s="241" t="s">
        <v>1615</v>
      </c>
      <c r="J2480" s="221" t="b">
        <f>EXACT(E2481,[1]Main!E2481)</f>
        <v>1</v>
      </c>
    </row>
    <row r="2481" spans="1:10" x14ac:dyDescent="0.25">
      <c r="A2481" s="249">
        <v>45137</v>
      </c>
      <c r="B2481" s="237"/>
      <c r="C2481" s="238"/>
      <c r="D2481" s="349"/>
      <c r="E2481" s="237"/>
      <c r="F2481" s="242"/>
      <c r="G2481" s="239"/>
      <c r="H2481" s="240">
        <f t="shared" si="38"/>
        <v>2131</v>
      </c>
      <c r="I2481" s="241"/>
      <c r="J2481" s="221" t="b">
        <f>EXACT(E2482,[1]Main!E2482)</f>
        <v>1</v>
      </c>
    </row>
    <row r="2482" spans="1:10" x14ac:dyDescent="0.25">
      <c r="A2482" s="249">
        <v>45137</v>
      </c>
      <c r="B2482" s="237"/>
      <c r="C2482" s="238"/>
      <c r="D2482" s="349"/>
      <c r="E2482" s="237"/>
      <c r="F2482" s="242"/>
      <c r="G2482" s="239"/>
      <c r="H2482" s="240">
        <f t="shared" si="38"/>
        <v>2131</v>
      </c>
      <c r="I2482" s="241"/>
      <c r="J2482" s="221" t="b">
        <f>EXACT(E2483,[1]Main!E2483)</f>
        <v>1</v>
      </c>
    </row>
    <row r="2483" spans="1:10" x14ac:dyDescent="0.25">
      <c r="A2483" s="249">
        <v>45137</v>
      </c>
      <c r="B2483" s="237"/>
      <c r="C2483" s="238"/>
      <c r="D2483" s="349"/>
      <c r="E2483" s="237"/>
      <c r="F2483" s="242"/>
      <c r="G2483" s="239"/>
      <c r="H2483" s="240">
        <f t="shared" si="38"/>
        <v>2131</v>
      </c>
      <c r="I2483" s="241"/>
      <c r="J2483" s="221" t="b">
        <f>EXACT(E2484,[1]Main!E2484)</f>
        <v>1</v>
      </c>
    </row>
    <row r="2484" spans="1:10" x14ac:dyDescent="0.25">
      <c r="A2484" s="249">
        <v>45137</v>
      </c>
      <c r="B2484" s="237"/>
      <c r="C2484" s="238"/>
      <c r="D2484" s="349"/>
      <c r="E2484" s="237"/>
      <c r="F2484" s="242"/>
      <c r="G2484" s="239"/>
      <c r="H2484" s="240">
        <f t="shared" si="38"/>
        <v>2131</v>
      </c>
      <c r="I2484" s="241"/>
      <c r="J2484" s="221" t="b">
        <f>EXACT(E2485,[1]Main!E2485)</f>
        <v>1</v>
      </c>
    </row>
    <row r="2485" spans="1:10" x14ac:dyDescent="0.25">
      <c r="A2485" s="249">
        <v>45137</v>
      </c>
      <c r="B2485" s="237"/>
      <c r="C2485" s="238"/>
      <c r="D2485" s="349"/>
      <c r="E2485" s="237"/>
      <c r="F2485" s="242"/>
      <c r="G2485" s="239"/>
      <c r="H2485" s="240">
        <f t="shared" si="38"/>
        <v>2131</v>
      </c>
      <c r="I2485" s="241"/>
      <c r="J2485" s="221" t="b">
        <f>EXACT(E2486,[1]Main!E2486)</f>
        <v>1</v>
      </c>
    </row>
    <row r="2486" spans="1:10" x14ac:dyDescent="0.25">
      <c r="A2486" s="249">
        <v>45137</v>
      </c>
      <c r="B2486" s="237"/>
      <c r="C2486" s="238"/>
      <c r="D2486" s="349"/>
      <c r="E2486" s="237"/>
      <c r="F2486" s="242"/>
      <c r="G2486" s="239"/>
      <c r="H2486" s="240">
        <f t="shared" si="38"/>
        <v>2131</v>
      </c>
      <c r="I2486" s="241"/>
      <c r="J2486" s="221" t="b">
        <f>EXACT(E2487,[1]Main!E2487)</f>
        <v>1</v>
      </c>
    </row>
    <row r="2487" spans="1:10" x14ac:dyDescent="0.25">
      <c r="A2487" s="249">
        <v>45137</v>
      </c>
      <c r="B2487" s="237"/>
      <c r="C2487" s="238"/>
      <c r="D2487" s="349"/>
      <c r="E2487" s="237"/>
      <c r="F2487" s="242"/>
      <c r="G2487" s="239"/>
      <c r="H2487" s="240">
        <f t="shared" si="38"/>
        <v>2131</v>
      </c>
      <c r="I2487" s="241"/>
      <c r="J2487" s="221" t="b">
        <f>EXACT(E2488,[1]Main!E2488)</f>
        <v>1</v>
      </c>
    </row>
    <row r="2488" spans="1:10" x14ac:dyDescent="0.25">
      <c r="A2488" s="249">
        <v>45137</v>
      </c>
      <c r="B2488" s="237"/>
      <c r="C2488" s="238"/>
      <c r="D2488" s="349"/>
      <c r="E2488" s="237"/>
      <c r="F2488" s="242"/>
      <c r="G2488" s="239"/>
      <c r="H2488" s="240">
        <f t="shared" si="38"/>
        <v>2131</v>
      </c>
      <c r="I2488" s="241"/>
      <c r="J2488" s="221" t="b">
        <f>EXACT(E2489,[1]Main!E2489)</f>
        <v>1</v>
      </c>
    </row>
    <row r="2489" spans="1:10" x14ac:dyDescent="0.25">
      <c r="A2489" s="249">
        <v>45137</v>
      </c>
      <c r="B2489" s="237"/>
      <c r="C2489" s="238"/>
      <c r="D2489" s="349"/>
      <c r="E2489" s="237"/>
      <c r="F2489" s="242"/>
      <c r="G2489" s="239"/>
      <c r="H2489" s="240">
        <f t="shared" si="38"/>
        <v>2131</v>
      </c>
      <c r="I2489" s="241"/>
      <c r="J2489" s="221" t="b">
        <f>EXACT(E2490,[1]Main!E2490)</f>
        <v>1</v>
      </c>
    </row>
    <row r="2490" spans="1:10" x14ac:dyDescent="0.25">
      <c r="A2490" s="249">
        <v>45137</v>
      </c>
      <c r="B2490" s="237"/>
      <c r="C2490" s="238"/>
      <c r="D2490" s="349"/>
      <c r="E2490" s="237"/>
      <c r="F2490" s="242"/>
      <c r="G2490" s="239"/>
      <c r="H2490" s="240">
        <f t="shared" si="38"/>
        <v>2131</v>
      </c>
      <c r="I2490" s="241"/>
      <c r="J2490" s="221" t="b">
        <f>EXACT(E2491,[1]Main!E2491)</f>
        <v>1</v>
      </c>
    </row>
    <row r="2491" spans="1:10" x14ac:dyDescent="0.25">
      <c r="A2491" s="249">
        <v>45137</v>
      </c>
      <c r="B2491" s="237"/>
      <c r="C2491" s="238"/>
      <c r="D2491" s="349"/>
      <c r="E2491" s="237"/>
      <c r="F2491" s="242"/>
      <c r="G2491" s="239"/>
      <c r="H2491" s="240">
        <f t="shared" si="38"/>
        <v>2131</v>
      </c>
      <c r="I2491" s="241"/>
      <c r="J2491" s="221" t="b">
        <f>EXACT(E2492,[1]Main!E2492)</f>
        <v>1</v>
      </c>
    </row>
    <row r="2492" spans="1:10" x14ac:dyDescent="0.25">
      <c r="A2492" s="249">
        <v>45137</v>
      </c>
      <c r="B2492" s="237"/>
      <c r="C2492" s="238"/>
      <c r="D2492" s="349"/>
      <c r="E2492" s="237"/>
      <c r="F2492" s="242"/>
      <c r="G2492" s="239"/>
      <c r="H2492" s="240">
        <f t="shared" si="38"/>
        <v>2131</v>
      </c>
      <c r="I2492" s="241"/>
      <c r="J2492" s="221" t="b">
        <f>EXACT(E2493,[1]Main!E2493)</f>
        <v>1</v>
      </c>
    </row>
    <row r="2493" spans="1:10" x14ac:dyDescent="0.25">
      <c r="A2493" s="249">
        <v>45137</v>
      </c>
      <c r="B2493" s="237"/>
      <c r="C2493" s="238"/>
      <c r="D2493" s="349"/>
      <c r="E2493" s="237"/>
      <c r="F2493" s="242"/>
      <c r="G2493" s="239"/>
      <c r="H2493" s="240">
        <f t="shared" si="38"/>
        <v>2131</v>
      </c>
      <c r="I2493" s="241"/>
      <c r="J2493" s="221" t="b">
        <f>EXACT(E2494,[1]Main!E2494)</f>
        <v>1</v>
      </c>
    </row>
    <row r="2494" spans="1:10" x14ac:dyDescent="0.25">
      <c r="A2494" s="249">
        <v>45137</v>
      </c>
      <c r="B2494" s="237"/>
      <c r="C2494" s="238"/>
      <c r="D2494" s="349"/>
      <c r="E2494" s="237"/>
      <c r="F2494" s="242"/>
      <c r="G2494" s="239"/>
      <c r="H2494" s="240">
        <f t="shared" si="38"/>
        <v>2131</v>
      </c>
      <c r="I2494" s="241"/>
      <c r="J2494" s="221" t="b">
        <f>EXACT(E2495,[1]Main!E2495)</f>
        <v>1</v>
      </c>
    </row>
    <row r="2495" spans="1:10" x14ac:dyDescent="0.25">
      <c r="A2495" s="249">
        <v>45137</v>
      </c>
      <c r="B2495" s="237"/>
      <c r="C2495" s="238"/>
      <c r="D2495" s="349"/>
      <c r="E2495" s="237"/>
      <c r="F2495" s="242"/>
      <c r="G2495" s="239"/>
      <c r="H2495" s="240">
        <f t="shared" si="38"/>
        <v>2131</v>
      </c>
      <c r="I2495" s="241"/>
      <c r="J2495" s="221" t="b">
        <f>EXACT(E2496,[1]Main!E2496)</f>
        <v>1</v>
      </c>
    </row>
    <row r="2496" spans="1:10" x14ac:dyDescent="0.25">
      <c r="A2496" s="249">
        <v>45137</v>
      </c>
      <c r="B2496" s="237"/>
      <c r="C2496" s="238"/>
      <c r="D2496" s="349"/>
      <c r="E2496" s="237"/>
      <c r="F2496" s="242"/>
      <c r="G2496" s="239"/>
      <c r="H2496" s="240">
        <f t="shared" si="38"/>
        <v>2131</v>
      </c>
      <c r="I2496" s="241"/>
      <c r="J2496" s="221" t="b">
        <f>EXACT(E2497,[1]Main!E2497)</f>
        <v>1</v>
      </c>
    </row>
    <row r="2497" spans="1:10" x14ac:dyDescent="0.25">
      <c r="A2497" s="249">
        <v>45137</v>
      </c>
      <c r="B2497" s="237"/>
      <c r="C2497" s="238"/>
      <c r="D2497" s="349"/>
      <c r="E2497" s="237"/>
      <c r="F2497" s="242"/>
      <c r="G2497" s="239"/>
      <c r="H2497" s="240">
        <f t="shared" si="38"/>
        <v>2131</v>
      </c>
      <c r="I2497" s="241"/>
      <c r="J2497" s="221" t="b">
        <f>EXACT(E2498,[1]Main!E2498)</f>
        <v>1</v>
      </c>
    </row>
    <row r="2498" spans="1:10" x14ac:dyDescent="0.25">
      <c r="A2498" s="249">
        <v>45137</v>
      </c>
      <c r="B2498" s="237"/>
      <c r="C2498" s="238"/>
      <c r="D2498" s="349"/>
      <c r="E2498" s="237"/>
      <c r="F2498" s="242"/>
      <c r="G2498" s="239"/>
      <c r="H2498" s="240">
        <f t="shared" si="38"/>
        <v>2131</v>
      </c>
      <c r="I2498" s="241"/>
      <c r="J2498" s="221" t="b">
        <f>EXACT(E2499,[1]Main!E2499)</f>
        <v>1</v>
      </c>
    </row>
    <row r="2499" spans="1:10" x14ac:dyDescent="0.25">
      <c r="A2499" s="249">
        <v>45136</v>
      </c>
      <c r="B2499" s="237"/>
      <c r="C2499" s="238"/>
      <c r="D2499" s="349"/>
      <c r="E2499" s="237"/>
      <c r="F2499" s="242"/>
      <c r="G2499" s="239"/>
      <c r="H2499" s="240">
        <f t="shared" si="38"/>
        <v>2131</v>
      </c>
      <c r="I2499" s="241"/>
      <c r="J2499" s="221" t="b">
        <f>EXACT(E2500,[1]Main!E2500)</f>
        <v>1</v>
      </c>
    </row>
    <row r="2500" spans="1:10" x14ac:dyDescent="0.25">
      <c r="A2500" s="249">
        <v>45136</v>
      </c>
      <c r="B2500" s="237"/>
      <c r="C2500" s="238"/>
      <c r="D2500" s="349"/>
      <c r="E2500" s="237"/>
      <c r="F2500" s="242"/>
      <c r="G2500" s="239"/>
      <c r="H2500" s="240">
        <f t="shared" si="38"/>
        <v>2131</v>
      </c>
      <c r="I2500" s="241"/>
      <c r="J2500" s="221" t="b">
        <f>EXACT(E2501,[1]Main!E2501)</f>
        <v>1</v>
      </c>
    </row>
    <row r="2501" spans="1:10" x14ac:dyDescent="0.25">
      <c r="A2501" s="249">
        <v>45136</v>
      </c>
      <c r="B2501" s="237"/>
      <c r="C2501" s="238"/>
      <c r="D2501" s="349"/>
      <c r="E2501" s="237"/>
      <c r="F2501" s="242"/>
      <c r="G2501" s="239"/>
      <c r="H2501" s="240">
        <f t="shared" si="38"/>
        <v>2131</v>
      </c>
      <c r="I2501" s="241"/>
      <c r="J2501" s="221" t="b">
        <f>EXACT(E2502,[1]Main!E2502)</f>
        <v>1</v>
      </c>
    </row>
    <row r="2502" spans="1:10" x14ac:dyDescent="0.25">
      <c r="A2502" s="249">
        <v>45136</v>
      </c>
      <c r="B2502" s="237"/>
      <c r="C2502" s="238"/>
      <c r="D2502" s="349"/>
      <c r="E2502" s="237"/>
      <c r="F2502" s="242"/>
      <c r="G2502" s="239"/>
      <c r="H2502" s="240">
        <f t="shared" si="38"/>
        <v>2131</v>
      </c>
      <c r="I2502" s="241"/>
      <c r="J2502" s="221" t="b">
        <f>EXACT(E2503,[1]Main!E2503)</f>
        <v>1</v>
      </c>
    </row>
    <row r="2503" spans="1:10" x14ac:dyDescent="0.25">
      <c r="A2503" s="249">
        <v>45136</v>
      </c>
      <c r="B2503" s="237"/>
      <c r="C2503" s="238"/>
      <c r="D2503" s="349"/>
      <c r="E2503" s="237"/>
      <c r="F2503" s="242"/>
      <c r="G2503" s="239"/>
      <c r="H2503" s="240">
        <f t="shared" si="38"/>
        <v>2131</v>
      </c>
      <c r="I2503" s="241"/>
      <c r="J2503" s="221" t="b">
        <f>EXACT(E2504,[1]Main!E2504)</f>
        <v>1</v>
      </c>
    </row>
    <row r="2504" spans="1:10" x14ac:dyDescent="0.25">
      <c r="A2504" s="249">
        <v>45136</v>
      </c>
      <c r="B2504" s="237"/>
      <c r="C2504" s="238"/>
      <c r="D2504" s="349"/>
      <c r="E2504" s="237"/>
      <c r="F2504" s="242"/>
      <c r="G2504" s="239"/>
      <c r="H2504" s="240">
        <f t="shared" si="38"/>
        <v>2131</v>
      </c>
      <c r="I2504" s="241"/>
      <c r="J2504" s="221" t="b">
        <f>EXACT(E2505,[1]Main!E2505)</f>
        <v>1</v>
      </c>
    </row>
    <row r="2505" spans="1:10" x14ac:dyDescent="0.25">
      <c r="A2505" s="249">
        <v>45136</v>
      </c>
      <c r="B2505" s="237"/>
      <c r="C2505" s="238"/>
      <c r="D2505" s="349"/>
      <c r="E2505" s="237"/>
      <c r="F2505" s="242"/>
      <c r="G2505" s="239"/>
      <c r="H2505" s="240">
        <f t="shared" ref="H2505:H2512" si="39">H2504+B2505-E2505</f>
        <v>2131</v>
      </c>
      <c r="I2505" s="241"/>
      <c r="J2505" s="221" t="b">
        <f>EXACT(E2506,[1]Main!E2506)</f>
        <v>1</v>
      </c>
    </row>
    <row r="2506" spans="1:10" x14ac:dyDescent="0.25">
      <c r="A2506" s="249">
        <v>45136</v>
      </c>
      <c r="B2506" s="237"/>
      <c r="C2506" s="238"/>
      <c r="D2506" s="349"/>
      <c r="E2506" s="237"/>
      <c r="F2506" s="242"/>
      <c r="G2506" s="239"/>
      <c r="H2506" s="240">
        <f t="shared" si="39"/>
        <v>2131</v>
      </c>
      <c r="I2506" s="241"/>
      <c r="J2506" s="221" t="b">
        <f>EXACT(E2507,[1]Main!E2507)</f>
        <v>1</v>
      </c>
    </row>
    <row r="2507" spans="1:10" x14ac:dyDescent="0.25">
      <c r="A2507" s="249">
        <v>45136</v>
      </c>
      <c r="B2507" s="237"/>
      <c r="C2507" s="238"/>
      <c r="D2507" s="349"/>
      <c r="E2507" s="237"/>
      <c r="F2507" s="242"/>
      <c r="G2507" s="239"/>
      <c r="H2507" s="240">
        <f t="shared" si="39"/>
        <v>2131</v>
      </c>
      <c r="I2507" s="241"/>
      <c r="J2507" s="221" t="b">
        <f>EXACT(E2508,[1]Main!E2508)</f>
        <v>1</v>
      </c>
    </row>
    <row r="2508" spans="1:10" x14ac:dyDescent="0.25">
      <c r="A2508" s="249">
        <v>45136</v>
      </c>
      <c r="B2508" s="237"/>
      <c r="C2508" s="238"/>
      <c r="D2508" s="349"/>
      <c r="E2508" s="237"/>
      <c r="F2508" s="242"/>
      <c r="G2508" s="239"/>
      <c r="H2508" s="240">
        <f t="shared" si="39"/>
        <v>2131</v>
      </c>
      <c r="I2508" s="241"/>
      <c r="J2508" s="221" t="b">
        <f>EXACT(E2509,[1]Main!E2509)</f>
        <v>1</v>
      </c>
    </row>
    <row r="2509" spans="1:10" x14ac:dyDescent="0.25">
      <c r="A2509" s="249">
        <v>45136</v>
      </c>
      <c r="B2509" s="237"/>
      <c r="C2509" s="238"/>
      <c r="D2509" s="349"/>
      <c r="E2509" s="237"/>
      <c r="F2509" s="242"/>
      <c r="G2509" s="239"/>
      <c r="H2509" s="240">
        <f t="shared" si="39"/>
        <v>2131</v>
      </c>
      <c r="I2509" s="241"/>
      <c r="J2509" s="221" t="b">
        <f>EXACT(E2510,[1]Main!E2510)</f>
        <v>1</v>
      </c>
    </row>
    <row r="2510" spans="1:10" x14ac:dyDescent="0.25">
      <c r="A2510" s="249">
        <v>45136</v>
      </c>
      <c r="B2510" s="237"/>
      <c r="C2510" s="238"/>
      <c r="D2510" s="349"/>
      <c r="E2510" s="237"/>
      <c r="F2510" s="242"/>
      <c r="G2510" s="239"/>
      <c r="H2510" s="240">
        <f t="shared" si="39"/>
        <v>2131</v>
      </c>
      <c r="I2510" s="241"/>
      <c r="J2510" s="221" t="b">
        <f>EXACT(E2511,[1]Main!E2511)</f>
        <v>1</v>
      </c>
    </row>
    <row r="2511" spans="1:10" x14ac:dyDescent="0.25">
      <c r="A2511" s="249">
        <v>45136</v>
      </c>
      <c r="B2511" s="237"/>
      <c r="C2511" s="238"/>
      <c r="D2511" s="349"/>
      <c r="E2511" s="237"/>
      <c r="F2511" s="242"/>
      <c r="G2511" s="239"/>
      <c r="H2511" s="240">
        <f t="shared" si="39"/>
        <v>2131</v>
      </c>
      <c r="I2511" s="241"/>
      <c r="J2511" s="221" t="b">
        <f>EXACT(E2512,[1]Main!E2512)</f>
        <v>1</v>
      </c>
    </row>
    <row r="2512" spans="1:10" x14ac:dyDescent="0.25">
      <c r="A2512" s="249">
        <v>45136</v>
      </c>
      <c r="B2512" s="237"/>
      <c r="C2512" s="238"/>
      <c r="D2512" s="349"/>
      <c r="E2512" s="237"/>
      <c r="F2512" s="242"/>
      <c r="G2512" s="239"/>
      <c r="H2512" s="240">
        <f t="shared" si="39"/>
        <v>2131</v>
      </c>
      <c r="I2512" s="241"/>
      <c r="J2512" s="221" t="b">
        <f>EXACT(E2513,[1]Main!E2513)</f>
        <v>1</v>
      </c>
    </row>
    <row r="2513" spans="1:9" x14ac:dyDescent="0.25">
      <c r="I2513" s="241"/>
    </row>
    <row r="2514" spans="1:9" x14ac:dyDescent="0.25">
      <c r="A2514" s="359"/>
      <c r="B2514" s="360"/>
      <c r="C2514" s="361"/>
      <c r="D2514" s="360"/>
      <c r="E2514" s="360"/>
      <c r="F2514" s="361"/>
      <c r="G2514" s="360"/>
      <c r="H2514" s="362"/>
      <c r="I2514" s="361"/>
    </row>
    <row r="2515" spans="1:9" ht="16.5" thickBot="1" x14ac:dyDescent="0.3"/>
    <row r="2516" spans="1:9" ht="16.5" thickBot="1" x14ac:dyDescent="0.3">
      <c r="B2516" s="258">
        <f>SUBTOTAL(9,B5:B2515)</f>
        <v>3782279</v>
      </c>
      <c r="C2516" s="259" t="s">
        <v>904</v>
      </c>
      <c r="E2516" s="258">
        <f>SUBTOTAL(9,E5:E2515)</f>
        <v>3798746</v>
      </c>
      <c r="F2516" s="259" t="s">
        <v>904</v>
      </c>
      <c r="H2516" s="258">
        <f>B3+B2516-E2516</f>
        <v>2131</v>
      </c>
    </row>
  </sheetData>
  <autoFilter ref="A4:I2512" xr:uid="{65C35A77-2B73-46F2-9B7C-4BAA35798913}"/>
  <mergeCells count="1">
    <mergeCell ref="A1:C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FD3BF7-DEA6-4EA2-95EB-E2480DB93AB6}">
          <x14:formula1>
            <xm:f>Info!$B$4:$B$28</xm:f>
          </x14:formula1>
          <xm:sqref>D6:D1786 D1892:D2174 D2176:D2513</xm:sqref>
        </x14:dataValidation>
        <x14:dataValidation type="list" allowBlank="1" showInputMessage="1" showErrorMessage="1" xr:uid="{035F289B-DA6E-4B00-8169-23122D763BF4}">
          <x14:formula1>
            <xm:f>Info!$D$4:$D$28</xm:f>
          </x14:formula1>
          <xm:sqref>G5:G1786 G1904:G1911 G1913:G1920 G1922:G1943 G1887:G1899 G1945:G2513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A1:J323"/>
  <sheetViews>
    <sheetView rightToLeft="1" topLeftCell="A75" zoomScale="115" zoomScaleNormal="115" workbookViewId="0">
      <selection activeCell="C75" sqref="C75"/>
    </sheetView>
  </sheetViews>
  <sheetFormatPr defaultRowHeight="15" x14ac:dyDescent="0.25"/>
  <cols>
    <col min="1" max="1" width="25.140625" style="9" customWidth="1"/>
    <col min="2" max="2" width="15.140625" style="10" bestFit="1" customWidth="1"/>
    <col min="3" max="3" width="35.85546875" bestFit="1" customWidth="1"/>
    <col min="4" max="4" width="20.28515625" bestFit="1" customWidth="1"/>
    <col min="5" max="5" width="14.7109375" customWidth="1"/>
    <col min="6" max="6" width="6.7109375" bestFit="1" customWidth="1"/>
    <col min="7" max="7" width="14.28515625" customWidth="1"/>
    <col min="8" max="8" width="14.5703125" customWidth="1"/>
    <col min="9" max="9" width="10.7109375" customWidth="1"/>
  </cols>
  <sheetData>
    <row r="1" spans="1:7" ht="18.75" x14ac:dyDescent="0.3">
      <c r="A1" s="1" t="s">
        <v>0</v>
      </c>
      <c r="B1" s="2">
        <v>45110</v>
      </c>
      <c r="C1" s="3"/>
      <c r="D1" s="3"/>
    </row>
    <row r="2" spans="1:7" x14ac:dyDescent="0.25">
      <c r="A2" s="4" t="s">
        <v>1</v>
      </c>
      <c r="B2" s="5" t="s">
        <v>2</v>
      </c>
      <c r="C2" s="5" t="s">
        <v>3</v>
      </c>
      <c r="D2" s="6" t="s">
        <v>4</v>
      </c>
      <c r="E2" s="5" t="s">
        <v>5</v>
      </c>
    </row>
    <row r="3" spans="1:7" x14ac:dyDescent="0.25">
      <c r="A3" s="20" t="s">
        <v>48</v>
      </c>
      <c r="B3" s="21">
        <f>28430+500</f>
        <v>28930</v>
      </c>
      <c r="C3" s="46"/>
      <c r="D3" s="21"/>
      <c r="E3" s="43"/>
    </row>
    <row r="4" spans="1:7" x14ac:dyDescent="0.25">
      <c r="A4" s="20" t="s">
        <v>35</v>
      </c>
      <c r="B4" s="21">
        <v>50</v>
      </c>
      <c r="C4" s="20" t="s">
        <v>189</v>
      </c>
      <c r="D4" s="21">
        <v>980</v>
      </c>
      <c r="E4" s="43"/>
    </row>
    <row r="5" spans="1:7" x14ac:dyDescent="0.25">
      <c r="A5" s="41" t="s">
        <v>9</v>
      </c>
      <c r="B5" s="21">
        <v>13480</v>
      </c>
      <c r="C5" s="20" t="s">
        <v>53</v>
      </c>
      <c r="D5" s="21">
        <v>13360</v>
      </c>
      <c r="E5" s="43"/>
    </row>
    <row r="6" spans="1:7" x14ac:dyDescent="0.25">
      <c r="A6" s="20" t="s">
        <v>28</v>
      </c>
      <c r="B6" s="21">
        <v>875</v>
      </c>
      <c r="C6" s="20" t="s">
        <v>63</v>
      </c>
      <c r="D6" s="21">
        <v>265</v>
      </c>
      <c r="E6" s="43"/>
    </row>
    <row r="7" spans="1:7" x14ac:dyDescent="0.25">
      <c r="A7" s="20" t="s">
        <v>25</v>
      </c>
      <c r="B7" s="21">
        <v>6000</v>
      </c>
      <c r="C7" s="20" t="s">
        <v>190</v>
      </c>
      <c r="D7" s="21">
        <v>3470</v>
      </c>
      <c r="E7" s="43"/>
    </row>
    <row r="8" spans="1:7" x14ac:dyDescent="0.25">
      <c r="A8" s="20" t="s">
        <v>80</v>
      </c>
      <c r="B8" s="21">
        <v>8874</v>
      </c>
      <c r="C8" s="20" t="s">
        <v>33</v>
      </c>
      <c r="D8" s="21">
        <v>55</v>
      </c>
      <c r="E8" s="43"/>
    </row>
    <row r="9" spans="1:7" x14ac:dyDescent="0.25">
      <c r="A9" s="20" t="s">
        <v>81</v>
      </c>
      <c r="B9" s="21">
        <v>899</v>
      </c>
      <c r="C9" s="20" t="s">
        <v>142</v>
      </c>
      <c r="D9" s="21">
        <v>100</v>
      </c>
      <c r="E9" s="43"/>
    </row>
    <row r="10" spans="1:7" x14ac:dyDescent="0.25">
      <c r="A10" s="20" t="s">
        <v>85</v>
      </c>
      <c r="B10" s="21">
        <v>11887</v>
      </c>
      <c r="C10" s="20" t="s">
        <v>10</v>
      </c>
      <c r="D10" s="21">
        <v>145</v>
      </c>
      <c r="E10" s="43"/>
    </row>
    <row r="11" spans="1:7" x14ac:dyDescent="0.25">
      <c r="A11" s="20" t="s">
        <v>35</v>
      </c>
      <c r="B11" s="21">
        <v>20</v>
      </c>
      <c r="C11" s="20" t="s">
        <v>191</v>
      </c>
      <c r="D11" s="21">
        <v>5280</v>
      </c>
      <c r="E11" s="43"/>
    </row>
    <row r="12" spans="1:7" x14ac:dyDescent="0.25">
      <c r="A12" s="20" t="s">
        <v>15</v>
      </c>
      <c r="B12" s="21">
        <v>17079</v>
      </c>
      <c r="C12" s="20" t="s">
        <v>222</v>
      </c>
      <c r="D12" s="21">
        <v>3300</v>
      </c>
      <c r="E12" s="43"/>
    </row>
    <row r="13" spans="1:7" x14ac:dyDescent="0.25">
      <c r="A13" s="20" t="s">
        <v>90</v>
      </c>
      <c r="B13" s="21">
        <v>855</v>
      </c>
      <c r="C13" s="20" t="s">
        <v>34</v>
      </c>
      <c r="D13" s="21">
        <v>610</v>
      </c>
      <c r="E13" s="44"/>
    </row>
    <row r="14" spans="1:7" x14ac:dyDescent="0.25">
      <c r="A14" s="20" t="s">
        <v>202</v>
      </c>
      <c r="B14" s="21">
        <v>25</v>
      </c>
      <c r="C14" s="20" t="s">
        <v>57</v>
      </c>
      <c r="D14" s="21">
        <v>4498</v>
      </c>
      <c r="E14" s="44"/>
    </row>
    <row r="15" spans="1:7" x14ac:dyDescent="0.25">
      <c r="A15" s="20" t="s">
        <v>6</v>
      </c>
      <c r="B15" s="21">
        <v>8672</v>
      </c>
      <c r="C15" s="20" t="s">
        <v>659</v>
      </c>
      <c r="D15" s="21">
        <v>4100</v>
      </c>
      <c r="E15" s="44"/>
      <c r="G15">
        <f>10826</f>
        <v>10826</v>
      </c>
    </row>
    <row r="16" spans="1:7" x14ac:dyDescent="0.25">
      <c r="A16" s="20" t="s">
        <v>93</v>
      </c>
      <c r="B16" s="21">
        <v>635</v>
      </c>
      <c r="C16" s="20" t="s">
        <v>192</v>
      </c>
      <c r="D16" s="21">
        <v>3760</v>
      </c>
      <c r="E16" s="42"/>
      <c r="G16">
        <f>G15-135</f>
        <v>10691</v>
      </c>
    </row>
    <row r="17" spans="1:7" x14ac:dyDescent="0.25">
      <c r="A17" s="41" t="s">
        <v>88</v>
      </c>
      <c r="B17" s="21">
        <v>15916</v>
      </c>
      <c r="C17" s="20" t="s">
        <v>220</v>
      </c>
      <c r="D17" s="21">
        <v>1500</v>
      </c>
      <c r="E17" s="42"/>
    </row>
    <row r="18" spans="1:7" x14ac:dyDescent="0.25">
      <c r="A18" s="41" t="s">
        <v>216</v>
      </c>
      <c r="B18" s="21">
        <v>940</v>
      </c>
      <c r="C18" s="20" t="s">
        <v>17</v>
      </c>
      <c r="D18" s="21">
        <v>1160</v>
      </c>
      <c r="E18" s="42"/>
    </row>
    <row r="19" spans="1:7" x14ac:dyDescent="0.25">
      <c r="A19" s="20" t="s">
        <v>217</v>
      </c>
      <c r="B19" s="21">
        <v>10000</v>
      </c>
      <c r="C19" s="20" t="s">
        <v>61</v>
      </c>
      <c r="D19" s="21">
        <v>140</v>
      </c>
      <c r="E19" s="42"/>
    </row>
    <row r="20" spans="1:7" x14ac:dyDescent="0.25">
      <c r="A20" s="41" t="s">
        <v>38</v>
      </c>
      <c r="B20" s="21">
        <v>1000</v>
      </c>
      <c r="C20" s="20" t="s">
        <v>13</v>
      </c>
      <c r="D20" s="21">
        <v>5</v>
      </c>
      <c r="E20" s="42"/>
    </row>
    <row r="21" spans="1:7" x14ac:dyDescent="0.25">
      <c r="A21" s="41" t="s">
        <v>27</v>
      </c>
      <c r="B21" s="21">
        <v>505</v>
      </c>
      <c r="C21" s="20" t="s">
        <v>66</v>
      </c>
      <c r="D21" s="21">
        <v>1105</v>
      </c>
      <c r="E21" s="42"/>
    </row>
    <row r="22" spans="1:7" ht="15.75" x14ac:dyDescent="0.25">
      <c r="A22" s="41" t="s">
        <v>227</v>
      </c>
      <c r="B22" s="21">
        <v>55</v>
      </c>
      <c r="C22" s="20" t="s">
        <v>73</v>
      </c>
      <c r="D22" s="21">
        <v>255</v>
      </c>
      <c r="E22" s="42"/>
      <c r="F22" s="15"/>
      <c r="G22">
        <f>207*10+135*6+215*2+260</f>
        <v>3570</v>
      </c>
    </row>
    <row r="23" spans="1:7" ht="15.75" x14ac:dyDescent="0.25">
      <c r="A23" s="20" t="s">
        <v>19</v>
      </c>
      <c r="B23" s="21">
        <v>25910</v>
      </c>
      <c r="C23" s="7" t="s">
        <v>44</v>
      </c>
      <c r="D23" s="21">
        <v>5224</v>
      </c>
      <c r="E23" s="42"/>
      <c r="F23" s="15"/>
    </row>
    <row r="24" spans="1:7" ht="15.75" x14ac:dyDescent="0.25">
      <c r="A24" s="20" t="s">
        <v>60</v>
      </c>
      <c r="B24" s="21">
        <v>2635</v>
      </c>
      <c r="C24" s="7" t="s">
        <v>8</v>
      </c>
      <c r="D24" s="21">
        <v>255</v>
      </c>
      <c r="E24" s="42"/>
      <c r="F24" s="15"/>
    </row>
    <row r="25" spans="1:7" ht="15.75" x14ac:dyDescent="0.25">
      <c r="A25" s="20" t="s">
        <v>233</v>
      </c>
      <c r="B25" s="21">
        <v>1783</v>
      </c>
      <c r="C25" s="20" t="s">
        <v>194</v>
      </c>
      <c r="D25" s="30">
        <v>1</v>
      </c>
      <c r="E25" s="42"/>
      <c r="F25" s="15"/>
    </row>
    <row r="26" spans="1:7" ht="15.75" x14ac:dyDescent="0.25">
      <c r="A26" s="20" t="s">
        <v>241</v>
      </c>
      <c r="B26" s="21">
        <v>15997</v>
      </c>
      <c r="C26" s="20" t="s">
        <v>73</v>
      </c>
      <c r="D26" s="30">
        <v>16</v>
      </c>
      <c r="E26" s="42"/>
      <c r="F26" s="15"/>
    </row>
    <row r="27" spans="1:7" ht="15.75" x14ac:dyDescent="0.25">
      <c r="A27" s="20" t="s">
        <v>249</v>
      </c>
      <c r="B27" s="21">
        <v>14867</v>
      </c>
      <c r="C27" s="20"/>
      <c r="D27" s="30">
        <v>500</v>
      </c>
      <c r="E27" s="42"/>
      <c r="F27" s="15"/>
    </row>
    <row r="28" spans="1:7" ht="15.75" x14ac:dyDescent="0.25">
      <c r="A28" s="20" t="s">
        <v>250</v>
      </c>
      <c r="B28" s="47">
        <v>253</v>
      </c>
      <c r="C28" s="20" t="s">
        <v>73</v>
      </c>
      <c r="D28" s="21">
        <v>135</v>
      </c>
      <c r="E28" s="42"/>
      <c r="F28" s="15"/>
    </row>
    <row r="29" spans="1:7" ht="15.75" x14ac:dyDescent="0.25">
      <c r="A29" s="20" t="s">
        <v>251</v>
      </c>
      <c r="B29" s="47">
        <v>15975</v>
      </c>
      <c r="C29" s="20"/>
      <c r="D29" s="21">
        <v>210</v>
      </c>
      <c r="E29" s="42"/>
      <c r="F29" s="15"/>
    </row>
    <row r="30" spans="1:7" ht="15.75" x14ac:dyDescent="0.25">
      <c r="A30" s="20" t="s">
        <v>216</v>
      </c>
      <c r="B30" s="47">
        <v>920</v>
      </c>
      <c r="C30" s="20" t="s">
        <v>83</v>
      </c>
      <c r="D30" s="21">
        <v>350</v>
      </c>
      <c r="E30" s="42"/>
      <c r="F30" s="15"/>
    </row>
    <row r="31" spans="1:7" ht="15.75" x14ac:dyDescent="0.25">
      <c r="A31" s="20" t="s">
        <v>257</v>
      </c>
      <c r="B31" s="47">
        <v>8005</v>
      </c>
      <c r="C31" s="20"/>
      <c r="D31" s="21">
        <v>100</v>
      </c>
      <c r="E31" s="42"/>
      <c r="F31" s="15"/>
      <c r="G31">
        <f>72*52+15</f>
        <v>3759</v>
      </c>
    </row>
    <row r="32" spans="1:7" ht="15.75" x14ac:dyDescent="0.25">
      <c r="A32" s="20" t="s">
        <v>258</v>
      </c>
      <c r="B32" s="47">
        <v>945</v>
      </c>
      <c r="C32" s="20" t="s">
        <v>199</v>
      </c>
      <c r="D32" s="21">
        <v>4555</v>
      </c>
      <c r="E32" s="42"/>
      <c r="F32" s="15"/>
    </row>
    <row r="33" spans="1:7" ht="15.75" x14ac:dyDescent="0.25">
      <c r="A33" s="20"/>
      <c r="B33" s="47"/>
      <c r="C33" s="7" t="s">
        <v>197</v>
      </c>
      <c r="D33" s="21">
        <v>130</v>
      </c>
      <c r="E33" s="42"/>
      <c r="F33" s="15"/>
    </row>
    <row r="34" spans="1:7" ht="15.75" x14ac:dyDescent="0.25">
      <c r="A34" s="20"/>
      <c r="B34" s="47"/>
      <c r="C34" s="7" t="s">
        <v>198</v>
      </c>
      <c r="D34" s="21">
        <v>1609</v>
      </c>
      <c r="E34" s="42"/>
      <c r="F34" s="15"/>
    </row>
    <row r="35" spans="1:7" ht="15.75" x14ac:dyDescent="0.25">
      <c r="A35" s="20"/>
      <c r="B35" s="47"/>
      <c r="C35" s="20" t="s">
        <v>92</v>
      </c>
      <c r="D35" s="21">
        <v>155</v>
      </c>
      <c r="E35" s="42"/>
      <c r="F35" s="15"/>
    </row>
    <row r="36" spans="1:7" ht="15.75" x14ac:dyDescent="0.25">
      <c r="A36" s="20"/>
      <c r="B36" s="21"/>
      <c r="C36" s="20" t="s">
        <v>12</v>
      </c>
      <c r="D36" s="30">
        <f>960+560</f>
        <v>1520</v>
      </c>
      <c r="E36" s="42"/>
      <c r="F36" s="15"/>
      <c r="G36">
        <f>2778+2841-2043-2544</f>
        <v>1032</v>
      </c>
    </row>
    <row r="37" spans="1:7" ht="15.75" x14ac:dyDescent="0.25">
      <c r="A37" s="20"/>
      <c r="B37" s="21"/>
      <c r="C37" s="20" t="s">
        <v>38</v>
      </c>
      <c r="D37" s="30">
        <v>120</v>
      </c>
      <c r="E37" s="42"/>
      <c r="F37" s="15"/>
      <c r="G37">
        <v>920</v>
      </c>
    </row>
    <row r="38" spans="1:7" ht="15.75" x14ac:dyDescent="0.25">
      <c r="A38" s="20"/>
      <c r="B38" s="21"/>
      <c r="C38" s="20" t="s">
        <v>13</v>
      </c>
      <c r="D38" s="30">
        <v>50</v>
      </c>
      <c r="E38" s="42"/>
      <c r="F38" s="15"/>
    </row>
    <row r="39" spans="1:7" ht="15.75" x14ac:dyDescent="0.25">
      <c r="A39" s="20"/>
      <c r="B39" s="21"/>
      <c r="C39" s="20" t="s">
        <v>200</v>
      </c>
      <c r="D39" s="30">
        <v>1800</v>
      </c>
      <c r="E39" s="42"/>
      <c r="F39" s="15"/>
    </row>
    <row r="40" spans="1:7" ht="15.75" x14ac:dyDescent="0.25">
      <c r="A40" s="20"/>
      <c r="B40" s="21"/>
      <c r="C40" s="20" t="s">
        <v>203</v>
      </c>
      <c r="D40" s="30">
        <v>2000</v>
      </c>
      <c r="E40" s="42"/>
      <c r="F40" s="15"/>
    </row>
    <row r="41" spans="1:7" ht="15.75" x14ac:dyDescent="0.25">
      <c r="A41" s="20"/>
      <c r="B41" s="47"/>
      <c r="C41" s="7" t="s">
        <v>204</v>
      </c>
      <c r="D41" s="21">
        <v>30</v>
      </c>
      <c r="E41" s="42"/>
      <c r="F41" s="15"/>
    </row>
    <row r="42" spans="1:7" ht="15.75" x14ac:dyDescent="0.25">
      <c r="A42" s="20"/>
      <c r="B42" s="47"/>
      <c r="C42" s="7" t="s">
        <v>205</v>
      </c>
      <c r="D42" s="21">
        <v>22</v>
      </c>
      <c r="E42" s="42"/>
      <c r="F42" s="15"/>
    </row>
    <row r="43" spans="1:7" ht="15.75" x14ac:dyDescent="0.25">
      <c r="A43" s="20"/>
      <c r="B43" s="21"/>
      <c r="C43" s="20" t="s">
        <v>206</v>
      </c>
      <c r="D43" s="30">
        <v>175</v>
      </c>
      <c r="E43" s="42"/>
      <c r="F43" s="15"/>
    </row>
    <row r="44" spans="1:7" ht="15.75" x14ac:dyDescent="0.25">
      <c r="A44" s="20"/>
      <c r="B44" s="88"/>
      <c r="C44" s="20" t="s">
        <v>207</v>
      </c>
      <c r="D44" s="21">
        <v>1000</v>
      </c>
      <c r="E44" s="42"/>
      <c r="F44" s="15"/>
    </row>
    <row r="45" spans="1:7" ht="15.75" x14ac:dyDescent="0.25">
      <c r="A45" s="20"/>
      <c r="B45" s="88"/>
      <c r="C45" s="20" t="s">
        <v>208</v>
      </c>
      <c r="D45" s="21">
        <v>132</v>
      </c>
      <c r="E45" s="42"/>
      <c r="F45" s="15"/>
    </row>
    <row r="46" spans="1:7" ht="15.75" x14ac:dyDescent="0.25">
      <c r="A46" s="20"/>
      <c r="B46" s="88"/>
      <c r="C46" s="20" t="s">
        <v>209</v>
      </c>
      <c r="D46" s="21">
        <v>240</v>
      </c>
      <c r="E46" s="42"/>
      <c r="F46" s="15"/>
    </row>
    <row r="47" spans="1:7" ht="15.75" x14ac:dyDescent="0.25">
      <c r="A47" s="87"/>
      <c r="B47" s="88"/>
      <c r="C47" s="90" t="s">
        <v>9</v>
      </c>
      <c r="D47" s="88">
        <v>110</v>
      </c>
      <c r="E47" s="89"/>
      <c r="F47" s="15"/>
    </row>
    <row r="48" spans="1:7" ht="15.75" x14ac:dyDescent="0.25">
      <c r="A48" s="87"/>
      <c r="B48" s="88"/>
      <c r="C48" s="90" t="s">
        <v>210</v>
      </c>
      <c r="D48" s="88">
        <v>105</v>
      </c>
      <c r="E48" s="89"/>
      <c r="F48" s="15"/>
    </row>
    <row r="49" spans="1:6" ht="15.75" x14ac:dyDescent="0.25">
      <c r="A49" s="87"/>
      <c r="B49" s="88"/>
      <c r="C49" s="90" t="s">
        <v>86</v>
      </c>
      <c r="D49" s="88">
        <v>200</v>
      </c>
      <c r="E49" s="89"/>
      <c r="F49" s="15"/>
    </row>
    <row r="50" spans="1:6" ht="15.75" x14ac:dyDescent="0.25">
      <c r="A50" s="87"/>
      <c r="B50" s="88"/>
      <c r="C50" s="90" t="s">
        <v>88</v>
      </c>
      <c r="D50" s="88">
        <v>2000</v>
      </c>
      <c r="E50" s="89"/>
      <c r="F50" s="15"/>
    </row>
    <row r="51" spans="1:6" ht="15.75" x14ac:dyDescent="0.25">
      <c r="A51" s="87"/>
      <c r="B51" s="88"/>
      <c r="C51" s="90" t="s">
        <v>211</v>
      </c>
      <c r="D51" s="88">
        <v>6000</v>
      </c>
      <c r="E51" s="89"/>
      <c r="F51" s="15"/>
    </row>
    <row r="52" spans="1:6" ht="15.75" x14ac:dyDescent="0.25">
      <c r="A52" s="87"/>
      <c r="B52" s="88"/>
      <c r="C52" s="90" t="s">
        <v>212</v>
      </c>
      <c r="D52" s="88">
        <v>30</v>
      </c>
      <c r="E52" s="89"/>
      <c r="F52" s="15"/>
    </row>
    <row r="53" spans="1:6" ht="15.75" x14ac:dyDescent="0.25">
      <c r="A53" s="87"/>
      <c r="B53" s="88"/>
      <c r="C53" s="90" t="s">
        <v>213</v>
      </c>
      <c r="D53" s="88">
        <v>50</v>
      </c>
      <c r="E53" s="89"/>
      <c r="F53" s="15"/>
    </row>
    <row r="54" spans="1:6" ht="15.75" x14ac:dyDescent="0.25">
      <c r="A54" s="87"/>
      <c r="B54" s="88"/>
      <c r="C54" s="90" t="s">
        <v>7</v>
      </c>
      <c r="D54" s="88">
        <v>235</v>
      </c>
      <c r="E54" s="89"/>
      <c r="F54" s="15"/>
    </row>
    <row r="55" spans="1:6" ht="15.75" x14ac:dyDescent="0.25">
      <c r="A55" s="87"/>
      <c r="B55" s="88"/>
      <c r="C55" s="90" t="s">
        <v>89</v>
      </c>
      <c r="D55" s="88">
        <v>125</v>
      </c>
      <c r="E55" s="89"/>
      <c r="F55" s="15"/>
    </row>
    <row r="56" spans="1:6" ht="15.75" x14ac:dyDescent="0.25">
      <c r="A56" s="87"/>
      <c r="B56" s="88"/>
      <c r="C56" s="90" t="s">
        <v>214</v>
      </c>
      <c r="D56" s="88">
        <v>590</v>
      </c>
      <c r="E56" s="89"/>
      <c r="F56" s="15"/>
    </row>
    <row r="57" spans="1:6" ht="15.75" x14ac:dyDescent="0.25">
      <c r="A57" s="87"/>
      <c r="B57" s="88"/>
      <c r="C57" s="90" t="s">
        <v>45</v>
      </c>
      <c r="D57" s="88">
        <v>577</v>
      </c>
      <c r="E57" s="89"/>
      <c r="F57" s="15"/>
    </row>
    <row r="58" spans="1:6" ht="15.75" x14ac:dyDescent="0.25">
      <c r="A58" s="20"/>
      <c r="B58" s="88"/>
      <c r="C58" s="20" t="s">
        <v>58</v>
      </c>
      <c r="D58" s="21">
        <v>645</v>
      </c>
      <c r="E58" s="42"/>
      <c r="F58" s="15"/>
    </row>
    <row r="59" spans="1:6" ht="15.75" x14ac:dyDescent="0.25">
      <c r="A59" s="20"/>
      <c r="B59" s="88"/>
      <c r="C59" s="20" t="s">
        <v>215</v>
      </c>
      <c r="D59" s="21">
        <v>380</v>
      </c>
      <c r="E59" s="42"/>
      <c r="F59" s="15"/>
    </row>
    <row r="60" spans="1:6" ht="15.75" x14ac:dyDescent="0.25">
      <c r="A60" s="20"/>
      <c r="B60" s="21"/>
      <c r="C60" s="20" t="s">
        <v>219</v>
      </c>
      <c r="D60" s="30">
        <v>10000</v>
      </c>
      <c r="E60" s="42"/>
      <c r="F60" s="15"/>
    </row>
    <row r="61" spans="1:6" ht="15.75" x14ac:dyDescent="0.25">
      <c r="A61" s="20"/>
      <c r="B61" s="21"/>
      <c r="C61" s="20" t="s">
        <v>221</v>
      </c>
      <c r="D61" s="30">
        <v>4585</v>
      </c>
      <c r="E61" s="42"/>
      <c r="F61" s="15"/>
    </row>
    <row r="62" spans="1:6" ht="15.75" x14ac:dyDescent="0.25">
      <c r="A62" s="20"/>
      <c r="B62" s="21"/>
      <c r="C62" s="87" t="s">
        <v>29</v>
      </c>
      <c r="D62" s="91">
        <v>280</v>
      </c>
      <c r="E62" s="42"/>
      <c r="F62" s="15"/>
    </row>
    <row r="63" spans="1:6" ht="15.75" x14ac:dyDescent="0.25">
      <c r="A63" s="20"/>
      <c r="B63" s="21"/>
      <c r="C63" s="87" t="s">
        <v>223</v>
      </c>
      <c r="D63" s="91">
        <f>85</f>
        <v>85</v>
      </c>
      <c r="E63" s="42"/>
      <c r="F63" s="15"/>
    </row>
    <row r="64" spans="1:6" ht="15.75" x14ac:dyDescent="0.25">
      <c r="A64" s="20"/>
      <c r="B64" s="21"/>
      <c r="C64" s="87" t="s">
        <v>224</v>
      </c>
      <c r="D64" s="91">
        <v>100</v>
      </c>
      <c r="E64" s="42"/>
      <c r="F64" s="15"/>
    </row>
    <row r="65" spans="1:6" ht="15.75" x14ac:dyDescent="0.25">
      <c r="A65" s="20"/>
      <c r="B65" s="21"/>
      <c r="C65" s="87" t="s">
        <v>225</v>
      </c>
      <c r="D65" s="91">
        <v>60</v>
      </c>
      <c r="E65" s="42"/>
      <c r="F65" s="15"/>
    </row>
    <row r="66" spans="1:6" ht="15.75" x14ac:dyDescent="0.25">
      <c r="A66" s="20"/>
      <c r="B66" s="21"/>
      <c r="C66" s="87" t="s">
        <v>14</v>
      </c>
      <c r="D66" s="91">
        <f>12*115+105+70+135</f>
        <v>1690</v>
      </c>
      <c r="E66" s="42"/>
      <c r="F66" s="15"/>
    </row>
    <row r="67" spans="1:6" ht="15.75" x14ac:dyDescent="0.25">
      <c r="A67" s="20"/>
      <c r="B67" s="21"/>
      <c r="C67" s="87" t="s">
        <v>228</v>
      </c>
      <c r="D67" s="91">
        <f>780+5770</f>
        <v>6550</v>
      </c>
      <c r="E67" s="42"/>
      <c r="F67" s="15"/>
    </row>
    <row r="68" spans="1:6" ht="15.75" x14ac:dyDescent="0.25">
      <c r="A68" s="20"/>
      <c r="B68" s="21"/>
      <c r="C68" s="87" t="s">
        <v>229</v>
      </c>
      <c r="D68" s="91">
        <v>100</v>
      </c>
      <c r="E68" s="42"/>
      <c r="F68" s="15"/>
    </row>
    <row r="69" spans="1:6" ht="15.75" x14ac:dyDescent="0.25">
      <c r="A69" s="20"/>
      <c r="B69" s="21"/>
      <c r="C69" s="87" t="s">
        <v>232</v>
      </c>
      <c r="D69" s="91">
        <v>1925</v>
      </c>
      <c r="E69" s="42"/>
      <c r="F69" s="15"/>
    </row>
    <row r="70" spans="1:6" ht="15.75" x14ac:dyDescent="0.25">
      <c r="A70" s="20"/>
      <c r="B70" s="88"/>
      <c r="C70" s="87" t="s">
        <v>52</v>
      </c>
      <c r="D70" s="91">
        <v>50</v>
      </c>
      <c r="E70" s="42"/>
      <c r="F70" s="15"/>
    </row>
    <row r="71" spans="1:6" ht="15.75" x14ac:dyDescent="0.25">
      <c r="A71" s="20"/>
      <c r="B71" s="88"/>
      <c r="C71" s="87" t="s">
        <v>231</v>
      </c>
      <c r="D71" s="91">
        <v>450</v>
      </c>
      <c r="E71" s="42"/>
      <c r="F71" s="15"/>
    </row>
    <row r="72" spans="1:6" x14ac:dyDescent="0.25">
      <c r="A72" s="20"/>
      <c r="B72" s="88"/>
      <c r="C72" s="87" t="s">
        <v>26</v>
      </c>
      <c r="D72" s="91">
        <v>75</v>
      </c>
      <c r="E72" s="42"/>
    </row>
    <row r="73" spans="1:6" x14ac:dyDescent="0.25">
      <c r="A73" s="20"/>
      <c r="B73" s="88"/>
      <c r="C73" s="41" t="s">
        <v>60</v>
      </c>
      <c r="D73" s="91">
        <v>125</v>
      </c>
      <c r="E73" s="42"/>
    </row>
    <row r="74" spans="1:6" x14ac:dyDescent="0.25">
      <c r="A74" s="20"/>
      <c r="B74" s="88"/>
      <c r="C74" s="41" t="s">
        <v>19</v>
      </c>
      <c r="D74" s="91">
        <v>135</v>
      </c>
      <c r="E74" s="42"/>
    </row>
    <row r="75" spans="1:6" x14ac:dyDescent="0.25">
      <c r="A75" s="20"/>
      <c r="B75" s="88"/>
      <c r="C75" s="41" t="s">
        <v>236</v>
      </c>
      <c r="D75" s="88">
        <v>4853</v>
      </c>
      <c r="E75" s="42"/>
    </row>
    <row r="76" spans="1:6" x14ac:dyDescent="0.25">
      <c r="A76" s="20"/>
      <c r="B76" s="88"/>
      <c r="C76" s="41" t="s">
        <v>237</v>
      </c>
      <c r="D76" s="88">
        <v>60</v>
      </c>
      <c r="E76" s="42"/>
    </row>
    <row r="77" spans="1:6" x14ac:dyDescent="0.25">
      <c r="A77" s="20"/>
      <c r="B77" s="88"/>
      <c r="C77" s="41" t="s">
        <v>87</v>
      </c>
      <c r="D77" s="88">
        <v>100</v>
      </c>
      <c r="E77" s="42"/>
    </row>
    <row r="78" spans="1:6" x14ac:dyDescent="0.25">
      <c r="A78" s="20"/>
      <c r="B78" s="88"/>
      <c r="C78" s="41" t="s">
        <v>240</v>
      </c>
      <c r="D78" s="88">
        <v>115</v>
      </c>
      <c r="E78" s="42"/>
    </row>
    <row r="79" spans="1:6" x14ac:dyDescent="0.25">
      <c r="A79" s="20"/>
      <c r="B79" s="88"/>
      <c r="C79" s="41" t="s">
        <v>239</v>
      </c>
      <c r="D79" s="88">
        <v>10</v>
      </c>
      <c r="E79" s="42"/>
    </row>
    <row r="80" spans="1:6" x14ac:dyDescent="0.25">
      <c r="A80" s="20"/>
      <c r="B80" s="88"/>
      <c r="C80" s="41" t="s">
        <v>238</v>
      </c>
      <c r="D80" s="88">
        <v>33</v>
      </c>
      <c r="E80" s="42"/>
    </row>
    <row r="81" spans="1:7" x14ac:dyDescent="0.25">
      <c r="A81" s="20"/>
      <c r="B81" s="88"/>
      <c r="C81" s="41" t="s">
        <v>244</v>
      </c>
      <c r="D81" s="91">
        <v>1500</v>
      </c>
      <c r="E81" s="42"/>
    </row>
    <row r="82" spans="1:7" x14ac:dyDescent="0.25">
      <c r="A82" s="20"/>
      <c r="B82" s="88"/>
      <c r="C82" s="41" t="s">
        <v>242</v>
      </c>
      <c r="D82" s="88">
        <v>60</v>
      </c>
      <c r="E82" s="42"/>
    </row>
    <row r="83" spans="1:7" x14ac:dyDescent="0.25">
      <c r="A83" s="20"/>
      <c r="B83" s="88"/>
      <c r="C83" s="41" t="s">
        <v>243</v>
      </c>
      <c r="D83" s="88">
        <v>350</v>
      </c>
      <c r="E83" s="42"/>
    </row>
    <row r="84" spans="1:7" x14ac:dyDescent="0.25">
      <c r="A84" s="20"/>
      <c r="B84" s="88"/>
      <c r="C84" s="41" t="s">
        <v>245</v>
      </c>
      <c r="D84" s="88">
        <v>612</v>
      </c>
      <c r="E84" s="42"/>
    </row>
    <row r="85" spans="1:7" x14ac:dyDescent="0.25">
      <c r="A85" s="20"/>
      <c r="B85" s="88"/>
      <c r="C85" s="41" t="s">
        <v>246</v>
      </c>
      <c r="D85" s="88">
        <v>800</v>
      </c>
      <c r="E85" s="42"/>
    </row>
    <row r="86" spans="1:7" x14ac:dyDescent="0.25">
      <c r="A86" s="20"/>
      <c r="B86" s="88"/>
      <c r="C86" s="41" t="s">
        <v>247</v>
      </c>
      <c r="D86" s="88">
        <v>65</v>
      </c>
      <c r="E86" s="42"/>
    </row>
    <row r="87" spans="1:7" x14ac:dyDescent="0.25">
      <c r="A87" s="20"/>
      <c r="B87" s="88"/>
      <c r="C87" s="41" t="s">
        <v>248</v>
      </c>
      <c r="D87" s="88">
        <v>80</v>
      </c>
      <c r="E87" s="42"/>
    </row>
    <row r="88" spans="1:7" x14ac:dyDescent="0.25">
      <c r="A88" s="20"/>
      <c r="B88" s="88"/>
      <c r="C88" s="87" t="s">
        <v>107</v>
      </c>
      <c r="D88" s="88">
        <v>155</v>
      </c>
      <c r="E88" s="42"/>
    </row>
    <row r="89" spans="1:7" x14ac:dyDescent="0.25">
      <c r="A89" s="20"/>
      <c r="B89" s="88"/>
      <c r="C89" s="87" t="s">
        <v>210</v>
      </c>
      <c r="D89" s="88">
        <v>225</v>
      </c>
      <c r="E89" s="42"/>
      <c r="F89" s="18"/>
    </row>
    <row r="90" spans="1:7" x14ac:dyDescent="0.25">
      <c r="A90" s="20"/>
      <c r="B90" s="88"/>
      <c r="C90" s="87" t="s">
        <v>9</v>
      </c>
      <c r="D90" s="88">
        <v>100</v>
      </c>
      <c r="E90" s="42"/>
      <c r="G90">
        <f>108</f>
        <v>108</v>
      </c>
    </row>
    <row r="91" spans="1:7" x14ac:dyDescent="0.25">
      <c r="A91" s="20"/>
      <c r="B91" s="88"/>
      <c r="C91" s="87" t="s">
        <v>86</v>
      </c>
      <c r="D91" s="88">
        <v>170</v>
      </c>
      <c r="E91" s="42"/>
    </row>
    <row r="92" spans="1:7" x14ac:dyDescent="0.25">
      <c r="A92" s="20"/>
      <c r="B92" s="88"/>
      <c r="C92" s="87" t="s">
        <v>52</v>
      </c>
      <c r="D92" s="88">
        <v>10000</v>
      </c>
      <c r="E92" s="42"/>
    </row>
    <row r="93" spans="1:7" x14ac:dyDescent="0.25">
      <c r="A93" s="20"/>
      <c r="B93" s="88"/>
      <c r="C93" s="87" t="s">
        <v>252</v>
      </c>
      <c r="D93" s="88">
        <v>957</v>
      </c>
      <c r="E93" s="42"/>
    </row>
    <row r="94" spans="1:7" x14ac:dyDescent="0.25">
      <c r="A94" s="20"/>
      <c r="B94" s="88"/>
      <c r="C94" s="87" t="s">
        <v>89</v>
      </c>
      <c r="D94" s="88">
        <v>100</v>
      </c>
      <c r="E94" s="42"/>
      <c r="G94" s="25"/>
    </row>
    <row r="95" spans="1:7" x14ac:dyDescent="0.25">
      <c r="A95" s="20"/>
      <c r="B95" s="88"/>
      <c r="C95" s="87" t="s">
        <v>253</v>
      </c>
      <c r="D95" s="88">
        <v>3515</v>
      </c>
      <c r="E95" s="42"/>
      <c r="G95" s="25"/>
    </row>
    <row r="96" spans="1:7" x14ac:dyDescent="0.25">
      <c r="A96" s="20"/>
      <c r="B96" s="88"/>
      <c r="C96" s="87" t="s">
        <v>215</v>
      </c>
      <c r="D96" s="88">
        <v>435</v>
      </c>
      <c r="E96" s="42"/>
      <c r="G96" s="25"/>
    </row>
    <row r="97" spans="1:10" x14ac:dyDescent="0.25">
      <c r="A97" s="20"/>
      <c r="B97" s="88"/>
      <c r="C97" s="87" t="s">
        <v>34</v>
      </c>
      <c r="D97" s="88">
        <v>420</v>
      </c>
      <c r="E97" s="42"/>
      <c r="G97" s="25"/>
    </row>
    <row r="98" spans="1:10" x14ac:dyDescent="0.25">
      <c r="A98" s="20"/>
      <c r="B98" s="88"/>
      <c r="C98" s="87" t="s">
        <v>255</v>
      </c>
      <c r="D98" s="88">
        <v>120</v>
      </c>
      <c r="E98" s="42"/>
      <c r="G98" s="25">
        <f>2286-2073+2382-2372</f>
        <v>223</v>
      </c>
    </row>
    <row r="99" spans="1:10" x14ac:dyDescent="0.25">
      <c r="A99" s="20"/>
      <c r="B99" s="88"/>
      <c r="C99" s="87" t="s">
        <v>7</v>
      </c>
      <c r="D99" s="88">
        <v>305</v>
      </c>
      <c r="E99" s="42"/>
      <c r="G99" s="25">
        <f>250</f>
        <v>250</v>
      </c>
    </row>
    <row r="100" spans="1:10" x14ac:dyDescent="0.25">
      <c r="A100" s="20"/>
      <c r="B100" s="88"/>
      <c r="C100" s="87" t="s">
        <v>56</v>
      </c>
      <c r="D100" s="88">
        <v>210</v>
      </c>
      <c r="E100" s="42"/>
      <c r="G100" s="25"/>
    </row>
    <row r="101" spans="1:10" x14ac:dyDescent="0.25">
      <c r="A101" s="20"/>
      <c r="B101" s="88"/>
      <c r="C101" s="87" t="s">
        <v>256</v>
      </c>
      <c r="D101" s="88">
        <v>30</v>
      </c>
      <c r="E101" s="42"/>
      <c r="G101" s="25"/>
    </row>
    <row r="102" spans="1:10" x14ac:dyDescent="0.25">
      <c r="A102" s="20"/>
      <c r="B102" s="88"/>
      <c r="C102" s="87" t="s">
        <v>37</v>
      </c>
      <c r="D102" s="88">
        <v>1930</v>
      </c>
      <c r="E102" s="42"/>
    </row>
    <row r="103" spans="1:10" x14ac:dyDescent="0.25">
      <c r="A103" s="20"/>
      <c r="B103" s="88"/>
      <c r="C103" s="41" t="s">
        <v>260</v>
      </c>
      <c r="D103" s="91">
        <v>80</v>
      </c>
      <c r="E103" s="42"/>
    </row>
    <row r="104" spans="1:10" x14ac:dyDescent="0.25">
      <c r="A104" s="87"/>
      <c r="B104" s="88"/>
      <c r="C104" s="93" t="s">
        <v>261</v>
      </c>
      <c r="D104" s="91">
        <v>820</v>
      </c>
      <c r="E104" s="89"/>
    </row>
    <row r="105" spans="1:10" x14ac:dyDescent="0.25">
      <c r="A105" s="87"/>
      <c r="B105" s="88"/>
      <c r="C105" s="93" t="s">
        <v>60</v>
      </c>
      <c r="D105" s="91">
        <v>125</v>
      </c>
      <c r="E105" s="89"/>
      <c r="F105" s="24"/>
    </row>
    <row r="106" spans="1:10" ht="15.75" x14ac:dyDescent="0.25">
      <c r="A106" s="87"/>
      <c r="B106" s="88"/>
      <c r="C106" s="20" t="s">
        <v>259</v>
      </c>
      <c r="D106" s="30">
        <v>10000</v>
      </c>
      <c r="E106" s="89"/>
    </row>
    <row r="107" spans="1:10" ht="15.75" x14ac:dyDescent="0.25">
      <c r="A107" s="87"/>
      <c r="B107" s="88"/>
      <c r="C107" s="20" t="s">
        <v>234</v>
      </c>
      <c r="D107" s="30">
        <v>15</v>
      </c>
      <c r="E107" s="89"/>
    </row>
    <row r="108" spans="1:10" ht="15.75" x14ac:dyDescent="0.25">
      <c r="A108" s="87"/>
      <c r="B108" s="88"/>
      <c r="C108" s="20" t="s">
        <v>27</v>
      </c>
      <c r="D108" s="30">
        <v>9000</v>
      </c>
      <c r="E108" s="89"/>
    </row>
    <row r="109" spans="1:10" ht="15.75" x14ac:dyDescent="0.25">
      <c r="A109" s="87"/>
      <c r="B109" s="88"/>
      <c r="C109" s="7" t="s">
        <v>226</v>
      </c>
      <c r="D109" s="21">
        <v>2220</v>
      </c>
      <c r="E109" s="89"/>
    </row>
    <row r="110" spans="1:10" x14ac:dyDescent="0.25">
      <c r="A110" s="87"/>
      <c r="B110" s="88"/>
      <c r="C110" s="20" t="s">
        <v>27</v>
      </c>
      <c r="D110" s="21">
        <v>345</v>
      </c>
      <c r="E110" s="89"/>
    </row>
    <row r="111" spans="1:10" ht="15.75" x14ac:dyDescent="0.25">
      <c r="A111" s="87"/>
      <c r="B111" s="88"/>
      <c r="C111" s="20" t="s">
        <v>27</v>
      </c>
      <c r="D111" s="30">
        <v>495</v>
      </c>
      <c r="E111" s="89"/>
    </row>
    <row r="112" spans="1:10" x14ac:dyDescent="0.25">
      <c r="A112" s="87"/>
      <c r="B112" s="88"/>
      <c r="C112" s="20" t="s">
        <v>27</v>
      </c>
      <c r="D112" s="21">
        <v>195</v>
      </c>
      <c r="E112" s="89"/>
      <c r="H112" s="25"/>
      <c r="I112" s="25"/>
      <c r="J112" s="25"/>
    </row>
    <row r="113" spans="1:10" x14ac:dyDescent="0.25">
      <c r="A113" s="87"/>
      <c r="B113" s="88"/>
      <c r="C113" s="20" t="s">
        <v>201</v>
      </c>
      <c r="D113" s="21">
        <v>5300</v>
      </c>
      <c r="E113" s="89"/>
      <c r="H113" s="25"/>
      <c r="I113" s="25">
        <f>H112+H113</f>
        <v>0</v>
      </c>
      <c r="J113" s="25" t="s">
        <v>23</v>
      </c>
    </row>
    <row r="114" spans="1:10" x14ac:dyDescent="0.25">
      <c r="A114" s="20"/>
      <c r="B114" s="88"/>
      <c r="C114" s="20" t="s">
        <v>54</v>
      </c>
      <c r="D114" s="21">
        <v>15</v>
      </c>
      <c r="E114" s="42"/>
      <c r="H114" s="25"/>
      <c r="I114" s="25"/>
      <c r="J114" s="25"/>
    </row>
    <row r="115" spans="1:10" x14ac:dyDescent="0.25">
      <c r="A115" s="20"/>
      <c r="B115" s="88"/>
      <c r="C115" s="20" t="s">
        <v>27</v>
      </c>
      <c r="D115" s="21">
        <v>245</v>
      </c>
      <c r="E115" s="42"/>
      <c r="H115" s="25"/>
      <c r="I115" s="25"/>
      <c r="J115" s="25"/>
    </row>
    <row r="116" spans="1:10" ht="18" x14ac:dyDescent="0.25">
      <c r="A116" s="20"/>
      <c r="B116" s="21"/>
      <c r="C116" s="20" t="s">
        <v>31</v>
      </c>
      <c r="D116" s="56">
        <v>315</v>
      </c>
      <c r="E116" s="42"/>
    </row>
    <row r="117" spans="1:10" ht="15.75" x14ac:dyDescent="0.25">
      <c r="A117" s="20"/>
      <c r="B117" s="21"/>
      <c r="C117" s="20"/>
      <c r="D117" s="30"/>
      <c r="E117" s="42"/>
    </row>
    <row r="118" spans="1:10" x14ac:dyDescent="0.25">
      <c r="A118" s="20"/>
      <c r="B118" s="21"/>
      <c r="C118" s="203"/>
      <c r="D118" s="150"/>
      <c r="E118" s="42"/>
    </row>
    <row r="119" spans="1:10" x14ac:dyDescent="0.25">
      <c r="A119" s="20"/>
      <c r="B119" s="21"/>
      <c r="C119" s="203"/>
      <c r="D119" s="150"/>
      <c r="E119" s="42"/>
    </row>
    <row r="120" spans="1:10" x14ac:dyDescent="0.25">
      <c r="A120" s="20"/>
      <c r="B120" s="21"/>
      <c r="C120" s="203"/>
      <c r="D120" s="150"/>
      <c r="E120" s="42"/>
    </row>
    <row r="121" spans="1:10" x14ac:dyDescent="0.25">
      <c r="A121" s="20"/>
      <c r="B121" s="21"/>
      <c r="C121" s="203"/>
      <c r="D121" s="150"/>
      <c r="E121" s="42"/>
    </row>
    <row r="122" spans="1:10" x14ac:dyDescent="0.25">
      <c r="A122" s="20"/>
      <c r="B122" s="21"/>
      <c r="C122" s="212"/>
      <c r="D122" s="209"/>
      <c r="E122" s="42"/>
    </row>
    <row r="123" spans="1:10" x14ac:dyDescent="0.25">
      <c r="A123" s="20"/>
      <c r="B123" s="21"/>
      <c r="C123" s="212"/>
      <c r="D123" s="209"/>
      <c r="E123" s="42"/>
    </row>
    <row r="124" spans="1:10" x14ac:dyDescent="0.25">
      <c r="A124" s="20"/>
      <c r="B124" s="21"/>
      <c r="C124" s="212"/>
      <c r="D124" s="209"/>
      <c r="E124" s="42"/>
    </row>
    <row r="125" spans="1:10" x14ac:dyDescent="0.25">
      <c r="A125" s="20"/>
      <c r="B125" s="21"/>
      <c r="C125" s="212"/>
      <c r="D125" s="209"/>
      <c r="E125" s="42"/>
    </row>
    <row r="126" spans="1:10" x14ac:dyDescent="0.25">
      <c r="A126" s="20"/>
      <c r="B126" s="21"/>
      <c r="C126" s="212"/>
      <c r="D126" s="209"/>
      <c r="E126" s="45"/>
    </row>
    <row r="127" spans="1:10" x14ac:dyDescent="0.25">
      <c r="A127" s="20"/>
      <c r="B127" s="21"/>
      <c r="C127" s="212"/>
      <c r="D127" s="209"/>
      <c r="E127" s="45"/>
    </row>
    <row r="128" spans="1:10" x14ac:dyDescent="0.25">
      <c r="A128" s="20"/>
      <c r="B128" s="21"/>
      <c r="C128" s="205"/>
      <c r="D128" s="210"/>
      <c r="E128" s="45"/>
    </row>
    <row r="129" spans="1:5" ht="19.5" thickBot="1" x14ac:dyDescent="0.35">
      <c r="A129" s="17"/>
      <c r="B129" s="12">
        <f>SUBTOTAL(109,Table372023[Column1])</f>
        <v>213987</v>
      </c>
      <c r="C129" s="13"/>
      <c r="D129" s="14">
        <f>SUBTOTAL(109,Table372023[Column2])</f>
        <v>158154</v>
      </c>
      <c r="E129" s="14"/>
    </row>
    <row r="130" spans="1:5" ht="27" thickTop="1" x14ac:dyDescent="0.25">
      <c r="D130" s="16">
        <f>Table372023[[#Totals],[Column1]]-Table372023[[#Totals],[Column2]]</f>
        <v>55833</v>
      </c>
    </row>
    <row r="132" spans="1:5" ht="18.75" x14ac:dyDescent="0.25">
      <c r="A132" s="11"/>
      <c r="B132" s="11"/>
    </row>
    <row r="133" spans="1:5" ht="19.5" thickBot="1" x14ac:dyDescent="0.3">
      <c r="A133" s="11"/>
      <c r="B133" s="11"/>
    </row>
    <row r="134" spans="1:5" ht="24" thickBot="1" x14ac:dyDescent="0.3">
      <c r="A134" s="76" t="s">
        <v>9</v>
      </c>
      <c r="B134" s="460"/>
      <c r="C134" s="461"/>
    </row>
    <row r="135" spans="1:5" ht="21" thickBot="1" x14ac:dyDescent="0.3">
      <c r="A135" s="53" t="s">
        <v>137</v>
      </c>
      <c r="B135" s="53" t="s">
        <v>3</v>
      </c>
      <c r="C135" s="53" t="s">
        <v>138</v>
      </c>
    </row>
    <row r="136" spans="1:5" ht="18" x14ac:dyDescent="0.25">
      <c r="A136" s="55">
        <f>13365-500</f>
        <v>12865</v>
      </c>
      <c r="B136" s="77">
        <v>55</v>
      </c>
      <c r="C136" s="57" t="s">
        <v>33</v>
      </c>
    </row>
    <row r="137" spans="1:5" ht="18" x14ac:dyDescent="0.25">
      <c r="A137" s="58"/>
      <c r="B137" s="56">
        <v>100</v>
      </c>
      <c r="C137" s="59" t="s">
        <v>142</v>
      </c>
    </row>
    <row r="138" spans="1:5" ht="18" x14ac:dyDescent="0.25">
      <c r="A138" s="58"/>
      <c r="B138" s="56">
        <v>145</v>
      </c>
      <c r="C138" s="59" t="s">
        <v>10</v>
      </c>
    </row>
    <row r="139" spans="1:5" ht="18" x14ac:dyDescent="0.25">
      <c r="A139" s="60"/>
      <c r="B139" s="56">
        <v>315</v>
      </c>
      <c r="C139" s="61" t="s">
        <v>74</v>
      </c>
    </row>
    <row r="140" spans="1:5" ht="18.75" thickBot="1" x14ac:dyDescent="0.3">
      <c r="A140" s="60"/>
      <c r="B140" s="56"/>
      <c r="C140" s="62"/>
      <c r="E140">
        <f>13980-13278</f>
        <v>702</v>
      </c>
    </row>
    <row r="141" spans="1:5" ht="24" thickBot="1" x14ac:dyDescent="0.3">
      <c r="A141" s="66"/>
      <c r="B141" s="67"/>
      <c r="C141" s="64"/>
      <c r="D141" s="483" t="s">
        <v>43</v>
      </c>
      <c r="E141" s="484"/>
    </row>
    <row r="142" spans="1:5" ht="21" thickBot="1" x14ac:dyDescent="0.3">
      <c r="A142" s="68">
        <f>SUM(A136:A141)</f>
        <v>12865</v>
      </c>
      <c r="B142" s="69">
        <f>SUM(B136:B141)</f>
        <v>615</v>
      </c>
      <c r="C142" s="70"/>
      <c r="D142" s="84" t="s">
        <v>94</v>
      </c>
      <c r="E142" s="85">
        <f>5554-4779</f>
        <v>775</v>
      </c>
    </row>
    <row r="143" spans="1:5" ht="19.5" thickBot="1" x14ac:dyDescent="0.3">
      <c r="A143" s="462" t="s">
        <v>139</v>
      </c>
      <c r="B143" s="463"/>
      <c r="C143" s="71" t="s">
        <v>75</v>
      </c>
      <c r="D143" s="82" t="s">
        <v>65</v>
      </c>
      <c r="E143" s="83">
        <f>600+200+60</f>
        <v>860</v>
      </c>
    </row>
    <row r="144" spans="1:5" ht="18" customHeight="1" thickBot="1" x14ac:dyDescent="0.3">
      <c r="A144" s="464">
        <f>B142+A142</f>
        <v>13480</v>
      </c>
      <c r="B144" s="465"/>
      <c r="C144" s="81"/>
      <c r="D144" s="82"/>
      <c r="E144" s="83"/>
    </row>
    <row r="145" spans="1:5" ht="18" customHeight="1" thickBot="1" x14ac:dyDescent="0.3">
      <c r="A145" s="466" t="s">
        <v>99</v>
      </c>
      <c r="B145" s="467"/>
      <c r="C145" s="78">
        <f>A146-C146</f>
        <v>13480</v>
      </c>
      <c r="D145" s="82"/>
      <c r="E145" s="83"/>
    </row>
    <row r="146" spans="1:5" ht="18" customHeight="1" thickBot="1" x14ac:dyDescent="0.3">
      <c r="A146" s="481">
        <f>C144+A144</f>
        <v>13480</v>
      </c>
      <c r="B146" s="482"/>
      <c r="C146" s="79"/>
      <c r="D146" s="82" t="s">
        <v>164</v>
      </c>
      <c r="E146" s="83">
        <f>SUM(E143:E145)</f>
        <v>860</v>
      </c>
    </row>
    <row r="147" spans="1:5" ht="18" customHeight="1" thickBot="1" x14ac:dyDescent="0.3">
      <c r="C147" s="314" t="str">
        <f>IF(C145&gt;0,"زيادة","عجز")</f>
        <v>زيادة</v>
      </c>
    </row>
    <row r="148" spans="1:5" ht="18" customHeight="1" thickBot="1" x14ac:dyDescent="0.3"/>
    <row r="149" spans="1:5" ht="18" customHeight="1" thickBot="1" x14ac:dyDescent="0.3">
      <c r="A149" s="76" t="s">
        <v>80</v>
      </c>
      <c r="B149" s="485"/>
      <c r="C149" s="486"/>
    </row>
    <row r="150" spans="1:5" ht="21" thickBot="1" x14ac:dyDescent="0.3">
      <c r="A150" s="53" t="s">
        <v>137</v>
      </c>
      <c r="B150" s="53" t="s">
        <v>3</v>
      </c>
      <c r="C150" s="53" t="s">
        <v>138</v>
      </c>
    </row>
    <row r="151" spans="1:5" ht="18" customHeight="1" x14ac:dyDescent="0.25">
      <c r="A151" s="55">
        <f>650+80</f>
        <v>730</v>
      </c>
      <c r="B151" s="77">
        <v>1160</v>
      </c>
      <c r="C151" s="57" t="s">
        <v>17</v>
      </c>
    </row>
    <row r="152" spans="1:5" ht="18" customHeight="1" x14ac:dyDescent="0.25">
      <c r="A152" s="58"/>
      <c r="B152" s="56">
        <v>140</v>
      </c>
      <c r="C152" s="59" t="s">
        <v>61</v>
      </c>
    </row>
    <row r="153" spans="1:5" ht="18" customHeight="1" x14ac:dyDescent="0.25">
      <c r="A153" s="58"/>
      <c r="B153" s="56">
        <v>5</v>
      </c>
      <c r="C153" s="59" t="s">
        <v>13</v>
      </c>
    </row>
    <row r="154" spans="1:5" ht="18" customHeight="1" x14ac:dyDescent="0.25">
      <c r="A154" s="60"/>
      <c r="B154" s="56">
        <v>1105</v>
      </c>
      <c r="C154" s="61" t="s">
        <v>66</v>
      </c>
    </row>
    <row r="155" spans="1:5" ht="18" x14ac:dyDescent="0.25">
      <c r="A155" s="60"/>
      <c r="B155" s="56">
        <v>255</v>
      </c>
      <c r="C155" s="62" t="s">
        <v>73</v>
      </c>
      <c r="E155">
        <f>13980-13278</f>
        <v>702</v>
      </c>
    </row>
    <row r="156" spans="1:5" ht="18" x14ac:dyDescent="0.25">
      <c r="A156" s="60"/>
      <c r="B156" s="56">
        <v>5224</v>
      </c>
      <c r="C156" s="62" t="s">
        <v>44</v>
      </c>
    </row>
    <row r="157" spans="1:5" ht="18.75" thickBot="1" x14ac:dyDescent="0.3">
      <c r="A157" s="60"/>
      <c r="B157" s="56">
        <v>255</v>
      </c>
      <c r="C157" s="62" t="s">
        <v>8</v>
      </c>
    </row>
    <row r="158" spans="1:5" ht="24" thickBot="1" x14ac:dyDescent="0.3">
      <c r="A158" s="66"/>
      <c r="B158" s="67"/>
      <c r="C158" s="64"/>
      <c r="D158" s="483" t="s">
        <v>43</v>
      </c>
      <c r="E158" s="484"/>
    </row>
    <row r="159" spans="1:5" ht="21" thickBot="1" x14ac:dyDescent="0.3">
      <c r="A159" s="68">
        <f>SUM(A151:A158)</f>
        <v>730</v>
      </c>
      <c r="B159" s="69">
        <f>SUM(B151:B158)</f>
        <v>8144</v>
      </c>
      <c r="C159" s="70"/>
      <c r="D159" s="84" t="s">
        <v>94</v>
      </c>
      <c r="E159" s="85">
        <f>4779-3911</f>
        <v>868</v>
      </c>
    </row>
    <row r="160" spans="1:5" ht="19.5" thickBot="1" x14ac:dyDescent="0.3">
      <c r="A160" s="462" t="s">
        <v>139</v>
      </c>
      <c r="B160" s="463"/>
      <c r="C160" s="71" t="s">
        <v>75</v>
      </c>
      <c r="D160" s="82" t="s">
        <v>65</v>
      </c>
      <c r="E160" s="83">
        <f>800+99</f>
        <v>899</v>
      </c>
    </row>
    <row r="161" spans="1:5" ht="24" thickBot="1" x14ac:dyDescent="0.3">
      <c r="A161" s="464">
        <f>B159+A159</f>
        <v>8874</v>
      </c>
      <c r="B161" s="465"/>
      <c r="C161" s="81"/>
      <c r="D161" s="82"/>
      <c r="E161" s="83"/>
    </row>
    <row r="162" spans="1:5" ht="24" thickBot="1" x14ac:dyDescent="0.3">
      <c r="A162" s="466" t="s">
        <v>99</v>
      </c>
      <c r="B162" s="467"/>
      <c r="C162" s="78">
        <f>A163-C163</f>
        <v>23</v>
      </c>
      <c r="D162" s="82"/>
      <c r="E162" s="83"/>
    </row>
    <row r="163" spans="1:5" ht="18" customHeight="1" thickBot="1" x14ac:dyDescent="0.3">
      <c r="A163" s="481">
        <f>C161+A161</f>
        <v>8874</v>
      </c>
      <c r="B163" s="482"/>
      <c r="C163" s="79">
        <v>8851</v>
      </c>
      <c r="D163" s="82" t="s">
        <v>164</v>
      </c>
      <c r="E163" s="83">
        <f>SUM(E160:E162)</f>
        <v>899</v>
      </c>
    </row>
    <row r="164" spans="1:5" ht="18" customHeight="1" thickBot="1" x14ac:dyDescent="0.3">
      <c r="A164" s="315"/>
      <c r="B164" s="315"/>
      <c r="C164" s="314" t="str">
        <f>IF(C162&gt;0,"زيادة","عجز")</f>
        <v>زيادة</v>
      </c>
      <c r="D164" s="104"/>
      <c r="E164" s="104"/>
    </row>
    <row r="165" spans="1:5" ht="18" customHeight="1" thickBot="1" x14ac:dyDescent="0.3">
      <c r="A165"/>
      <c r="B165"/>
    </row>
    <row r="166" spans="1:5" ht="18" customHeight="1" thickBot="1" x14ac:dyDescent="0.3">
      <c r="A166" s="76" t="s">
        <v>85</v>
      </c>
      <c r="B166" s="485"/>
      <c r="C166" s="486"/>
    </row>
    <row r="167" spans="1:5" ht="21" thickBot="1" x14ac:dyDescent="0.3">
      <c r="A167" s="53" t="s">
        <v>137</v>
      </c>
      <c r="B167" s="53" t="s">
        <v>3</v>
      </c>
      <c r="C167" s="53" t="s">
        <v>138</v>
      </c>
    </row>
    <row r="168" spans="1:5" ht="18" x14ac:dyDescent="0.25">
      <c r="A168" s="55">
        <f>10000+1350+20</f>
        <v>11370</v>
      </c>
      <c r="B168" s="77">
        <v>1</v>
      </c>
      <c r="C168" s="57" t="s">
        <v>194</v>
      </c>
    </row>
    <row r="169" spans="1:5" ht="18" x14ac:dyDescent="0.25">
      <c r="A169" s="58"/>
      <c r="B169" s="56">
        <v>16</v>
      </c>
      <c r="C169" s="59" t="s">
        <v>73</v>
      </c>
    </row>
    <row r="170" spans="1:5" ht="18.75" thickBot="1" x14ac:dyDescent="0.3">
      <c r="A170" s="58"/>
      <c r="B170" s="56">
        <v>500</v>
      </c>
      <c r="C170" s="59" t="s">
        <v>193</v>
      </c>
    </row>
    <row r="171" spans="1:5" ht="24" thickBot="1" x14ac:dyDescent="0.3">
      <c r="A171" s="66"/>
      <c r="B171" s="67"/>
      <c r="C171" s="64"/>
      <c r="D171" s="483" t="s">
        <v>43</v>
      </c>
      <c r="E171" s="484"/>
    </row>
    <row r="172" spans="1:5" ht="21" thickBot="1" x14ac:dyDescent="0.3">
      <c r="A172" s="68">
        <f>SUM(A168:A171)</f>
        <v>11370</v>
      </c>
      <c r="B172" s="69">
        <f>SUM(B168:B171)</f>
        <v>517</v>
      </c>
      <c r="C172" s="70"/>
      <c r="D172" s="84" t="s">
        <v>94</v>
      </c>
      <c r="E172" s="85"/>
    </row>
    <row r="173" spans="1:5" ht="19.5" thickBot="1" x14ac:dyDescent="0.3">
      <c r="A173" s="462" t="s">
        <v>139</v>
      </c>
      <c r="B173" s="463"/>
      <c r="C173" s="71" t="s">
        <v>75</v>
      </c>
      <c r="D173" s="82" t="s">
        <v>65</v>
      </c>
      <c r="E173" s="83"/>
    </row>
    <row r="174" spans="1:5" ht="24" thickBot="1" x14ac:dyDescent="0.3">
      <c r="A174" s="464">
        <f>B172+A172</f>
        <v>11887</v>
      </c>
      <c r="B174" s="465"/>
      <c r="C174" s="81">
        <f>126+76</f>
        <v>202</v>
      </c>
      <c r="D174" s="82"/>
      <c r="E174" s="83"/>
    </row>
    <row r="175" spans="1:5" ht="24" thickBot="1" x14ac:dyDescent="0.3">
      <c r="A175" s="466" t="s">
        <v>99</v>
      </c>
      <c r="B175" s="467"/>
      <c r="C175" s="78">
        <f>A176-C176</f>
        <v>94</v>
      </c>
      <c r="D175" s="82"/>
      <c r="E175" s="83"/>
    </row>
    <row r="176" spans="1:5" ht="21" thickBot="1" x14ac:dyDescent="0.3">
      <c r="A176" s="481">
        <f>C174+A174</f>
        <v>12089</v>
      </c>
      <c r="B176" s="482"/>
      <c r="C176" s="79">
        <v>11995</v>
      </c>
      <c r="D176" s="82" t="s">
        <v>164</v>
      </c>
      <c r="E176" s="83">
        <f>SUM(E173:E175)</f>
        <v>0</v>
      </c>
    </row>
    <row r="177" spans="1:5" ht="24" thickBot="1" x14ac:dyDescent="0.3">
      <c r="A177"/>
      <c r="B177"/>
      <c r="C177" s="314" t="str">
        <f>IF(C175&gt;0,"زيادة","عجز")</f>
        <v>زيادة</v>
      </c>
    </row>
    <row r="178" spans="1:5" ht="15.75" thickBot="1" x14ac:dyDescent="0.3">
      <c r="A178"/>
      <c r="B178"/>
    </row>
    <row r="179" spans="1:5" ht="24" thickBot="1" x14ac:dyDescent="0.3">
      <c r="A179" s="76" t="s">
        <v>15</v>
      </c>
      <c r="B179" s="485"/>
      <c r="C179" s="486"/>
    </row>
    <row r="180" spans="1:5" ht="21" thickBot="1" x14ac:dyDescent="0.3">
      <c r="A180" s="53" t="s">
        <v>137</v>
      </c>
      <c r="B180" s="53" t="s">
        <v>3</v>
      </c>
      <c r="C180" s="53" t="s">
        <v>138</v>
      </c>
    </row>
    <row r="181" spans="1:5" ht="18" x14ac:dyDescent="0.25">
      <c r="A181" s="55">
        <f>5000+4000+800+35</f>
        <v>9835</v>
      </c>
      <c r="B181" s="77">
        <v>135</v>
      </c>
      <c r="C181" s="57" t="s">
        <v>73</v>
      </c>
    </row>
    <row r="182" spans="1:5" ht="18" x14ac:dyDescent="0.25">
      <c r="A182" s="58"/>
      <c r="B182" s="56">
        <v>210</v>
      </c>
      <c r="C182" s="59" t="s">
        <v>91</v>
      </c>
    </row>
    <row r="183" spans="1:5" ht="18" x14ac:dyDescent="0.25">
      <c r="A183" s="58"/>
      <c r="B183" s="56">
        <v>350</v>
      </c>
      <c r="C183" s="59" t="s">
        <v>83</v>
      </c>
    </row>
    <row r="184" spans="1:5" ht="18" x14ac:dyDescent="0.25">
      <c r="A184" s="60"/>
      <c r="B184" s="56">
        <v>100</v>
      </c>
      <c r="C184" s="61" t="s">
        <v>195</v>
      </c>
    </row>
    <row r="185" spans="1:5" ht="18" x14ac:dyDescent="0.25">
      <c r="A185" s="60"/>
      <c r="B185" s="56">
        <v>4555</v>
      </c>
      <c r="C185" s="62" t="s">
        <v>196</v>
      </c>
    </row>
    <row r="186" spans="1:5" ht="18" x14ac:dyDescent="0.25">
      <c r="A186" s="60"/>
      <c r="B186" s="56">
        <v>130</v>
      </c>
      <c r="C186" s="62" t="s">
        <v>197</v>
      </c>
    </row>
    <row r="187" spans="1:5" ht="18" x14ac:dyDescent="0.25">
      <c r="A187" s="60"/>
      <c r="B187" s="56">
        <v>1609</v>
      </c>
      <c r="C187" s="62" t="s">
        <v>198</v>
      </c>
    </row>
    <row r="188" spans="1:5" ht="18.75" thickBot="1" x14ac:dyDescent="0.3">
      <c r="A188" s="58"/>
      <c r="B188" s="56">
        <v>155</v>
      </c>
      <c r="C188" s="63" t="s">
        <v>92</v>
      </c>
    </row>
    <row r="189" spans="1:5" ht="24" thickBot="1" x14ac:dyDescent="0.3">
      <c r="A189" s="66"/>
      <c r="B189" s="67"/>
      <c r="C189" s="64"/>
      <c r="D189" s="483" t="s">
        <v>43</v>
      </c>
      <c r="E189" s="484"/>
    </row>
    <row r="190" spans="1:5" ht="21" thickBot="1" x14ac:dyDescent="0.3">
      <c r="A190" s="68">
        <f>SUM(A181:A189)</f>
        <v>9835</v>
      </c>
      <c r="B190" s="69">
        <f>SUM(B181:B189)</f>
        <v>7244</v>
      </c>
      <c r="C190" s="70"/>
      <c r="D190" s="84" t="s">
        <v>94</v>
      </c>
      <c r="E190" s="85">
        <f>3491+2969-2778-2841</f>
        <v>841</v>
      </c>
    </row>
    <row r="191" spans="1:5" ht="19.5" thickBot="1" x14ac:dyDescent="0.3">
      <c r="A191" s="462" t="s">
        <v>139</v>
      </c>
      <c r="B191" s="463"/>
      <c r="C191" s="71" t="s">
        <v>75</v>
      </c>
      <c r="D191" s="82" t="s">
        <v>65</v>
      </c>
      <c r="E191" s="83">
        <v>855</v>
      </c>
    </row>
    <row r="192" spans="1:5" ht="24" thickBot="1" x14ac:dyDescent="0.3">
      <c r="A192" s="464">
        <f>B190+A190</f>
        <v>17079</v>
      </c>
      <c r="B192" s="465"/>
      <c r="C192" s="81">
        <f>310+535+103+102+69+51</f>
        <v>1170</v>
      </c>
      <c r="D192" s="82"/>
      <c r="E192" s="83"/>
    </row>
    <row r="193" spans="1:5" ht="24" thickBot="1" x14ac:dyDescent="0.3">
      <c r="A193" s="466" t="s">
        <v>99</v>
      </c>
      <c r="B193" s="467"/>
      <c r="C193" s="78">
        <f>A194-C194</f>
        <v>-110</v>
      </c>
      <c r="D193" s="82"/>
      <c r="E193" s="83"/>
    </row>
    <row r="194" spans="1:5" ht="21" thickBot="1" x14ac:dyDescent="0.3">
      <c r="A194" s="481">
        <f>C192+A192</f>
        <v>18249</v>
      </c>
      <c r="B194" s="482"/>
      <c r="C194" s="79">
        <v>18359</v>
      </c>
      <c r="D194" s="82" t="s">
        <v>164</v>
      </c>
      <c r="E194" s="83">
        <f>SUM(E191:E193)</f>
        <v>855</v>
      </c>
    </row>
    <row r="195" spans="1:5" ht="19.5" customHeight="1" thickBot="1" x14ac:dyDescent="0.3">
      <c r="A195"/>
      <c r="B195"/>
      <c r="C195" s="314" t="str">
        <f>IF(C193&gt;0,"زيادة","عجز")</f>
        <v>عجز</v>
      </c>
    </row>
    <row r="196" spans="1:5" ht="19.5" customHeight="1" thickBot="1" x14ac:dyDescent="0.3">
      <c r="A196"/>
      <c r="B196"/>
    </row>
    <row r="197" spans="1:5" ht="24" thickBot="1" x14ac:dyDescent="0.3">
      <c r="A197" s="76" t="s">
        <v>6</v>
      </c>
      <c r="B197" s="485"/>
      <c r="C197" s="486"/>
    </row>
    <row r="198" spans="1:5" ht="21" thickBot="1" x14ac:dyDescent="0.3">
      <c r="A198" s="53" t="s">
        <v>137</v>
      </c>
      <c r="B198" s="53" t="s">
        <v>3</v>
      </c>
      <c r="C198" s="53" t="s">
        <v>138</v>
      </c>
    </row>
    <row r="199" spans="1:5" ht="18" x14ac:dyDescent="0.25">
      <c r="A199" s="55">
        <f>5000+3620</f>
        <v>8620</v>
      </c>
      <c r="B199" s="77">
        <v>30</v>
      </c>
      <c r="C199" s="57" t="s">
        <v>204</v>
      </c>
    </row>
    <row r="200" spans="1:5" ht="18.75" thickBot="1" x14ac:dyDescent="0.3">
      <c r="A200" s="58"/>
      <c r="B200" s="56">
        <v>22</v>
      </c>
      <c r="C200" s="59" t="s">
        <v>205</v>
      </c>
    </row>
    <row r="201" spans="1:5" ht="24" thickBot="1" x14ac:dyDescent="0.3">
      <c r="A201" s="66"/>
      <c r="B201" s="67"/>
      <c r="C201" s="64"/>
      <c r="D201" s="483" t="s">
        <v>43</v>
      </c>
      <c r="E201" s="484"/>
    </row>
    <row r="202" spans="1:5" ht="21" thickBot="1" x14ac:dyDescent="0.3">
      <c r="A202" s="68">
        <f>SUM(A199:A201)</f>
        <v>8620</v>
      </c>
      <c r="B202" s="69">
        <f>SUM(B199:B201)</f>
        <v>52</v>
      </c>
      <c r="C202" s="70"/>
      <c r="D202" s="84" t="s">
        <v>94</v>
      </c>
      <c r="E202" s="85">
        <f>-6050+3128-3491-2969+10000</f>
        <v>618</v>
      </c>
    </row>
    <row r="203" spans="1:5" ht="19.5" thickBot="1" x14ac:dyDescent="0.3">
      <c r="A203" s="462" t="s">
        <v>139</v>
      </c>
      <c r="B203" s="463"/>
      <c r="C203" s="71" t="s">
        <v>75</v>
      </c>
      <c r="D203" s="82" t="s">
        <v>65</v>
      </c>
      <c r="E203" s="83">
        <f>450+185</f>
        <v>635</v>
      </c>
    </row>
    <row r="204" spans="1:5" ht="24" thickBot="1" x14ac:dyDescent="0.3">
      <c r="A204" s="464">
        <f>B202+A202</f>
        <v>8672</v>
      </c>
      <c r="B204" s="465"/>
      <c r="C204" s="81">
        <v>205</v>
      </c>
      <c r="D204" s="82"/>
      <c r="E204" s="83"/>
    </row>
    <row r="205" spans="1:5" ht="24" thickBot="1" x14ac:dyDescent="0.3">
      <c r="A205" s="466" t="s">
        <v>99</v>
      </c>
      <c r="B205" s="467"/>
      <c r="C205" s="78">
        <f>A206-C206</f>
        <v>127</v>
      </c>
      <c r="D205" s="82"/>
      <c r="E205" s="83"/>
    </row>
    <row r="206" spans="1:5" ht="21" thickBot="1" x14ac:dyDescent="0.3">
      <c r="A206" s="481">
        <f>C204+A204</f>
        <v>8877</v>
      </c>
      <c r="B206" s="482"/>
      <c r="C206" s="79">
        <v>8750</v>
      </c>
      <c r="D206" s="82" t="s">
        <v>164</v>
      </c>
      <c r="E206" s="83">
        <f>SUM(E203:E205)</f>
        <v>635</v>
      </c>
    </row>
    <row r="207" spans="1:5" ht="24" thickBot="1" x14ac:dyDescent="0.3">
      <c r="A207"/>
      <c r="B207"/>
      <c r="C207" s="314" t="str">
        <f>IF(C205&gt;0,"زيادة","عجز")</f>
        <v>زيادة</v>
      </c>
    </row>
    <row r="208" spans="1:5" ht="15.75" thickBot="1" x14ac:dyDescent="0.3">
      <c r="A208"/>
      <c r="B208"/>
    </row>
    <row r="209" spans="1:3" ht="24" thickBot="1" x14ac:dyDescent="0.3">
      <c r="A209" s="76" t="s">
        <v>88</v>
      </c>
      <c r="B209" s="485"/>
      <c r="C209" s="486"/>
    </row>
    <row r="210" spans="1:3" ht="21" thickBot="1" x14ac:dyDescent="0.3">
      <c r="A210" s="53" t="s">
        <v>137</v>
      </c>
      <c r="B210" s="53" t="s">
        <v>3</v>
      </c>
      <c r="C210" s="53" t="s">
        <v>138</v>
      </c>
    </row>
    <row r="211" spans="1:3" ht="18" x14ac:dyDescent="0.25">
      <c r="A211" s="55">
        <f>2000+1450+47</f>
        <v>3497</v>
      </c>
      <c r="B211" s="77">
        <v>1000</v>
      </c>
      <c r="C211" s="57" t="s">
        <v>207</v>
      </c>
    </row>
    <row r="212" spans="1:3" ht="18" x14ac:dyDescent="0.25">
      <c r="A212" s="58"/>
      <c r="B212" s="56">
        <f>90+8+34</f>
        <v>132</v>
      </c>
      <c r="C212" s="59" t="s">
        <v>208</v>
      </c>
    </row>
    <row r="213" spans="1:3" ht="18" x14ac:dyDescent="0.25">
      <c r="A213" s="58"/>
      <c r="B213" s="56">
        <v>240</v>
      </c>
      <c r="C213" s="59" t="s">
        <v>209</v>
      </c>
    </row>
    <row r="214" spans="1:3" ht="18" x14ac:dyDescent="0.25">
      <c r="A214" s="60"/>
      <c r="B214" s="56">
        <v>110</v>
      </c>
      <c r="C214" s="61" t="s">
        <v>9</v>
      </c>
    </row>
    <row r="215" spans="1:3" ht="18" x14ac:dyDescent="0.25">
      <c r="A215" s="60"/>
      <c r="B215" s="56">
        <v>105</v>
      </c>
      <c r="C215" s="62" t="s">
        <v>210</v>
      </c>
    </row>
    <row r="216" spans="1:3" ht="18" x14ac:dyDescent="0.25">
      <c r="A216" s="60"/>
      <c r="B216" s="56">
        <v>200</v>
      </c>
      <c r="C216" s="62" t="s">
        <v>86</v>
      </c>
    </row>
    <row r="217" spans="1:3" ht="18" x14ac:dyDescent="0.25">
      <c r="A217" s="60"/>
      <c r="B217" s="56">
        <v>2000</v>
      </c>
      <c r="C217" s="62" t="s">
        <v>88</v>
      </c>
    </row>
    <row r="218" spans="1:3" ht="18" x14ac:dyDescent="0.25">
      <c r="A218" s="58"/>
      <c r="B218" s="56">
        <v>6000</v>
      </c>
      <c r="C218" s="63" t="s">
        <v>211</v>
      </c>
    </row>
    <row r="219" spans="1:3" ht="18" x14ac:dyDescent="0.25">
      <c r="A219" s="58"/>
      <c r="B219" s="56">
        <v>30</v>
      </c>
      <c r="C219" s="64" t="s">
        <v>212</v>
      </c>
    </row>
    <row r="220" spans="1:3" ht="18" x14ac:dyDescent="0.25">
      <c r="A220" s="58"/>
      <c r="B220" s="56">
        <v>50</v>
      </c>
      <c r="C220" s="65" t="s">
        <v>213</v>
      </c>
    </row>
    <row r="221" spans="1:3" ht="18" x14ac:dyDescent="0.25">
      <c r="A221" s="58"/>
      <c r="B221" s="56">
        <v>235</v>
      </c>
      <c r="C221" s="65" t="s">
        <v>7</v>
      </c>
    </row>
    <row r="222" spans="1:3" ht="18" x14ac:dyDescent="0.25">
      <c r="A222" s="58"/>
      <c r="B222" s="56">
        <v>125</v>
      </c>
      <c r="C222" s="65" t="s">
        <v>89</v>
      </c>
    </row>
    <row r="223" spans="1:3" ht="18" x14ac:dyDescent="0.25">
      <c r="A223" s="58"/>
      <c r="B223" s="56">
        <v>590</v>
      </c>
      <c r="C223" s="65" t="s">
        <v>214</v>
      </c>
    </row>
    <row r="224" spans="1:3" ht="18" x14ac:dyDescent="0.25">
      <c r="A224" s="58"/>
      <c r="B224" s="56">
        <v>577</v>
      </c>
      <c r="C224" s="65" t="s">
        <v>45</v>
      </c>
    </row>
    <row r="225" spans="1:5" ht="18" x14ac:dyDescent="0.25">
      <c r="A225" s="58"/>
      <c r="B225" s="56">
        <v>645</v>
      </c>
      <c r="C225" s="65" t="s">
        <v>58</v>
      </c>
    </row>
    <row r="226" spans="1:5" ht="18.75" thickBot="1" x14ac:dyDescent="0.3">
      <c r="A226" s="58"/>
      <c r="B226" s="56">
        <v>380</v>
      </c>
      <c r="C226" s="65" t="s">
        <v>215</v>
      </c>
    </row>
    <row r="227" spans="1:5" ht="24" thickBot="1" x14ac:dyDescent="0.3">
      <c r="A227" s="66"/>
      <c r="B227" s="67"/>
      <c r="C227" s="64"/>
      <c r="D227" s="483" t="s">
        <v>43</v>
      </c>
      <c r="E227" s="484"/>
    </row>
    <row r="228" spans="1:5" ht="21" thickBot="1" x14ac:dyDescent="0.3">
      <c r="A228" s="68">
        <f>SUM(A211:A227)</f>
        <v>3497</v>
      </c>
      <c r="B228" s="69">
        <f>SUM(B211:B227)</f>
        <v>12419</v>
      </c>
      <c r="C228" s="70"/>
      <c r="D228" s="84" t="s">
        <v>94</v>
      </c>
      <c r="E228" s="85">
        <v>915</v>
      </c>
    </row>
    <row r="229" spans="1:5" ht="19.5" thickBot="1" x14ac:dyDescent="0.3">
      <c r="A229" s="462" t="s">
        <v>139</v>
      </c>
      <c r="B229" s="463"/>
      <c r="C229" s="71" t="s">
        <v>75</v>
      </c>
      <c r="D229" s="82" t="s">
        <v>65</v>
      </c>
      <c r="E229" s="83">
        <v>940</v>
      </c>
    </row>
    <row r="230" spans="1:5" ht="24" thickBot="1" x14ac:dyDescent="0.3">
      <c r="A230" s="464">
        <f>B228+A228</f>
        <v>15916</v>
      </c>
      <c r="B230" s="465"/>
      <c r="C230" s="81">
        <f>520+170+87</f>
        <v>777</v>
      </c>
      <c r="D230" s="82"/>
      <c r="E230" s="83"/>
    </row>
    <row r="231" spans="1:5" ht="24" thickBot="1" x14ac:dyDescent="0.3">
      <c r="A231" s="466" t="s">
        <v>99</v>
      </c>
      <c r="B231" s="467"/>
      <c r="C231" s="78">
        <f>A232-C232</f>
        <v>-525</v>
      </c>
      <c r="D231" s="82"/>
      <c r="E231" s="83"/>
    </row>
    <row r="232" spans="1:5" ht="21" thickBot="1" x14ac:dyDescent="0.3">
      <c r="A232" s="481">
        <f>C230+A230</f>
        <v>16693</v>
      </c>
      <c r="B232" s="482"/>
      <c r="C232" s="79">
        <v>17218</v>
      </c>
      <c r="D232" s="82" t="s">
        <v>164</v>
      </c>
      <c r="E232" s="83">
        <f>SUM(E229:E231)</f>
        <v>940</v>
      </c>
    </row>
    <row r="233" spans="1:5" ht="24" thickBot="1" x14ac:dyDescent="0.3">
      <c r="A233"/>
      <c r="B233"/>
      <c r="C233" s="314" t="str">
        <f>IF(C231&gt;0,"زيادة","عجز")</f>
        <v>عجز</v>
      </c>
    </row>
    <row r="234" spans="1:5" ht="15.75" thickBot="1" x14ac:dyDescent="0.3">
      <c r="A234"/>
      <c r="B234"/>
    </row>
    <row r="235" spans="1:5" ht="24" thickBot="1" x14ac:dyDescent="0.3">
      <c r="A235" s="76" t="s">
        <v>19</v>
      </c>
      <c r="B235" s="485"/>
      <c r="C235" s="486"/>
    </row>
    <row r="236" spans="1:5" ht="21" thickBot="1" x14ac:dyDescent="0.3">
      <c r="A236" s="53" t="s">
        <v>137</v>
      </c>
      <c r="B236" s="53" t="s">
        <v>3</v>
      </c>
      <c r="C236" s="53" t="s">
        <v>138</v>
      </c>
    </row>
    <row r="237" spans="1:5" ht="18" x14ac:dyDescent="0.25">
      <c r="A237" s="55">
        <f>10000+10000+3000+485</f>
        <v>23485</v>
      </c>
      <c r="B237" s="77">
        <v>1925</v>
      </c>
      <c r="C237" s="57" t="s">
        <v>230</v>
      </c>
    </row>
    <row r="238" spans="1:5" ht="18" x14ac:dyDescent="0.25">
      <c r="A238" s="58"/>
      <c r="B238" s="56">
        <v>50</v>
      </c>
      <c r="C238" s="59" t="s">
        <v>52</v>
      </c>
    </row>
    <row r="239" spans="1:5" ht="18.75" thickBot="1" x14ac:dyDescent="0.3">
      <c r="A239" s="58"/>
      <c r="B239" s="56">
        <v>450</v>
      </c>
      <c r="C239" s="59" t="s">
        <v>231</v>
      </c>
    </row>
    <row r="240" spans="1:5" ht="24" thickBot="1" x14ac:dyDescent="0.3">
      <c r="A240" s="66"/>
      <c r="B240" s="67"/>
      <c r="C240" s="64"/>
      <c r="D240" s="483" t="s">
        <v>43</v>
      </c>
      <c r="E240" s="484"/>
    </row>
    <row r="241" spans="1:5" ht="21" thickBot="1" x14ac:dyDescent="0.3">
      <c r="A241" s="68">
        <f>SUM(A237:A240)</f>
        <v>23485</v>
      </c>
      <c r="B241" s="69">
        <f>SUM(B237:B240)</f>
        <v>2425</v>
      </c>
      <c r="C241" s="70"/>
      <c r="D241" s="84" t="s">
        <v>94</v>
      </c>
      <c r="E241" s="85">
        <f>3911-1950</f>
        <v>1961</v>
      </c>
    </row>
    <row r="242" spans="1:5" ht="19.5" thickBot="1" x14ac:dyDescent="0.3">
      <c r="A242" s="462" t="s">
        <v>139</v>
      </c>
      <c r="B242" s="463"/>
      <c r="C242" s="71" t="s">
        <v>75</v>
      </c>
      <c r="D242" s="82" t="s">
        <v>65</v>
      </c>
      <c r="E242" s="83">
        <f>3+1350+415</f>
        <v>1768</v>
      </c>
    </row>
    <row r="243" spans="1:5" ht="24" thickBot="1" x14ac:dyDescent="0.3">
      <c r="A243" s="464">
        <f>B241+A241</f>
        <v>25910</v>
      </c>
      <c r="B243" s="465"/>
      <c r="C243" s="81"/>
      <c r="D243" s="82" t="s">
        <v>10</v>
      </c>
      <c r="E243" s="83">
        <v>15</v>
      </c>
    </row>
    <row r="244" spans="1:5" ht="24" thickBot="1" x14ac:dyDescent="0.3">
      <c r="A244" s="466" t="s">
        <v>99</v>
      </c>
      <c r="B244" s="467"/>
      <c r="C244" s="78">
        <f>A245-C245</f>
        <v>304</v>
      </c>
      <c r="D244" s="82"/>
      <c r="E244" s="83"/>
    </row>
    <row r="245" spans="1:5" ht="21" thickBot="1" x14ac:dyDescent="0.3">
      <c r="A245" s="481">
        <f>C243+A243</f>
        <v>25910</v>
      </c>
      <c r="B245" s="482"/>
      <c r="C245" s="79">
        <v>25606</v>
      </c>
      <c r="D245" s="82" t="s">
        <v>164</v>
      </c>
      <c r="E245" s="83">
        <f>SUM(E242:E244)</f>
        <v>1783</v>
      </c>
    </row>
    <row r="246" spans="1:5" ht="24" thickBot="1" x14ac:dyDescent="0.3">
      <c r="C246" s="314" t="str">
        <f>IF(C244&gt;0,"زيادة","عجز")</f>
        <v>زيادة</v>
      </c>
    </row>
    <row r="247" spans="1:5" ht="24" thickBot="1" x14ac:dyDescent="0.3">
      <c r="A247" s="76" t="s">
        <v>60</v>
      </c>
      <c r="B247" s="485"/>
      <c r="C247" s="486"/>
    </row>
    <row r="248" spans="1:5" ht="21" thickBot="1" x14ac:dyDescent="0.3">
      <c r="A248" s="53" t="s">
        <v>137</v>
      </c>
      <c r="B248" s="53" t="s">
        <v>3</v>
      </c>
      <c r="C248" s="53" t="s">
        <v>138</v>
      </c>
    </row>
    <row r="249" spans="1:5" ht="18.75" thickBot="1" x14ac:dyDescent="0.3">
      <c r="A249" s="55">
        <f>2200+50+200+50+120</f>
        <v>2620</v>
      </c>
      <c r="B249" s="77">
        <f>15+18</f>
        <v>33</v>
      </c>
      <c r="C249" s="57" t="s">
        <v>73</v>
      </c>
    </row>
    <row r="250" spans="1:5" ht="24" thickBot="1" x14ac:dyDescent="0.3">
      <c r="A250" s="66"/>
      <c r="B250" s="67"/>
      <c r="C250" s="64"/>
      <c r="D250" s="483" t="s">
        <v>43</v>
      </c>
      <c r="E250" s="484"/>
    </row>
    <row r="251" spans="1:5" ht="21" thickBot="1" x14ac:dyDescent="0.3">
      <c r="A251" s="68">
        <f>SUM(A249:A250)</f>
        <v>2620</v>
      </c>
      <c r="B251" s="69">
        <f>SUM(B249:B250)</f>
        <v>33</v>
      </c>
      <c r="C251" s="70"/>
      <c r="D251" s="84" t="s">
        <v>94</v>
      </c>
      <c r="E251" s="85"/>
    </row>
    <row r="252" spans="1:5" ht="19.5" thickBot="1" x14ac:dyDescent="0.3">
      <c r="A252" s="462" t="s">
        <v>139</v>
      </c>
      <c r="B252" s="463"/>
      <c r="C252" s="71" t="s">
        <v>75</v>
      </c>
      <c r="D252" s="82" t="s">
        <v>65</v>
      </c>
      <c r="E252" s="83"/>
    </row>
    <row r="253" spans="1:5" ht="24" thickBot="1" x14ac:dyDescent="0.3">
      <c r="A253" s="464">
        <f>B251+A251</f>
        <v>2653</v>
      </c>
      <c r="B253" s="465"/>
      <c r="C253" s="81"/>
      <c r="D253" s="82"/>
      <c r="E253" s="83"/>
    </row>
    <row r="254" spans="1:5" ht="24" thickBot="1" x14ac:dyDescent="0.3">
      <c r="A254" s="466" t="s">
        <v>99</v>
      </c>
      <c r="B254" s="467"/>
      <c r="C254" s="78">
        <f>A255-C255</f>
        <v>-32</v>
      </c>
      <c r="D254" s="82"/>
      <c r="E254" s="83"/>
    </row>
    <row r="255" spans="1:5" ht="21" thickBot="1" x14ac:dyDescent="0.3">
      <c r="A255" s="481">
        <f>C253+A253</f>
        <v>2653</v>
      </c>
      <c r="B255" s="482"/>
      <c r="C255" s="79">
        <v>2685</v>
      </c>
      <c r="D255" s="82" t="s">
        <v>164</v>
      </c>
      <c r="E255" s="83">
        <f>SUM(E252:E254)</f>
        <v>0</v>
      </c>
    </row>
    <row r="256" spans="1:5" ht="24" thickBot="1" x14ac:dyDescent="0.3">
      <c r="C256" s="314" t="str">
        <f>IF(C254&gt;0,"زيادة","عجز")</f>
        <v>عجز</v>
      </c>
    </row>
    <row r="257" spans="1:5" ht="15.75" thickBot="1" x14ac:dyDescent="0.3"/>
    <row r="258" spans="1:5" ht="24" thickBot="1" x14ac:dyDescent="0.3">
      <c r="A258" s="76" t="s">
        <v>235</v>
      </c>
      <c r="B258" s="485"/>
      <c r="C258" s="486"/>
    </row>
    <row r="259" spans="1:5" ht="21" thickBot="1" x14ac:dyDescent="0.3">
      <c r="A259" s="53" t="s">
        <v>137</v>
      </c>
      <c r="B259" s="53" t="s">
        <v>3</v>
      </c>
      <c r="C259" s="53" t="s">
        <v>138</v>
      </c>
    </row>
    <row r="260" spans="1:5" ht="18" x14ac:dyDescent="0.25">
      <c r="A260" s="55">
        <v>10826</v>
      </c>
      <c r="B260" s="77">
        <v>4853</v>
      </c>
      <c r="C260" s="57" t="s">
        <v>236</v>
      </c>
    </row>
    <row r="261" spans="1:5" ht="18" x14ac:dyDescent="0.25">
      <c r="A261" s="58"/>
      <c r="B261" s="56">
        <v>60</v>
      </c>
      <c r="C261" s="59" t="s">
        <v>237</v>
      </c>
    </row>
    <row r="262" spans="1:5" ht="18" x14ac:dyDescent="0.25">
      <c r="A262" s="58"/>
      <c r="B262" s="56">
        <v>100</v>
      </c>
      <c r="C262" s="59" t="s">
        <v>87</v>
      </c>
    </row>
    <row r="263" spans="1:5" ht="18" x14ac:dyDescent="0.25">
      <c r="A263" s="60"/>
      <c r="B263" s="56">
        <v>115</v>
      </c>
      <c r="C263" s="59" t="s">
        <v>240</v>
      </c>
    </row>
    <row r="264" spans="1:5" ht="18" x14ac:dyDescent="0.25">
      <c r="A264" s="60"/>
      <c r="B264" s="56">
        <v>10</v>
      </c>
      <c r="C264" s="62" t="s">
        <v>239</v>
      </c>
    </row>
    <row r="265" spans="1:5" ht="18.75" thickBot="1" x14ac:dyDescent="0.3">
      <c r="A265" s="60"/>
      <c r="B265" s="56">
        <v>33</v>
      </c>
      <c r="C265" s="62" t="s">
        <v>238</v>
      </c>
    </row>
    <row r="266" spans="1:5" ht="24" thickBot="1" x14ac:dyDescent="0.3">
      <c r="A266" s="66"/>
      <c r="B266" s="67"/>
      <c r="C266" s="64"/>
      <c r="D266" s="483" t="s">
        <v>43</v>
      </c>
      <c r="E266" s="484"/>
    </row>
    <row r="267" spans="1:5" ht="21" thickBot="1" x14ac:dyDescent="0.3">
      <c r="A267" s="68">
        <f>SUM(A260:A266)</f>
        <v>10826</v>
      </c>
      <c r="B267" s="69">
        <f>SUM(B260:B266)</f>
        <v>5171</v>
      </c>
      <c r="C267" s="70"/>
      <c r="D267" s="84" t="s">
        <v>94</v>
      </c>
      <c r="E267" s="85"/>
    </row>
    <row r="268" spans="1:5" ht="19.5" thickBot="1" x14ac:dyDescent="0.3">
      <c r="A268" s="462" t="s">
        <v>139</v>
      </c>
      <c r="B268" s="463"/>
      <c r="C268" s="71" t="s">
        <v>75</v>
      </c>
      <c r="D268" s="82" t="s">
        <v>65</v>
      </c>
      <c r="E268" s="83"/>
    </row>
    <row r="269" spans="1:5" ht="24" thickBot="1" x14ac:dyDescent="0.3">
      <c r="A269" s="464">
        <f>B267+A267</f>
        <v>15997</v>
      </c>
      <c r="B269" s="465"/>
      <c r="C269" s="81">
        <f>15+283+85</f>
        <v>383</v>
      </c>
      <c r="D269" s="82"/>
      <c r="E269" s="83"/>
    </row>
    <row r="270" spans="1:5" ht="24" thickBot="1" x14ac:dyDescent="0.3">
      <c r="A270" s="466" t="s">
        <v>99</v>
      </c>
      <c r="B270" s="467"/>
      <c r="C270" s="78">
        <f>A271-C271</f>
        <v>16380</v>
      </c>
      <c r="D270" s="82"/>
      <c r="E270" s="83"/>
    </row>
    <row r="271" spans="1:5" ht="21" thickBot="1" x14ac:dyDescent="0.3">
      <c r="A271" s="481">
        <f>C269+A269</f>
        <v>16380</v>
      </c>
      <c r="B271" s="482"/>
      <c r="C271" s="79"/>
      <c r="D271" s="82" t="s">
        <v>164</v>
      </c>
      <c r="E271" s="83">
        <f>SUM(E268:E270)</f>
        <v>0</v>
      </c>
    </row>
    <row r="272" spans="1:5" ht="24" thickBot="1" x14ac:dyDescent="0.3">
      <c r="C272" s="314" t="str">
        <f>IF(C270&gt;0,"زيادة","عجز")</f>
        <v>زيادة</v>
      </c>
    </row>
    <row r="273" spans="1:7" ht="15.75" thickBot="1" x14ac:dyDescent="0.3"/>
    <row r="274" spans="1:7" ht="24" thickBot="1" x14ac:dyDescent="0.3">
      <c r="A274" s="76" t="s">
        <v>15</v>
      </c>
      <c r="B274" s="485"/>
      <c r="C274" s="486"/>
    </row>
    <row r="275" spans="1:7" ht="21" thickBot="1" x14ac:dyDescent="0.3">
      <c r="A275" s="53" t="s">
        <v>137</v>
      </c>
      <c r="B275" s="53" t="s">
        <v>3</v>
      </c>
      <c r="C275" s="53" t="s">
        <v>138</v>
      </c>
    </row>
    <row r="276" spans="1:7" ht="18" x14ac:dyDescent="0.25">
      <c r="A276" s="55">
        <f>10000+1000+1600+145</f>
        <v>12745</v>
      </c>
      <c r="B276" s="77">
        <v>60</v>
      </c>
      <c r="C276" s="57" t="s">
        <v>242</v>
      </c>
      <c r="F276">
        <f>2778+2841-2043-2544</f>
        <v>1032</v>
      </c>
    </row>
    <row r="277" spans="1:7" ht="18" x14ac:dyDescent="0.25">
      <c r="A277" s="58"/>
      <c r="B277" s="56">
        <v>350</v>
      </c>
      <c r="C277" s="59" t="s">
        <v>243</v>
      </c>
    </row>
    <row r="278" spans="1:7" ht="18" x14ac:dyDescent="0.25">
      <c r="A278" s="58"/>
      <c r="B278" s="56">
        <v>612</v>
      </c>
      <c r="C278" s="59" t="s">
        <v>245</v>
      </c>
    </row>
    <row r="279" spans="1:7" ht="18" x14ac:dyDescent="0.25">
      <c r="A279" s="60"/>
      <c r="B279" s="56">
        <v>800</v>
      </c>
      <c r="C279" s="59" t="s">
        <v>246</v>
      </c>
    </row>
    <row r="280" spans="1:7" ht="18" x14ac:dyDescent="0.25">
      <c r="A280" s="60"/>
      <c r="B280" s="56">
        <v>65</v>
      </c>
      <c r="C280" s="62" t="s">
        <v>247</v>
      </c>
    </row>
    <row r="281" spans="1:7" ht="18" x14ac:dyDescent="0.25">
      <c r="A281" s="60"/>
      <c r="B281" s="56">
        <v>80</v>
      </c>
      <c r="C281" s="62" t="s">
        <v>248</v>
      </c>
    </row>
    <row r="282" spans="1:7" ht="18.75" thickBot="1" x14ac:dyDescent="0.3">
      <c r="A282" s="60"/>
      <c r="B282" s="56">
        <v>155</v>
      </c>
      <c r="C282" s="62" t="s">
        <v>107</v>
      </c>
    </row>
    <row r="283" spans="1:7" ht="24" thickBot="1" x14ac:dyDescent="0.3">
      <c r="A283" s="66"/>
      <c r="B283" s="67"/>
      <c r="C283" s="64"/>
      <c r="D283" s="483" t="s">
        <v>43</v>
      </c>
      <c r="E283" s="484"/>
    </row>
    <row r="284" spans="1:7" ht="21" thickBot="1" x14ac:dyDescent="0.3">
      <c r="A284" s="68">
        <f>SUM(A276:A283)</f>
        <v>12745</v>
      </c>
      <c r="B284" s="69">
        <f>SUM(B276:B283)</f>
        <v>2122</v>
      </c>
      <c r="C284" s="70"/>
      <c r="D284" s="84" t="s">
        <v>94</v>
      </c>
      <c r="E284" s="85"/>
    </row>
    <row r="285" spans="1:7" ht="19.5" thickBot="1" x14ac:dyDescent="0.3">
      <c r="A285" s="462" t="s">
        <v>139</v>
      </c>
      <c r="B285" s="463"/>
      <c r="C285" s="71" t="s">
        <v>75</v>
      </c>
      <c r="D285" s="82" t="s">
        <v>65</v>
      </c>
      <c r="E285" s="83"/>
    </row>
    <row r="286" spans="1:7" ht="24" thickBot="1" x14ac:dyDescent="0.3">
      <c r="A286" s="464">
        <f>B284+A284</f>
        <v>14867</v>
      </c>
      <c r="B286" s="465"/>
      <c r="C286" s="81">
        <f>47+185</f>
        <v>232</v>
      </c>
      <c r="D286" s="82"/>
      <c r="E286" s="83"/>
    </row>
    <row r="287" spans="1:7" ht="24" thickBot="1" x14ac:dyDescent="0.3">
      <c r="A287" s="466" t="s">
        <v>99</v>
      </c>
      <c r="B287" s="467"/>
      <c r="C287" s="78">
        <f>A288-C288</f>
        <v>-34</v>
      </c>
      <c r="D287" s="82"/>
      <c r="E287" s="83"/>
      <c r="G287">
        <f>E303-E304</f>
        <v>112</v>
      </c>
    </row>
    <row r="288" spans="1:7" ht="21" thickBot="1" x14ac:dyDescent="0.3">
      <c r="A288" s="481">
        <f>C286+A286</f>
        <v>15099</v>
      </c>
      <c r="B288" s="482"/>
      <c r="C288" s="79">
        <v>15133</v>
      </c>
      <c r="D288" s="82" t="s">
        <v>164</v>
      </c>
      <c r="E288" s="83">
        <f>SUM(E285:E287)</f>
        <v>0</v>
      </c>
    </row>
    <row r="289" spans="1:5" ht="24" thickBot="1" x14ac:dyDescent="0.3">
      <c r="C289" s="314" t="str">
        <f>IF(C287&gt;0,"زيادة","عجز")</f>
        <v>عجز</v>
      </c>
    </row>
    <row r="290" spans="1:5" ht="15.75" thickBot="1" x14ac:dyDescent="0.3"/>
    <row r="291" spans="1:5" ht="24" thickBot="1" x14ac:dyDescent="0.3">
      <c r="A291" s="76" t="s">
        <v>251</v>
      </c>
      <c r="B291" s="485"/>
      <c r="C291" s="486"/>
    </row>
    <row r="292" spans="1:5" ht="21" thickBot="1" x14ac:dyDescent="0.3">
      <c r="A292" s="53" t="s">
        <v>137</v>
      </c>
      <c r="B292" s="53" t="s">
        <v>3</v>
      </c>
      <c r="C292" s="53" t="s">
        <v>138</v>
      </c>
    </row>
    <row r="293" spans="1:5" ht="18" x14ac:dyDescent="0.25">
      <c r="A293" s="55">
        <v>53</v>
      </c>
      <c r="B293" s="77">
        <v>225</v>
      </c>
      <c r="C293" s="57" t="s">
        <v>210</v>
      </c>
    </row>
    <row r="294" spans="1:5" ht="18" x14ac:dyDescent="0.25">
      <c r="A294" s="58"/>
      <c r="B294" s="56">
        <v>100</v>
      </c>
      <c r="C294" s="59" t="s">
        <v>9</v>
      </c>
    </row>
    <row r="295" spans="1:5" ht="18" x14ac:dyDescent="0.25">
      <c r="A295" s="58"/>
      <c r="B295" s="56">
        <v>170</v>
      </c>
      <c r="C295" s="59" t="s">
        <v>86</v>
      </c>
    </row>
    <row r="296" spans="1:5" ht="18" x14ac:dyDescent="0.25">
      <c r="A296" s="60"/>
      <c r="B296" s="56">
        <v>10000</v>
      </c>
      <c r="C296" s="59" t="s">
        <v>52</v>
      </c>
    </row>
    <row r="297" spans="1:5" ht="18" x14ac:dyDescent="0.25">
      <c r="A297" s="60"/>
      <c r="B297" s="56">
        <v>957</v>
      </c>
      <c r="C297" s="62" t="s">
        <v>252</v>
      </c>
    </row>
    <row r="298" spans="1:5" ht="18" x14ac:dyDescent="0.25">
      <c r="A298" s="60"/>
      <c r="B298" s="56">
        <v>100</v>
      </c>
      <c r="C298" s="62" t="s">
        <v>89</v>
      </c>
    </row>
    <row r="299" spans="1:5" ht="18" x14ac:dyDescent="0.25">
      <c r="A299" s="60"/>
      <c r="B299" s="56">
        <v>3515</v>
      </c>
      <c r="C299" s="62" t="s">
        <v>253</v>
      </c>
    </row>
    <row r="300" spans="1:5" ht="18" x14ac:dyDescent="0.25">
      <c r="A300" s="58"/>
      <c r="B300" s="56">
        <v>435</v>
      </c>
      <c r="C300" s="63" t="s">
        <v>215</v>
      </c>
    </row>
    <row r="301" spans="1:5" ht="18.75" thickBot="1" x14ac:dyDescent="0.3">
      <c r="A301" s="58"/>
      <c r="B301" s="56">
        <v>420</v>
      </c>
      <c r="C301" s="64" t="s">
        <v>34</v>
      </c>
    </row>
    <row r="302" spans="1:5" ht="24" thickBot="1" x14ac:dyDescent="0.3">
      <c r="A302" s="66"/>
      <c r="B302" s="67"/>
      <c r="C302" s="64"/>
      <c r="D302" s="483" t="s">
        <v>43</v>
      </c>
      <c r="E302" s="484"/>
    </row>
    <row r="303" spans="1:5" ht="21" thickBot="1" x14ac:dyDescent="0.3">
      <c r="A303" s="68">
        <f>SUM(A293:A302)</f>
        <v>53</v>
      </c>
      <c r="B303" s="69">
        <f>SUM(B293:B302)</f>
        <v>15922</v>
      </c>
      <c r="C303" s="70"/>
      <c r="D303" s="84" t="s">
        <v>94</v>
      </c>
      <c r="E303" s="85">
        <v>1032</v>
      </c>
    </row>
    <row r="304" spans="1:5" ht="19.5" thickBot="1" x14ac:dyDescent="0.3">
      <c r="A304" s="462" t="s">
        <v>139</v>
      </c>
      <c r="B304" s="463"/>
      <c r="C304" s="71" t="s">
        <v>75</v>
      </c>
      <c r="D304" s="82" t="s">
        <v>65</v>
      </c>
      <c r="E304" s="83">
        <v>920</v>
      </c>
    </row>
    <row r="305" spans="1:5" ht="24" thickBot="1" x14ac:dyDescent="0.3">
      <c r="A305" s="464">
        <f>B303+A303</f>
        <v>15975</v>
      </c>
      <c r="B305" s="465"/>
      <c r="C305" s="81">
        <f>34+380</f>
        <v>414</v>
      </c>
      <c r="D305" s="82"/>
      <c r="E305" s="83"/>
    </row>
    <row r="306" spans="1:5" ht="24" thickBot="1" x14ac:dyDescent="0.3">
      <c r="A306" s="466" t="s">
        <v>99</v>
      </c>
      <c r="B306" s="467"/>
      <c r="C306" s="78">
        <f>A307-C307</f>
        <v>171</v>
      </c>
      <c r="D306" s="82"/>
      <c r="E306" s="83"/>
    </row>
    <row r="307" spans="1:5" ht="21" thickBot="1" x14ac:dyDescent="0.3">
      <c r="A307" s="481">
        <f>C305+A305</f>
        <v>16389</v>
      </c>
      <c r="B307" s="482"/>
      <c r="C307" s="79">
        <v>16218</v>
      </c>
      <c r="D307" s="82" t="s">
        <v>164</v>
      </c>
      <c r="E307" s="83">
        <f>SUM(E304:E306)</f>
        <v>920</v>
      </c>
    </row>
    <row r="308" spans="1:5" ht="24" thickBot="1" x14ac:dyDescent="0.3">
      <c r="C308" s="314" t="str">
        <f>IF(C306&gt;0,"زيادة","عجز")</f>
        <v>زيادة</v>
      </c>
    </row>
    <row r="309" spans="1:5" ht="15.75" thickBot="1" x14ac:dyDescent="0.3"/>
    <row r="310" spans="1:5" ht="24" thickBot="1" x14ac:dyDescent="0.3">
      <c r="A310" s="76" t="s">
        <v>254</v>
      </c>
      <c r="B310" s="485"/>
      <c r="C310" s="486"/>
    </row>
    <row r="311" spans="1:5" ht="21" thickBot="1" x14ac:dyDescent="0.3">
      <c r="A311" s="53" t="s">
        <v>137</v>
      </c>
      <c r="B311" s="53" t="s">
        <v>3</v>
      </c>
      <c r="C311" s="53" t="s">
        <v>138</v>
      </c>
    </row>
    <row r="312" spans="1:5" ht="18" x14ac:dyDescent="0.25">
      <c r="A312" s="55">
        <f>5000+410</f>
        <v>5410</v>
      </c>
      <c r="B312" s="77">
        <v>120</v>
      </c>
      <c r="C312" s="57" t="s">
        <v>255</v>
      </c>
    </row>
    <row r="313" spans="1:5" ht="18" x14ac:dyDescent="0.25">
      <c r="A313" s="58"/>
      <c r="B313" s="56">
        <v>305</v>
      </c>
      <c r="C313" s="59" t="s">
        <v>7</v>
      </c>
    </row>
    <row r="314" spans="1:5" ht="18" x14ac:dyDescent="0.25">
      <c r="A314" s="58"/>
      <c r="B314" s="56">
        <v>210</v>
      </c>
      <c r="C314" s="59" t="s">
        <v>56</v>
      </c>
    </row>
    <row r="315" spans="1:5" ht="18" x14ac:dyDescent="0.25">
      <c r="A315" s="60"/>
      <c r="B315" s="56">
        <v>30</v>
      </c>
      <c r="C315" s="59" t="s">
        <v>256</v>
      </c>
    </row>
    <row r="316" spans="1:5" ht="18.75" thickBot="1" x14ac:dyDescent="0.3">
      <c r="A316" s="60"/>
      <c r="B316" s="56">
        <v>1930</v>
      </c>
      <c r="C316" s="62" t="s">
        <v>37</v>
      </c>
    </row>
    <row r="317" spans="1:5" ht="24" thickBot="1" x14ac:dyDescent="0.3">
      <c r="A317" s="66"/>
      <c r="B317" s="67"/>
      <c r="C317" s="64"/>
      <c r="D317" s="483" t="s">
        <v>43</v>
      </c>
      <c r="E317" s="484"/>
    </row>
    <row r="318" spans="1:5" ht="21" thickBot="1" x14ac:dyDescent="0.3">
      <c r="A318" s="68">
        <f>SUM(A312:A317)</f>
        <v>5410</v>
      </c>
      <c r="B318" s="69">
        <f>SUM(B312:B317)</f>
        <v>2595</v>
      </c>
      <c r="C318" s="70"/>
      <c r="D318" s="84" t="s">
        <v>94</v>
      </c>
      <c r="E318" s="85">
        <f>2043+2544-1251-2407</f>
        <v>929</v>
      </c>
    </row>
    <row r="319" spans="1:5" ht="19.5" thickBot="1" x14ac:dyDescent="0.3">
      <c r="A319" s="462" t="s">
        <v>139</v>
      </c>
      <c r="B319" s="463"/>
      <c r="C319" s="71" t="s">
        <v>75</v>
      </c>
      <c r="D319" s="82" t="s">
        <v>65</v>
      </c>
      <c r="E319" s="83">
        <f>900+45</f>
        <v>945</v>
      </c>
    </row>
    <row r="320" spans="1:5" ht="24" thickBot="1" x14ac:dyDescent="0.3">
      <c r="A320" s="464">
        <f>B318+A318</f>
        <v>8005</v>
      </c>
      <c r="B320" s="465"/>
      <c r="C320" s="81"/>
      <c r="D320" s="82"/>
      <c r="E320" s="83"/>
    </row>
    <row r="321" spans="1:5" ht="24" thickBot="1" x14ac:dyDescent="0.3">
      <c r="A321" s="466" t="s">
        <v>99</v>
      </c>
      <c r="B321" s="467"/>
      <c r="C321" s="78">
        <f>A322-C322</f>
        <v>8005</v>
      </c>
      <c r="D321" s="82"/>
      <c r="E321" s="83"/>
    </row>
    <row r="322" spans="1:5" ht="21" thickBot="1" x14ac:dyDescent="0.3">
      <c r="A322" s="481">
        <f>C320+A320</f>
        <v>8005</v>
      </c>
      <c r="B322" s="482"/>
      <c r="C322" s="79"/>
      <c r="D322" s="82" t="s">
        <v>164</v>
      </c>
      <c r="E322" s="83">
        <f>SUM(E319:E321)</f>
        <v>945</v>
      </c>
    </row>
    <row r="323" spans="1:5" ht="24" thickBot="1" x14ac:dyDescent="0.3">
      <c r="C323" s="314" t="str">
        <f>IF(C321&gt;0,"زيادة","عجز")</f>
        <v>زيادة</v>
      </c>
    </row>
  </sheetData>
  <mergeCells count="72">
    <mergeCell ref="A232:B232"/>
    <mergeCell ref="A194:B194"/>
    <mergeCell ref="B197:C197"/>
    <mergeCell ref="D201:E201"/>
    <mergeCell ref="A203:B203"/>
    <mergeCell ref="A204:B204"/>
    <mergeCell ref="A205:B205"/>
    <mergeCell ref="A206:B206"/>
    <mergeCell ref="B209:C209"/>
    <mergeCell ref="D227:E227"/>
    <mergeCell ref="A229:B229"/>
    <mergeCell ref="A230:B230"/>
    <mergeCell ref="A231:B231"/>
    <mergeCell ref="A192:B192"/>
    <mergeCell ref="A193:B193"/>
    <mergeCell ref="D141:E141"/>
    <mergeCell ref="A143:B143"/>
    <mergeCell ref="A144:B144"/>
    <mergeCell ref="A145:B145"/>
    <mergeCell ref="A146:B146"/>
    <mergeCell ref="B179:C179"/>
    <mergeCell ref="B149:C149"/>
    <mergeCell ref="D158:E158"/>
    <mergeCell ref="A160:B160"/>
    <mergeCell ref="A161:B161"/>
    <mergeCell ref="A162:B162"/>
    <mergeCell ref="D171:E171"/>
    <mergeCell ref="A173:B173"/>
    <mergeCell ref="A174:B174"/>
    <mergeCell ref="B134:C134"/>
    <mergeCell ref="A163:B163"/>
    <mergeCell ref="B166:C166"/>
    <mergeCell ref="D189:E189"/>
    <mergeCell ref="A191:B191"/>
    <mergeCell ref="A175:B175"/>
    <mergeCell ref="A176:B176"/>
    <mergeCell ref="A244:B244"/>
    <mergeCell ref="A245:B245"/>
    <mergeCell ref="B247:C247"/>
    <mergeCell ref="D250:E250"/>
    <mergeCell ref="B235:C235"/>
    <mergeCell ref="D240:E240"/>
    <mergeCell ref="A242:B242"/>
    <mergeCell ref="A243:B243"/>
    <mergeCell ref="A252:B252"/>
    <mergeCell ref="A253:B253"/>
    <mergeCell ref="A254:B254"/>
    <mergeCell ref="A255:B255"/>
    <mergeCell ref="B258:C258"/>
    <mergeCell ref="D266:E266"/>
    <mergeCell ref="A268:B268"/>
    <mergeCell ref="A269:B269"/>
    <mergeCell ref="A270:B270"/>
    <mergeCell ref="A271:B271"/>
    <mergeCell ref="B274:C274"/>
    <mergeCell ref="D283:E283"/>
    <mergeCell ref="A285:B285"/>
    <mergeCell ref="A286:B286"/>
    <mergeCell ref="A287:B287"/>
    <mergeCell ref="D317:E317"/>
    <mergeCell ref="A288:B288"/>
    <mergeCell ref="B291:C291"/>
    <mergeCell ref="D302:E302"/>
    <mergeCell ref="A304:B304"/>
    <mergeCell ref="A305:B305"/>
    <mergeCell ref="A319:B319"/>
    <mergeCell ref="A320:B320"/>
    <mergeCell ref="A321:B321"/>
    <mergeCell ref="A322:B322"/>
    <mergeCell ref="A306:B306"/>
    <mergeCell ref="A307:B307"/>
    <mergeCell ref="B310:C310"/>
  </mergeCells>
  <conditionalFormatting sqref="C147">
    <cfRule type="expression" dxfId="193" priority="1">
      <formula>C147="عجز"</formula>
    </cfRule>
    <cfRule type="expression" dxfId="192" priority="2">
      <formula>C147="زيادة"</formula>
    </cfRule>
  </conditionalFormatting>
  <conditionalFormatting sqref="C164">
    <cfRule type="expression" dxfId="191" priority="3">
      <formula>C164="عجز"</formula>
    </cfRule>
    <cfRule type="expression" dxfId="190" priority="4">
      <formula>C164="زيادة"</formula>
    </cfRule>
  </conditionalFormatting>
  <conditionalFormatting sqref="C177">
    <cfRule type="expression" dxfId="189" priority="5">
      <formula>C177="عجز"</formula>
    </cfRule>
    <cfRule type="expression" dxfId="188" priority="6">
      <formula>C177="زيادة"</formula>
    </cfRule>
  </conditionalFormatting>
  <conditionalFormatting sqref="C195">
    <cfRule type="expression" dxfId="187" priority="7">
      <formula>C195="عجز"</formula>
    </cfRule>
    <cfRule type="expression" dxfId="186" priority="8">
      <formula>C195="زيادة"</formula>
    </cfRule>
  </conditionalFormatting>
  <conditionalFormatting sqref="C207">
    <cfRule type="expression" dxfId="185" priority="23">
      <formula>C207="عجز"</formula>
    </cfRule>
    <cfRule type="expression" dxfId="184" priority="24">
      <formula>C207="زيادة"</formula>
    </cfRule>
  </conditionalFormatting>
  <conditionalFormatting sqref="C233">
    <cfRule type="expression" dxfId="183" priority="21">
      <formula>C233="عجز"</formula>
    </cfRule>
    <cfRule type="expression" dxfId="182" priority="22">
      <formula>C233="زيادة"</formula>
    </cfRule>
  </conditionalFormatting>
  <conditionalFormatting sqref="C246">
    <cfRule type="expression" dxfId="181" priority="19">
      <formula>C246="عجز"</formula>
    </cfRule>
    <cfRule type="expression" dxfId="180" priority="20">
      <formula>C246="زيادة"</formula>
    </cfRule>
  </conditionalFormatting>
  <conditionalFormatting sqref="C256">
    <cfRule type="expression" dxfId="179" priority="17">
      <formula>C256="عجز"</formula>
    </cfRule>
    <cfRule type="expression" dxfId="178" priority="18">
      <formula>C256="زيادة"</formula>
    </cfRule>
  </conditionalFormatting>
  <conditionalFormatting sqref="C272">
    <cfRule type="expression" dxfId="177" priority="15">
      <formula>C272="عجز"</formula>
    </cfRule>
    <cfRule type="expression" dxfId="176" priority="16">
      <formula>C272="زيادة"</formula>
    </cfRule>
  </conditionalFormatting>
  <conditionalFormatting sqref="C289">
    <cfRule type="expression" dxfId="175" priority="13">
      <formula>C289="عجز"</formula>
    </cfRule>
    <cfRule type="expression" dxfId="174" priority="14">
      <formula>C289="زيادة"</formula>
    </cfRule>
  </conditionalFormatting>
  <conditionalFormatting sqref="C308">
    <cfRule type="expression" dxfId="173" priority="11">
      <formula>C308="عجز"</formula>
    </cfRule>
    <cfRule type="expression" dxfId="172" priority="12">
      <formula>C308="زيادة"</formula>
    </cfRule>
  </conditionalFormatting>
  <conditionalFormatting sqref="C323">
    <cfRule type="expression" dxfId="171" priority="9">
      <formula>C323="عجز"</formula>
    </cfRule>
    <cfRule type="expression" dxfId="170" priority="10">
      <formula>C323="زيادة"</formula>
    </cfRule>
  </conditionalFormatting>
  <pageMargins left="0.7" right="0.7" top="0.75" bottom="0.75" header="0.3" footer="0.3"/>
  <pageSetup paperSize="260" orientation="portrait" horizontalDpi="203" verticalDpi="203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43CBA4E-0AA8-4767-8AC5-6282C8FD9A8E}">
          <x14:formula1>
            <xm:f>data!$A$57:$A$70</xm:f>
          </x14:formula1>
          <xm:sqref>C122:C128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158EA-7BEE-4A3E-B1CB-4A44877E9894}">
  <sheetPr codeName="Sheet15"/>
  <dimension ref="A1:G417"/>
  <sheetViews>
    <sheetView rightToLeft="1" topLeftCell="A53" zoomScale="115" zoomScaleNormal="115" workbookViewId="0">
      <selection activeCell="C53" sqref="C53"/>
    </sheetView>
  </sheetViews>
  <sheetFormatPr defaultRowHeight="15" x14ac:dyDescent="0.25"/>
  <cols>
    <col min="1" max="1" width="32.5703125" style="9" bestFit="1" customWidth="1"/>
    <col min="2" max="2" width="15.140625" style="10" bestFit="1" customWidth="1"/>
    <col min="3" max="3" width="35.85546875" bestFit="1" customWidth="1"/>
    <col min="4" max="4" width="20.28515625" bestFit="1" customWidth="1"/>
    <col min="5" max="5" width="14.7109375" customWidth="1"/>
    <col min="6" max="6" width="6.7109375" bestFit="1" customWidth="1"/>
    <col min="7" max="7" width="14.28515625" customWidth="1"/>
    <col min="8" max="8" width="14.5703125" customWidth="1"/>
    <col min="9" max="9" width="10.7109375" customWidth="1"/>
  </cols>
  <sheetData>
    <row r="1" spans="1:7" ht="18.75" x14ac:dyDescent="0.3">
      <c r="A1" s="1" t="s">
        <v>0</v>
      </c>
      <c r="B1" s="2">
        <v>45111</v>
      </c>
      <c r="C1" s="3"/>
      <c r="D1" s="3"/>
    </row>
    <row r="2" spans="1:7" x14ac:dyDescent="0.25">
      <c r="A2" s="4" t="s">
        <v>1</v>
      </c>
      <c r="B2" s="5" t="s">
        <v>2</v>
      </c>
      <c r="C2" s="5" t="s">
        <v>3</v>
      </c>
      <c r="D2" s="6" t="s">
        <v>4</v>
      </c>
      <c r="E2" s="5" t="s">
        <v>5</v>
      </c>
    </row>
    <row r="3" spans="1:7" x14ac:dyDescent="0.25">
      <c r="A3" s="20" t="s">
        <v>48</v>
      </c>
      <c r="B3" s="21">
        <f>40+990+2645+1960+5000+20000+1410+5200</f>
        <v>37245</v>
      </c>
      <c r="C3" s="20" t="s">
        <v>12</v>
      </c>
      <c r="D3" s="21">
        <f>1100+1545</f>
        <v>2645</v>
      </c>
      <c r="E3" s="43"/>
    </row>
    <row r="4" spans="1:7" x14ac:dyDescent="0.25">
      <c r="A4" s="20" t="s">
        <v>35</v>
      </c>
      <c r="B4" s="32">
        <v>50</v>
      </c>
      <c r="C4" s="20" t="s">
        <v>262</v>
      </c>
      <c r="D4" s="21">
        <v>40</v>
      </c>
      <c r="E4" s="43"/>
      <c r="G4" s="97"/>
    </row>
    <row r="5" spans="1:7" x14ac:dyDescent="0.25">
      <c r="A5" s="41" t="s">
        <v>9</v>
      </c>
      <c r="B5" s="32">
        <v>16638</v>
      </c>
      <c r="C5" s="20" t="s">
        <v>263</v>
      </c>
      <c r="D5" s="21">
        <v>1960</v>
      </c>
      <c r="E5" s="43"/>
      <c r="G5" s="97"/>
    </row>
    <row r="6" spans="1:7" x14ac:dyDescent="0.25">
      <c r="A6" s="41" t="s">
        <v>28</v>
      </c>
      <c r="B6" s="32">
        <v>1078</v>
      </c>
      <c r="C6" s="20" t="s">
        <v>78</v>
      </c>
      <c r="D6" s="21">
        <v>400</v>
      </c>
      <c r="E6" s="43"/>
      <c r="G6" s="97"/>
    </row>
    <row r="7" spans="1:7" x14ac:dyDescent="0.25">
      <c r="A7" s="41" t="s">
        <v>80</v>
      </c>
      <c r="B7" s="32">
        <v>14237</v>
      </c>
      <c r="C7" s="20" t="s">
        <v>33</v>
      </c>
      <c r="D7" s="21">
        <v>50</v>
      </c>
      <c r="E7" s="43"/>
      <c r="G7" s="97"/>
    </row>
    <row r="8" spans="1:7" x14ac:dyDescent="0.25">
      <c r="A8" s="20" t="s">
        <v>81</v>
      </c>
      <c r="B8" s="21">
        <v>932</v>
      </c>
      <c r="C8" s="90" t="s">
        <v>266</v>
      </c>
      <c r="D8" s="21">
        <v>8500</v>
      </c>
      <c r="E8" s="42"/>
      <c r="G8" s="97"/>
    </row>
    <row r="9" spans="1:7" x14ac:dyDescent="0.25">
      <c r="A9" s="20" t="s">
        <v>273</v>
      </c>
      <c r="B9" s="21">
        <v>3500</v>
      </c>
      <c r="C9" s="90" t="s">
        <v>73</v>
      </c>
      <c r="D9" s="21">
        <v>85</v>
      </c>
      <c r="E9" s="42"/>
      <c r="G9" s="97"/>
    </row>
    <row r="10" spans="1:7" x14ac:dyDescent="0.25">
      <c r="A10" s="20" t="s">
        <v>274</v>
      </c>
      <c r="B10" s="21"/>
      <c r="C10" s="90" t="s">
        <v>10</v>
      </c>
      <c r="D10" s="21">
        <v>85</v>
      </c>
      <c r="E10" s="42"/>
      <c r="G10" s="97"/>
    </row>
    <row r="11" spans="1:7" x14ac:dyDescent="0.25">
      <c r="A11" s="20" t="s">
        <v>277</v>
      </c>
      <c r="B11" s="21">
        <v>10</v>
      </c>
      <c r="C11" s="90" t="s">
        <v>265</v>
      </c>
      <c r="D11" s="21">
        <v>140</v>
      </c>
      <c r="E11" s="42"/>
      <c r="G11" s="97"/>
    </row>
    <row r="12" spans="1:7" x14ac:dyDescent="0.25">
      <c r="A12" s="20" t="s">
        <v>279</v>
      </c>
      <c r="B12" s="21">
        <v>60</v>
      </c>
      <c r="C12" s="20" t="s">
        <v>267</v>
      </c>
      <c r="D12" s="21">
        <v>2443</v>
      </c>
      <c r="E12" s="89"/>
      <c r="G12" s="97"/>
    </row>
    <row r="13" spans="1:7" x14ac:dyDescent="0.25">
      <c r="A13" s="20" t="s">
        <v>6</v>
      </c>
      <c r="B13" s="96">
        <v>6303</v>
      </c>
      <c r="C13" s="20" t="s">
        <v>268</v>
      </c>
      <c r="D13" s="96">
        <v>1515</v>
      </c>
      <c r="E13" s="89"/>
      <c r="G13" s="97"/>
    </row>
    <row r="14" spans="1:7" x14ac:dyDescent="0.25">
      <c r="A14" s="20" t="s">
        <v>93</v>
      </c>
      <c r="B14" s="96">
        <v>437</v>
      </c>
      <c r="C14" s="20" t="s">
        <v>269</v>
      </c>
      <c r="D14" s="96">
        <v>720</v>
      </c>
      <c r="E14" s="89"/>
      <c r="G14" s="97"/>
    </row>
    <row r="15" spans="1:7" x14ac:dyDescent="0.25">
      <c r="A15" s="20" t="s">
        <v>88</v>
      </c>
      <c r="B15" s="96">
        <v>13373</v>
      </c>
      <c r="C15" s="20" t="s">
        <v>37</v>
      </c>
      <c r="D15" s="96">
        <v>283</v>
      </c>
      <c r="E15" s="89"/>
      <c r="G15" s="97"/>
    </row>
    <row r="16" spans="1:7" x14ac:dyDescent="0.25">
      <c r="A16" s="20" t="s">
        <v>216</v>
      </c>
      <c r="B16" s="96">
        <v>365</v>
      </c>
      <c r="C16" s="20" t="s">
        <v>270</v>
      </c>
      <c r="D16" s="96">
        <v>4420</v>
      </c>
      <c r="E16" s="42"/>
      <c r="G16" s="97"/>
    </row>
    <row r="17" spans="1:7" x14ac:dyDescent="0.25">
      <c r="A17" s="20" t="s">
        <v>19</v>
      </c>
      <c r="B17" s="32">
        <v>15122</v>
      </c>
      <c r="C17" s="20" t="s">
        <v>272</v>
      </c>
      <c r="D17" s="96">
        <v>8</v>
      </c>
      <c r="E17" s="42"/>
      <c r="G17" s="97"/>
    </row>
    <row r="18" spans="1:7" x14ac:dyDescent="0.25">
      <c r="A18" s="20" t="s">
        <v>27</v>
      </c>
      <c r="B18" s="32">
        <v>1040</v>
      </c>
      <c r="C18" s="20" t="s">
        <v>34</v>
      </c>
      <c r="D18" s="96">
        <v>450</v>
      </c>
      <c r="E18" s="42"/>
      <c r="G18" s="97"/>
    </row>
    <row r="19" spans="1:7" x14ac:dyDescent="0.25">
      <c r="A19" s="20" t="s">
        <v>305</v>
      </c>
      <c r="B19" s="32">
        <v>9160</v>
      </c>
      <c r="C19" s="20" t="s">
        <v>8</v>
      </c>
      <c r="D19" s="21">
        <v>270</v>
      </c>
      <c r="E19" s="42"/>
      <c r="G19" s="97"/>
    </row>
    <row r="20" spans="1:7" x14ac:dyDescent="0.25">
      <c r="A20" s="20" t="s">
        <v>233</v>
      </c>
      <c r="B20" s="32">
        <v>1583</v>
      </c>
      <c r="C20" s="20" t="s">
        <v>73</v>
      </c>
      <c r="D20" s="21">
        <v>44</v>
      </c>
      <c r="E20" s="42"/>
      <c r="G20" s="97"/>
    </row>
    <row r="21" spans="1:7" x14ac:dyDescent="0.25">
      <c r="A21" s="20"/>
      <c r="B21" s="32"/>
      <c r="C21" s="20" t="s">
        <v>275</v>
      </c>
      <c r="D21" s="21">
        <v>1925</v>
      </c>
      <c r="E21" s="42"/>
      <c r="G21" s="97"/>
    </row>
    <row r="22" spans="1:7" ht="15.75" x14ac:dyDescent="0.25">
      <c r="A22" s="20"/>
      <c r="B22" s="32"/>
      <c r="C22" s="20" t="s">
        <v>276</v>
      </c>
      <c r="D22" s="21">
        <v>1120</v>
      </c>
      <c r="E22" s="42"/>
      <c r="F22" s="15"/>
      <c r="G22" s="97"/>
    </row>
    <row r="23" spans="1:7" ht="15.75" x14ac:dyDescent="0.25">
      <c r="A23" s="20"/>
      <c r="B23" s="32"/>
      <c r="C23" s="20" t="s">
        <v>38</v>
      </c>
      <c r="D23" s="21">
        <v>120</v>
      </c>
      <c r="E23" s="42"/>
      <c r="F23" s="15"/>
      <c r="G23" s="97"/>
    </row>
    <row r="24" spans="1:7" ht="15.75" x14ac:dyDescent="0.25">
      <c r="A24" s="20"/>
      <c r="B24" s="32"/>
      <c r="C24" s="20" t="s">
        <v>13</v>
      </c>
      <c r="D24" s="21">
        <v>50</v>
      </c>
      <c r="E24" s="42"/>
      <c r="F24" s="15"/>
      <c r="G24" s="97"/>
    </row>
    <row r="25" spans="1:7" ht="15.75" x14ac:dyDescent="0.25">
      <c r="A25" s="20"/>
      <c r="B25" s="32"/>
      <c r="C25" s="20" t="s">
        <v>278</v>
      </c>
      <c r="D25" s="21">
        <f>50*8</f>
        <v>400</v>
      </c>
      <c r="E25" s="42"/>
      <c r="F25" s="15"/>
      <c r="G25" s="97"/>
    </row>
    <row r="26" spans="1:7" ht="15.75" x14ac:dyDescent="0.25">
      <c r="A26" s="20"/>
      <c r="B26" s="32"/>
      <c r="C26" s="20" t="s">
        <v>280</v>
      </c>
      <c r="D26" s="21">
        <v>4090</v>
      </c>
      <c r="E26" s="42"/>
      <c r="F26" s="15"/>
      <c r="G26" s="97"/>
    </row>
    <row r="27" spans="1:7" ht="15.75" x14ac:dyDescent="0.25">
      <c r="A27" s="20"/>
      <c r="B27" s="32"/>
      <c r="C27" s="20" t="s">
        <v>281</v>
      </c>
      <c r="D27" s="21">
        <v>4650</v>
      </c>
      <c r="E27" s="42"/>
      <c r="F27" s="15"/>
      <c r="G27" s="97"/>
    </row>
    <row r="28" spans="1:7" ht="15.75" x14ac:dyDescent="0.25">
      <c r="A28" s="20"/>
      <c r="B28" s="32"/>
      <c r="C28" s="20" t="s">
        <v>282</v>
      </c>
      <c r="D28" s="21">
        <f>680</f>
        <v>680</v>
      </c>
      <c r="E28" s="42"/>
      <c r="F28" s="15"/>
      <c r="G28" s="97"/>
    </row>
    <row r="29" spans="1:7" ht="15.75" x14ac:dyDescent="0.25">
      <c r="A29" s="20"/>
      <c r="B29" s="32"/>
      <c r="C29" s="20" t="s">
        <v>283</v>
      </c>
      <c r="D29" s="21">
        <v>350</v>
      </c>
      <c r="E29" s="42"/>
      <c r="F29" s="15"/>
      <c r="G29" s="97"/>
    </row>
    <row r="30" spans="1:7" ht="15.75" x14ac:dyDescent="0.25">
      <c r="A30" s="20"/>
      <c r="B30" s="32"/>
      <c r="C30" s="20" t="s">
        <v>284</v>
      </c>
      <c r="D30" s="21">
        <v>115</v>
      </c>
      <c r="E30" s="42"/>
      <c r="F30" s="15"/>
      <c r="G30" s="97"/>
    </row>
    <row r="31" spans="1:7" ht="15.75" x14ac:dyDescent="0.25">
      <c r="A31" s="20"/>
      <c r="B31" s="32"/>
      <c r="C31" s="20" t="s">
        <v>7</v>
      </c>
      <c r="D31" s="21">
        <v>290</v>
      </c>
      <c r="E31" s="42"/>
      <c r="F31" s="15"/>
      <c r="G31" s="97"/>
    </row>
    <row r="32" spans="1:7" ht="15.75" x14ac:dyDescent="0.25">
      <c r="A32" s="20"/>
      <c r="B32" s="32"/>
      <c r="C32" s="20" t="s">
        <v>285</v>
      </c>
      <c r="D32" s="21">
        <v>2298</v>
      </c>
      <c r="E32" s="42"/>
      <c r="F32" s="15"/>
      <c r="G32" s="97"/>
    </row>
    <row r="33" spans="1:7" ht="15.75" x14ac:dyDescent="0.25">
      <c r="A33" s="20"/>
      <c r="B33" s="32"/>
      <c r="C33" s="7" t="s">
        <v>86</v>
      </c>
      <c r="D33" s="21">
        <v>270</v>
      </c>
      <c r="E33" s="42"/>
      <c r="F33" s="15"/>
      <c r="G33" s="97"/>
    </row>
    <row r="34" spans="1:7" ht="15.75" x14ac:dyDescent="0.25">
      <c r="A34" s="20"/>
      <c r="B34" s="32"/>
      <c r="C34" s="20" t="s">
        <v>286</v>
      </c>
      <c r="D34" s="21">
        <v>2640</v>
      </c>
      <c r="E34" s="42"/>
      <c r="F34" s="15"/>
      <c r="G34" s="97"/>
    </row>
    <row r="35" spans="1:7" ht="15.75" x14ac:dyDescent="0.25">
      <c r="A35" s="20"/>
      <c r="B35" s="32"/>
      <c r="C35" s="20" t="s">
        <v>210</v>
      </c>
      <c r="D35" s="32">
        <v>180</v>
      </c>
      <c r="E35" s="42"/>
      <c r="F35" s="15"/>
    </row>
    <row r="36" spans="1:7" ht="15.75" x14ac:dyDescent="0.25">
      <c r="A36" s="20"/>
      <c r="B36" s="32"/>
      <c r="C36" s="20" t="s">
        <v>9</v>
      </c>
      <c r="D36" s="32">
        <v>100</v>
      </c>
      <c r="E36" s="42"/>
      <c r="F36" s="15"/>
    </row>
    <row r="37" spans="1:7" ht="15.75" x14ac:dyDescent="0.25">
      <c r="A37" s="20"/>
      <c r="B37" s="32"/>
      <c r="C37" s="20" t="s">
        <v>288</v>
      </c>
      <c r="D37" s="32">
        <v>100</v>
      </c>
      <c r="E37" s="42"/>
      <c r="F37" s="15"/>
    </row>
    <row r="38" spans="1:7" ht="15.75" x14ac:dyDescent="0.25">
      <c r="A38" s="20"/>
      <c r="B38" s="32"/>
      <c r="C38" s="20" t="s">
        <v>212</v>
      </c>
      <c r="D38" s="32">
        <v>8</v>
      </c>
      <c r="E38" s="42"/>
      <c r="F38" s="15"/>
    </row>
    <row r="39" spans="1:7" ht="15.75" x14ac:dyDescent="0.25">
      <c r="A39" s="20"/>
      <c r="B39" s="32"/>
      <c r="C39" s="20" t="s">
        <v>34</v>
      </c>
      <c r="D39" s="32">
        <v>130</v>
      </c>
      <c r="E39" s="42"/>
      <c r="F39" s="15"/>
    </row>
    <row r="40" spans="1:7" ht="15.75" x14ac:dyDescent="0.25">
      <c r="A40" s="20"/>
      <c r="B40" s="32"/>
      <c r="C40" s="20" t="s">
        <v>289</v>
      </c>
      <c r="D40" s="32">
        <v>2120</v>
      </c>
      <c r="E40" s="42"/>
      <c r="F40" s="15"/>
    </row>
    <row r="41" spans="1:7" ht="15.75" x14ac:dyDescent="0.25">
      <c r="A41" s="20"/>
      <c r="B41" s="32"/>
      <c r="C41" s="20" t="s">
        <v>255</v>
      </c>
      <c r="D41" s="32">
        <v>500</v>
      </c>
      <c r="E41" s="42"/>
      <c r="F41" s="15"/>
    </row>
    <row r="42" spans="1:7" ht="15.75" x14ac:dyDescent="0.25">
      <c r="A42" s="20"/>
      <c r="B42" s="32"/>
      <c r="C42" s="20" t="s">
        <v>290</v>
      </c>
      <c r="D42" s="21">
        <v>80</v>
      </c>
      <c r="E42" s="42"/>
      <c r="F42" s="15"/>
    </row>
    <row r="43" spans="1:7" ht="15.75" x14ac:dyDescent="0.25">
      <c r="A43" s="20"/>
      <c r="B43" s="32"/>
      <c r="C43" s="20" t="s">
        <v>43</v>
      </c>
      <c r="D43" s="21">
        <v>5000</v>
      </c>
      <c r="E43" s="42"/>
      <c r="F43" s="15"/>
    </row>
    <row r="44" spans="1:7" ht="15.75" x14ac:dyDescent="0.25">
      <c r="A44" s="20"/>
      <c r="B44" s="32"/>
      <c r="C44" s="20" t="s">
        <v>291</v>
      </c>
      <c r="D44" s="21">
        <v>340</v>
      </c>
      <c r="E44" s="42"/>
      <c r="F44" s="15"/>
    </row>
    <row r="45" spans="1:7" ht="15.75" x14ac:dyDescent="0.25">
      <c r="A45" s="20"/>
      <c r="B45" s="32"/>
      <c r="C45" s="20" t="s">
        <v>16</v>
      </c>
      <c r="D45" s="21">
        <v>14995</v>
      </c>
      <c r="E45" s="42"/>
      <c r="F45" s="15"/>
    </row>
    <row r="46" spans="1:7" ht="15.75" x14ac:dyDescent="0.25">
      <c r="A46" s="20"/>
      <c r="B46" s="32"/>
      <c r="C46" s="20" t="s">
        <v>292</v>
      </c>
      <c r="D46" s="21">
        <v>6940</v>
      </c>
      <c r="E46" s="42"/>
      <c r="F46" s="15"/>
    </row>
    <row r="47" spans="1:7" ht="15.75" x14ac:dyDescent="0.25">
      <c r="A47" s="20"/>
      <c r="B47" s="32"/>
      <c r="C47" s="98" t="s">
        <v>293</v>
      </c>
      <c r="D47" s="21">
        <v>2080</v>
      </c>
      <c r="E47" s="42"/>
      <c r="F47" s="15"/>
    </row>
    <row r="48" spans="1:7" ht="15.75" x14ac:dyDescent="0.25">
      <c r="A48" s="20"/>
      <c r="B48" s="32"/>
      <c r="C48" s="20" t="s">
        <v>294</v>
      </c>
      <c r="D48" s="21">
        <v>1410</v>
      </c>
      <c r="E48" s="42"/>
      <c r="F48" s="15"/>
    </row>
    <row r="49" spans="1:6" ht="15.75" x14ac:dyDescent="0.25">
      <c r="A49" s="20"/>
      <c r="B49" s="32"/>
      <c r="C49" s="20" t="s">
        <v>17</v>
      </c>
      <c r="D49" s="21">
        <v>2650</v>
      </c>
      <c r="E49" s="42"/>
      <c r="F49" s="15"/>
    </row>
    <row r="50" spans="1:6" ht="15.75" x14ac:dyDescent="0.25">
      <c r="A50" s="20"/>
      <c r="B50" s="32"/>
      <c r="C50" s="20" t="s">
        <v>295</v>
      </c>
      <c r="D50" s="21">
        <v>200</v>
      </c>
      <c r="E50" s="42"/>
      <c r="F50" s="15"/>
    </row>
    <row r="51" spans="1:6" ht="15.75" x14ac:dyDescent="0.25">
      <c r="A51" s="20"/>
      <c r="B51" s="32"/>
      <c r="C51" s="20" t="s">
        <v>298</v>
      </c>
      <c r="D51" s="21">
        <v>7200</v>
      </c>
      <c r="E51" s="42"/>
      <c r="F51" s="15"/>
    </row>
    <row r="52" spans="1:6" ht="15.75" x14ac:dyDescent="0.25">
      <c r="A52" s="20"/>
      <c r="B52" s="32"/>
      <c r="C52" s="20" t="s">
        <v>223</v>
      </c>
      <c r="D52" s="21">
        <v>85</v>
      </c>
      <c r="E52" s="42"/>
      <c r="F52" s="15"/>
    </row>
    <row r="53" spans="1:6" x14ac:dyDescent="0.25">
      <c r="A53" s="20"/>
      <c r="B53" s="32"/>
      <c r="C53" s="20" t="s">
        <v>299</v>
      </c>
      <c r="D53" s="21">
        <v>4000</v>
      </c>
      <c r="E53" s="42"/>
    </row>
    <row r="54" spans="1:6" x14ac:dyDescent="0.25">
      <c r="A54" s="20"/>
      <c r="B54" s="32"/>
      <c r="C54" s="20" t="s">
        <v>301</v>
      </c>
      <c r="D54" s="32">
        <v>250</v>
      </c>
      <c r="E54" s="42"/>
    </row>
    <row r="55" spans="1:6" x14ac:dyDescent="0.25">
      <c r="A55" s="20"/>
      <c r="B55" s="32"/>
      <c r="C55" s="20" t="s">
        <v>302</v>
      </c>
      <c r="D55" s="32">
        <v>145</v>
      </c>
      <c r="E55" s="42"/>
    </row>
    <row r="56" spans="1:6" x14ac:dyDescent="0.25">
      <c r="A56" s="20"/>
      <c r="B56" s="32"/>
      <c r="C56" s="20" t="s">
        <v>27</v>
      </c>
      <c r="D56" s="32">
        <v>95</v>
      </c>
      <c r="E56" s="42"/>
    </row>
    <row r="57" spans="1:6" x14ac:dyDescent="0.25">
      <c r="A57" s="20"/>
      <c r="B57" s="32"/>
      <c r="C57" s="20" t="s">
        <v>14</v>
      </c>
      <c r="D57" s="32">
        <v>2090</v>
      </c>
      <c r="E57" s="42"/>
    </row>
    <row r="58" spans="1:6" x14ac:dyDescent="0.25">
      <c r="A58" s="20"/>
      <c r="B58" s="32"/>
      <c r="C58" s="20"/>
      <c r="D58" s="21"/>
      <c r="E58" s="42"/>
    </row>
    <row r="59" spans="1:6" x14ac:dyDescent="0.25">
      <c r="A59" s="20"/>
      <c r="B59" s="32"/>
      <c r="C59" s="20" t="s">
        <v>307</v>
      </c>
      <c r="D59" s="32">
        <v>206</v>
      </c>
      <c r="E59" s="42"/>
    </row>
    <row r="60" spans="1:6" x14ac:dyDescent="0.25">
      <c r="A60" s="20"/>
      <c r="B60" s="32"/>
      <c r="C60" s="20" t="s">
        <v>308</v>
      </c>
      <c r="D60" s="32">
        <v>10000</v>
      </c>
      <c r="E60" s="42"/>
    </row>
    <row r="61" spans="1:6" x14ac:dyDescent="0.25">
      <c r="A61" s="20"/>
      <c r="B61" s="32"/>
      <c r="C61" s="20" t="s">
        <v>26</v>
      </c>
      <c r="D61" s="32">
        <v>75</v>
      </c>
      <c r="E61" s="42"/>
    </row>
    <row r="62" spans="1:6" x14ac:dyDescent="0.25">
      <c r="A62" s="20"/>
      <c r="B62" s="32"/>
      <c r="C62" s="20" t="s">
        <v>367</v>
      </c>
      <c r="D62" s="21"/>
      <c r="E62" s="42"/>
    </row>
    <row r="63" spans="1:6" x14ac:dyDescent="0.25">
      <c r="A63" s="20"/>
      <c r="B63" s="32"/>
      <c r="C63" s="20" t="s">
        <v>377</v>
      </c>
      <c r="D63" s="32">
        <v>244</v>
      </c>
      <c r="E63" s="42"/>
    </row>
    <row r="64" spans="1:6" ht="15.75" x14ac:dyDescent="0.25">
      <c r="A64" s="20"/>
      <c r="B64" s="32"/>
      <c r="C64" s="20" t="s">
        <v>303</v>
      </c>
      <c r="D64" s="30">
        <v>500</v>
      </c>
      <c r="E64" s="42"/>
    </row>
    <row r="65" spans="1:5" x14ac:dyDescent="0.25">
      <c r="A65" s="20"/>
      <c r="B65" s="32"/>
      <c r="C65" s="20" t="s">
        <v>296</v>
      </c>
      <c r="D65" s="32">
        <v>300</v>
      </c>
      <c r="E65" s="42"/>
    </row>
    <row r="66" spans="1:5" x14ac:dyDescent="0.25">
      <c r="A66" s="20"/>
      <c r="B66" s="32"/>
      <c r="C66" s="20" t="s">
        <v>297</v>
      </c>
      <c r="D66" s="21">
        <v>9500</v>
      </c>
      <c r="E66" s="42"/>
    </row>
    <row r="67" spans="1:5" ht="23.25" customHeight="1" x14ac:dyDescent="0.25">
      <c r="A67" s="20"/>
      <c r="B67" s="32"/>
      <c r="C67" s="20" t="s">
        <v>296</v>
      </c>
      <c r="D67" s="21">
        <v>400</v>
      </c>
      <c r="E67" s="42"/>
    </row>
    <row r="68" spans="1:5" x14ac:dyDescent="0.25">
      <c r="A68" s="20"/>
      <c r="B68" s="32"/>
      <c r="C68" s="20" t="s">
        <v>27</v>
      </c>
      <c r="D68" s="21">
        <v>345</v>
      </c>
      <c r="E68" s="42"/>
    </row>
    <row r="69" spans="1:5" x14ac:dyDescent="0.25">
      <c r="A69" s="20"/>
      <c r="B69" s="32"/>
      <c r="C69" s="20" t="s">
        <v>27</v>
      </c>
      <c r="D69" s="21">
        <v>990</v>
      </c>
      <c r="E69" s="42"/>
    </row>
    <row r="70" spans="1:5" x14ac:dyDescent="0.25">
      <c r="A70" s="20"/>
      <c r="B70" s="32"/>
      <c r="C70" s="20"/>
      <c r="D70" s="32"/>
      <c r="E70" s="42"/>
    </row>
    <row r="71" spans="1:5" x14ac:dyDescent="0.25">
      <c r="A71" s="20"/>
      <c r="B71" s="32"/>
      <c r="C71" s="20"/>
      <c r="D71" s="32"/>
      <c r="E71" s="42"/>
    </row>
    <row r="72" spans="1:5" x14ac:dyDescent="0.25">
      <c r="A72" s="20"/>
      <c r="B72" s="32"/>
      <c r="C72" s="20"/>
      <c r="D72" s="32"/>
      <c r="E72" s="42"/>
    </row>
    <row r="73" spans="1:5" x14ac:dyDescent="0.25">
      <c r="A73" s="20"/>
      <c r="B73" s="32"/>
      <c r="C73" s="21"/>
      <c r="D73" s="21"/>
      <c r="E73" s="45"/>
    </row>
    <row r="74" spans="1:5" x14ac:dyDescent="0.25">
      <c r="A74" s="20"/>
      <c r="B74" s="32"/>
      <c r="C74" s="212"/>
      <c r="D74" s="209"/>
      <c r="E74" s="45"/>
    </row>
    <row r="75" spans="1:5" x14ac:dyDescent="0.25">
      <c r="A75" s="20"/>
      <c r="B75" s="21"/>
      <c r="C75" s="212"/>
      <c r="D75" s="209"/>
      <c r="E75" s="42"/>
    </row>
    <row r="76" spans="1:5" x14ac:dyDescent="0.25">
      <c r="A76" s="20"/>
      <c r="B76" s="21"/>
      <c r="C76" s="212"/>
      <c r="D76" s="209"/>
      <c r="E76" s="42"/>
    </row>
    <row r="77" spans="1:5" x14ac:dyDescent="0.25">
      <c r="A77" s="20"/>
      <c r="B77" s="21"/>
      <c r="C77" s="212"/>
      <c r="D77" s="209"/>
      <c r="E77" s="42"/>
    </row>
    <row r="78" spans="1:5" x14ac:dyDescent="0.25">
      <c r="A78" s="20"/>
      <c r="B78" s="21"/>
      <c r="C78" s="212"/>
      <c r="D78" s="209"/>
      <c r="E78" s="45"/>
    </row>
    <row r="79" spans="1:5" x14ac:dyDescent="0.25">
      <c r="A79" s="20"/>
      <c r="B79" s="21"/>
      <c r="C79" s="212"/>
      <c r="D79" s="209"/>
      <c r="E79" s="45"/>
    </row>
    <row r="80" spans="1:5" x14ac:dyDescent="0.25">
      <c r="A80" s="20"/>
      <c r="B80" s="21"/>
      <c r="C80" s="205"/>
      <c r="D80" s="210"/>
      <c r="E80" s="45"/>
    </row>
    <row r="81" spans="1:5" ht="19.5" thickBot="1" x14ac:dyDescent="0.35">
      <c r="A81" s="17"/>
      <c r="B81" s="12">
        <f>SUBTOTAL(109,Table472023[Column1])</f>
        <v>121133</v>
      </c>
      <c r="C81" s="13"/>
      <c r="D81" s="14">
        <f>SUBTOTAL(109,Table472023[Column2])</f>
        <v>116314</v>
      </c>
      <c r="E81" s="14"/>
    </row>
    <row r="82" spans="1:5" ht="27" thickTop="1" x14ac:dyDescent="0.25">
      <c r="D82" s="16">
        <f>Table472023[[#Totals],[Column1]]-Table472023[[#Totals],[Column2]]</f>
        <v>4819</v>
      </c>
    </row>
    <row r="84" spans="1:5" ht="18.75" x14ac:dyDescent="0.25">
      <c r="A84" s="11"/>
      <c r="B84" s="11"/>
    </row>
    <row r="85" spans="1:5" ht="19.5" thickBot="1" x14ac:dyDescent="0.3">
      <c r="A85" s="11"/>
      <c r="B85" s="11"/>
    </row>
    <row r="86" spans="1:5" ht="24" thickBot="1" x14ac:dyDescent="0.3">
      <c r="A86" s="76" t="s">
        <v>9</v>
      </c>
      <c r="B86" s="460"/>
      <c r="C86" s="461"/>
    </row>
    <row r="87" spans="1:5" ht="21" thickBot="1" x14ac:dyDescent="0.3">
      <c r="A87" s="53" t="s">
        <v>137</v>
      </c>
      <c r="B87" s="53" t="s">
        <v>3</v>
      </c>
      <c r="C87" s="53" t="s">
        <v>138</v>
      </c>
    </row>
    <row r="88" spans="1:5" ht="18" x14ac:dyDescent="0.25">
      <c r="A88" s="55">
        <f>4000+450+400+85</f>
        <v>4935</v>
      </c>
      <c r="B88" s="77">
        <v>400</v>
      </c>
      <c r="C88" s="57" t="s">
        <v>78</v>
      </c>
    </row>
    <row r="89" spans="1:5" ht="18" x14ac:dyDescent="0.25">
      <c r="A89" s="60"/>
      <c r="B89" s="56">
        <v>50</v>
      </c>
      <c r="C89" s="94" t="s">
        <v>33</v>
      </c>
    </row>
    <row r="90" spans="1:5" ht="18" x14ac:dyDescent="0.25">
      <c r="A90" s="60"/>
      <c r="B90" s="77">
        <v>8500</v>
      </c>
      <c r="C90" s="57" t="s">
        <v>266</v>
      </c>
    </row>
    <row r="91" spans="1:5" ht="18" x14ac:dyDescent="0.25">
      <c r="A91" s="60"/>
      <c r="B91" s="77">
        <v>85</v>
      </c>
      <c r="C91" s="57" t="s">
        <v>73</v>
      </c>
    </row>
    <row r="92" spans="1:5" ht="18" x14ac:dyDescent="0.25">
      <c r="A92" s="60"/>
      <c r="B92" s="56">
        <v>85</v>
      </c>
      <c r="C92" s="94" t="s">
        <v>10</v>
      </c>
    </row>
    <row r="93" spans="1:5" ht="18" x14ac:dyDescent="0.25">
      <c r="A93" s="60"/>
      <c r="B93" s="56">
        <v>140</v>
      </c>
      <c r="C93" s="94" t="s">
        <v>265</v>
      </c>
    </row>
    <row r="94" spans="1:5" ht="18.75" thickBot="1" x14ac:dyDescent="0.3">
      <c r="A94" s="60"/>
      <c r="B94" s="56">
        <v>2443</v>
      </c>
      <c r="C94" s="95" t="s">
        <v>264</v>
      </c>
    </row>
    <row r="95" spans="1:5" ht="24" thickBot="1" x14ac:dyDescent="0.3">
      <c r="A95" s="66"/>
      <c r="B95" s="67"/>
      <c r="C95" s="64"/>
      <c r="D95" s="483" t="s">
        <v>43</v>
      </c>
      <c r="E95" s="484"/>
    </row>
    <row r="96" spans="1:5" ht="21" thickBot="1" x14ac:dyDescent="0.3">
      <c r="A96" s="68">
        <f>SUM(A88:A95)</f>
        <v>4935</v>
      </c>
      <c r="B96" s="69">
        <f>SUM(B88:B95)</f>
        <v>11703</v>
      </c>
      <c r="C96" s="70"/>
      <c r="D96" s="84" t="s">
        <v>94</v>
      </c>
      <c r="E96" s="85">
        <f>1950-908</f>
        <v>1042</v>
      </c>
    </row>
    <row r="97" spans="1:5" ht="19.5" thickBot="1" x14ac:dyDescent="0.3">
      <c r="A97" s="462" t="s">
        <v>139</v>
      </c>
      <c r="B97" s="463"/>
      <c r="C97" s="71" t="s">
        <v>75</v>
      </c>
      <c r="D97" s="82" t="s">
        <v>65</v>
      </c>
      <c r="E97" s="83">
        <f>13+800+200+65</f>
        <v>1078</v>
      </c>
    </row>
    <row r="98" spans="1:5" ht="24" thickBot="1" x14ac:dyDescent="0.3">
      <c r="A98" s="464">
        <f>B96+A96</f>
        <v>16638</v>
      </c>
      <c r="B98" s="465"/>
      <c r="C98" s="81"/>
      <c r="D98" s="82"/>
      <c r="E98" s="83"/>
    </row>
    <row r="99" spans="1:5" ht="24" thickBot="1" x14ac:dyDescent="0.3">
      <c r="A99" s="466" t="s">
        <v>99</v>
      </c>
      <c r="B99" s="467"/>
      <c r="C99" s="78">
        <f>A100-C100</f>
        <v>56</v>
      </c>
      <c r="D99" s="82"/>
      <c r="E99" s="83"/>
    </row>
    <row r="100" spans="1:5" ht="21" thickBot="1" x14ac:dyDescent="0.3">
      <c r="A100" s="481">
        <f>C98+A98</f>
        <v>16638</v>
      </c>
      <c r="B100" s="482"/>
      <c r="C100" s="79">
        <v>16582</v>
      </c>
      <c r="D100" s="82" t="s">
        <v>164</v>
      </c>
      <c r="E100" s="83">
        <f>SUM(E97:E99)</f>
        <v>1078</v>
      </c>
    </row>
    <row r="101" spans="1:5" ht="24" thickBot="1" x14ac:dyDescent="0.3">
      <c r="C101" s="314" t="str">
        <f>IF(C99&gt;0,"زيادة","عجز")</f>
        <v>زيادة</v>
      </c>
    </row>
    <row r="102" spans="1:5" ht="15.75" thickBot="1" x14ac:dyDescent="0.3"/>
    <row r="103" spans="1:5" ht="24" thickBot="1" x14ac:dyDescent="0.3">
      <c r="A103" s="76" t="s">
        <v>80</v>
      </c>
      <c r="B103" s="460"/>
      <c r="C103" s="461"/>
    </row>
    <row r="104" spans="1:5" ht="20.25" x14ac:dyDescent="0.25">
      <c r="A104" s="54" t="s">
        <v>137</v>
      </c>
      <c r="B104" s="54" t="s">
        <v>3</v>
      </c>
      <c r="C104" s="54" t="s">
        <v>138</v>
      </c>
    </row>
    <row r="105" spans="1:5" ht="18" x14ac:dyDescent="0.25">
      <c r="A105" s="56">
        <f>5000+2850+500+115</f>
        <v>8465</v>
      </c>
      <c r="B105" s="56">
        <v>5000</v>
      </c>
      <c r="C105" s="94" t="s">
        <v>271</v>
      </c>
    </row>
    <row r="106" spans="1:5" ht="18" x14ac:dyDescent="0.25">
      <c r="A106" s="56"/>
      <c r="B106" s="56">
        <v>8</v>
      </c>
      <c r="C106" s="94" t="s">
        <v>272</v>
      </c>
    </row>
    <row r="107" spans="1:5" ht="18" x14ac:dyDescent="0.25">
      <c r="A107" s="56"/>
      <c r="B107" s="56">
        <v>450</v>
      </c>
      <c r="C107" s="94" t="s">
        <v>34</v>
      </c>
    </row>
    <row r="108" spans="1:5" ht="18" x14ac:dyDescent="0.25">
      <c r="A108" s="56"/>
      <c r="B108" s="56">
        <v>270</v>
      </c>
      <c r="C108" s="94" t="s">
        <v>8</v>
      </c>
    </row>
    <row r="109" spans="1:5" ht="18" x14ac:dyDescent="0.25">
      <c r="A109" s="56"/>
      <c r="B109" s="56">
        <v>44</v>
      </c>
      <c r="C109" s="94" t="s">
        <v>73</v>
      </c>
    </row>
    <row r="110" spans="1:5" ht="18" x14ac:dyDescent="0.25">
      <c r="A110" s="56"/>
      <c r="B110" s="56"/>
      <c r="C110" s="94"/>
    </row>
    <row r="111" spans="1:5" ht="18.75" thickBot="1" x14ac:dyDescent="0.3">
      <c r="A111" s="56"/>
      <c r="B111" s="56"/>
      <c r="C111" s="95"/>
    </row>
    <row r="112" spans="1:5" ht="24" thickBot="1" x14ac:dyDescent="0.3">
      <c r="A112" s="66"/>
      <c r="B112" s="67"/>
      <c r="C112" s="64"/>
      <c r="D112" s="483" t="s">
        <v>43</v>
      </c>
      <c r="E112" s="484"/>
    </row>
    <row r="113" spans="1:5" ht="21" thickBot="1" x14ac:dyDescent="0.3">
      <c r="A113" s="68">
        <f>SUM(A105:A112)</f>
        <v>8465</v>
      </c>
      <c r="B113" s="69">
        <f>SUM(B105:B112)</f>
        <v>5772</v>
      </c>
      <c r="C113" s="70"/>
      <c r="D113" s="84" t="s">
        <v>94</v>
      </c>
      <c r="E113" s="85">
        <f>908-5019+5000</f>
        <v>889</v>
      </c>
    </row>
    <row r="114" spans="1:5" ht="19.5" thickBot="1" x14ac:dyDescent="0.3">
      <c r="A114" s="462" t="s">
        <v>139</v>
      </c>
      <c r="B114" s="463"/>
      <c r="C114" s="71" t="s">
        <v>75</v>
      </c>
      <c r="D114" s="82" t="s">
        <v>65</v>
      </c>
      <c r="E114" s="83">
        <f>850+82</f>
        <v>932</v>
      </c>
    </row>
    <row r="115" spans="1:5" ht="24" thickBot="1" x14ac:dyDescent="0.3">
      <c r="A115" s="464">
        <f>B113+A113</f>
        <v>14237</v>
      </c>
      <c r="B115" s="465"/>
      <c r="C115" s="81"/>
      <c r="D115" s="82"/>
      <c r="E115" s="83"/>
    </row>
    <row r="116" spans="1:5" ht="24" thickBot="1" x14ac:dyDescent="0.3">
      <c r="A116" s="466" t="s">
        <v>99</v>
      </c>
      <c r="B116" s="467"/>
      <c r="C116" s="78">
        <f>A117-C117</f>
        <v>142</v>
      </c>
      <c r="D116" s="82"/>
      <c r="E116" s="83"/>
    </row>
    <row r="117" spans="1:5" ht="21" thickBot="1" x14ac:dyDescent="0.3">
      <c r="A117" s="481">
        <f>C115+A115</f>
        <v>14237</v>
      </c>
      <c r="B117" s="482"/>
      <c r="C117" s="79">
        <v>14095</v>
      </c>
      <c r="D117" s="82" t="s">
        <v>164</v>
      </c>
      <c r="E117" s="83">
        <f>SUM(E114:E116)</f>
        <v>932</v>
      </c>
    </row>
    <row r="118" spans="1:5" ht="24" thickBot="1" x14ac:dyDescent="0.3">
      <c r="A118" s="15"/>
      <c r="B118"/>
      <c r="C118" s="314" t="str">
        <f>IF(C116&gt;0,"زيادة","عجز")</f>
        <v>زيادة</v>
      </c>
    </row>
    <row r="119" spans="1:5" ht="24" thickBot="1" x14ac:dyDescent="0.3">
      <c r="A119" s="76" t="s">
        <v>6</v>
      </c>
      <c r="B119" s="460"/>
      <c r="C119" s="461"/>
    </row>
    <row r="120" spans="1:5" ht="20.25" x14ac:dyDescent="0.25">
      <c r="A120" s="54" t="s">
        <v>137</v>
      </c>
      <c r="B120" s="54" t="s">
        <v>3</v>
      </c>
      <c r="C120" s="54" t="s">
        <v>138</v>
      </c>
    </row>
    <row r="121" spans="1:5" ht="18" x14ac:dyDescent="0.25">
      <c r="A121" s="56">
        <v>805</v>
      </c>
      <c r="B121" s="56">
        <v>290</v>
      </c>
      <c r="C121" s="94" t="s">
        <v>7</v>
      </c>
    </row>
    <row r="122" spans="1:5" ht="18" x14ac:dyDescent="0.25">
      <c r="A122" s="56"/>
      <c r="B122" s="56">
        <v>2298</v>
      </c>
      <c r="C122" s="94" t="s">
        <v>285</v>
      </c>
    </row>
    <row r="123" spans="1:5" ht="18" x14ac:dyDescent="0.25">
      <c r="A123" s="56"/>
      <c r="B123" s="56">
        <v>270</v>
      </c>
      <c r="C123" s="94" t="s">
        <v>86</v>
      </c>
    </row>
    <row r="124" spans="1:5" ht="18" x14ac:dyDescent="0.25">
      <c r="A124" s="56"/>
      <c r="B124" s="56">
        <v>2640</v>
      </c>
      <c r="C124" s="94" t="s">
        <v>286</v>
      </c>
    </row>
    <row r="125" spans="1:5" ht="18" x14ac:dyDescent="0.25">
      <c r="A125" s="56"/>
      <c r="B125" s="56"/>
      <c r="C125" s="94"/>
    </row>
    <row r="126" spans="1:5" ht="18" x14ac:dyDescent="0.25">
      <c r="A126" s="56"/>
      <c r="B126" s="56"/>
      <c r="C126" s="94"/>
    </row>
    <row r="127" spans="1:5" ht="18.75" thickBot="1" x14ac:dyDescent="0.3">
      <c r="A127" s="56"/>
      <c r="B127" s="56"/>
      <c r="C127" s="95"/>
    </row>
    <row r="128" spans="1:5" ht="24" thickBot="1" x14ac:dyDescent="0.3">
      <c r="A128" s="66"/>
      <c r="B128" s="67"/>
      <c r="C128" s="64"/>
      <c r="D128" s="483" t="s">
        <v>43</v>
      </c>
      <c r="E128" s="484"/>
    </row>
    <row r="129" spans="1:5" ht="21" thickBot="1" x14ac:dyDescent="0.3">
      <c r="A129" s="68">
        <f>SUM(A121:A128)</f>
        <v>805</v>
      </c>
      <c r="B129" s="69">
        <f>SUM(B121:B128)</f>
        <v>5498</v>
      </c>
      <c r="C129" s="70"/>
      <c r="D129" s="84" t="s">
        <v>94</v>
      </c>
      <c r="E129" s="85">
        <f>1801+2299-1742-1935</f>
        <v>423</v>
      </c>
    </row>
    <row r="130" spans="1:5" ht="19.5" thickBot="1" x14ac:dyDescent="0.3">
      <c r="A130" s="462" t="s">
        <v>139</v>
      </c>
      <c r="B130" s="463"/>
      <c r="C130" s="71" t="s">
        <v>75</v>
      </c>
      <c r="D130" s="82" t="s">
        <v>65</v>
      </c>
      <c r="E130" s="83">
        <f>400+37</f>
        <v>437</v>
      </c>
    </row>
    <row r="131" spans="1:5" ht="24" thickBot="1" x14ac:dyDescent="0.3">
      <c r="A131" s="464">
        <f>B129+A129</f>
        <v>6303</v>
      </c>
      <c r="B131" s="465"/>
      <c r="C131" s="81">
        <v>47</v>
      </c>
      <c r="D131" s="82"/>
      <c r="E131" s="83"/>
    </row>
    <row r="132" spans="1:5" ht="24" thickBot="1" x14ac:dyDescent="0.3">
      <c r="A132" s="466" t="s">
        <v>99</v>
      </c>
      <c r="B132" s="467"/>
      <c r="C132" s="78">
        <f>A133-C133</f>
        <v>78</v>
      </c>
      <c r="D132" s="82"/>
      <c r="E132" s="83"/>
    </row>
    <row r="133" spans="1:5" ht="21" thickBot="1" x14ac:dyDescent="0.3">
      <c r="A133" s="481">
        <f>C131+A131</f>
        <v>6350</v>
      </c>
      <c r="B133" s="482"/>
      <c r="C133" s="79">
        <v>6272</v>
      </c>
      <c r="D133" s="82" t="s">
        <v>164</v>
      </c>
      <c r="E133" s="83">
        <f>SUM(E130:E132)</f>
        <v>437</v>
      </c>
    </row>
    <row r="134" spans="1:5" ht="24" thickBot="1" x14ac:dyDescent="0.3">
      <c r="A134"/>
      <c r="B134"/>
      <c r="C134" s="314" t="str">
        <f>IF(C132&gt;0,"زيادة","عجز")</f>
        <v>زيادة</v>
      </c>
    </row>
    <row r="135" spans="1:5" ht="24" thickBot="1" x14ac:dyDescent="0.3">
      <c r="A135" s="76" t="s">
        <v>88</v>
      </c>
      <c r="B135" s="460"/>
      <c r="C135" s="461"/>
    </row>
    <row r="136" spans="1:5" ht="20.25" x14ac:dyDescent="0.25">
      <c r="A136" s="54" t="s">
        <v>137</v>
      </c>
      <c r="B136" s="54" t="s">
        <v>3</v>
      </c>
      <c r="C136" s="54" t="s">
        <v>138</v>
      </c>
    </row>
    <row r="137" spans="1:5" ht="18" x14ac:dyDescent="0.25">
      <c r="A137" s="56">
        <v>255</v>
      </c>
      <c r="B137" s="56">
        <v>180</v>
      </c>
      <c r="C137" s="94" t="s">
        <v>210</v>
      </c>
    </row>
    <row r="138" spans="1:5" ht="18" x14ac:dyDescent="0.25">
      <c r="A138" s="56"/>
      <c r="B138" s="56">
        <v>100</v>
      </c>
      <c r="C138" s="94" t="s">
        <v>9</v>
      </c>
    </row>
    <row r="139" spans="1:5" ht="18" x14ac:dyDescent="0.25">
      <c r="A139" s="56"/>
      <c r="B139" s="56">
        <v>100</v>
      </c>
      <c r="C139" s="94" t="s">
        <v>288</v>
      </c>
    </row>
    <row r="140" spans="1:5" ht="18" x14ac:dyDescent="0.25">
      <c r="A140" s="56"/>
      <c r="B140" s="56">
        <v>8</v>
      </c>
      <c r="C140" s="94" t="s">
        <v>212</v>
      </c>
    </row>
    <row r="141" spans="1:5" ht="18" x14ac:dyDescent="0.25">
      <c r="A141" s="56"/>
      <c r="B141" s="56">
        <v>9500</v>
      </c>
      <c r="C141" s="94" t="s">
        <v>287</v>
      </c>
    </row>
    <row r="142" spans="1:5" ht="18" x14ac:dyDescent="0.25">
      <c r="A142" s="56"/>
      <c r="B142" s="56">
        <v>130</v>
      </c>
      <c r="C142" s="94" t="s">
        <v>34</v>
      </c>
    </row>
    <row r="143" spans="1:5" ht="18" x14ac:dyDescent="0.25">
      <c r="A143" s="56"/>
      <c r="B143" s="56">
        <v>400</v>
      </c>
      <c r="C143" s="94" t="s">
        <v>50</v>
      </c>
    </row>
    <row r="144" spans="1:5" ht="18" x14ac:dyDescent="0.25">
      <c r="A144" s="56"/>
      <c r="B144" s="56">
        <v>2120</v>
      </c>
      <c r="C144" s="94" t="s">
        <v>289</v>
      </c>
    </row>
    <row r="145" spans="1:5" ht="18" x14ac:dyDescent="0.25">
      <c r="A145" s="56"/>
      <c r="B145" s="56">
        <v>500</v>
      </c>
      <c r="C145" s="94" t="s">
        <v>255</v>
      </c>
    </row>
    <row r="146" spans="1:5" ht="18" x14ac:dyDescent="0.25">
      <c r="A146" s="56"/>
      <c r="B146" s="56">
        <v>80</v>
      </c>
      <c r="C146" s="94" t="s">
        <v>290</v>
      </c>
    </row>
    <row r="147" spans="1:5" ht="18.75" thickBot="1" x14ac:dyDescent="0.3">
      <c r="A147" s="56"/>
      <c r="B147" s="56"/>
      <c r="C147" s="95"/>
    </row>
    <row r="148" spans="1:5" ht="24" thickBot="1" x14ac:dyDescent="0.3">
      <c r="A148" s="66"/>
      <c r="B148" s="67"/>
      <c r="C148" s="64"/>
      <c r="D148" s="483" t="s">
        <v>43</v>
      </c>
      <c r="E148" s="484"/>
    </row>
    <row r="149" spans="1:5" ht="21" thickBot="1" x14ac:dyDescent="0.3">
      <c r="A149" s="68">
        <f>SUM(A137:A148)</f>
        <v>255</v>
      </c>
      <c r="B149" s="69">
        <f>SUM(B137:B148)</f>
        <v>13118</v>
      </c>
      <c r="C149" s="70"/>
      <c r="D149" s="84" t="s">
        <v>94</v>
      </c>
      <c r="E149" s="85">
        <f>2073+2372-1801-2299</f>
        <v>345</v>
      </c>
    </row>
    <row r="150" spans="1:5" ht="18" customHeight="1" thickBot="1" x14ac:dyDescent="0.3">
      <c r="A150" s="462" t="s">
        <v>139</v>
      </c>
      <c r="B150" s="463"/>
      <c r="C150" s="71" t="s">
        <v>75</v>
      </c>
      <c r="D150" s="82" t="s">
        <v>65</v>
      </c>
      <c r="E150" s="83">
        <v>365</v>
      </c>
    </row>
    <row r="151" spans="1:5" ht="18" customHeight="1" thickBot="1" x14ac:dyDescent="0.3">
      <c r="A151" s="464">
        <f>B149+A149</f>
        <v>13373</v>
      </c>
      <c r="B151" s="465"/>
      <c r="C151" s="81">
        <f>485+93+44+62</f>
        <v>684</v>
      </c>
      <c r="D151" s="82"/>
      <c r="E151" s="83"/>
    </row>
    <row r="152" spans="1:5" ht="24" thickBot="1" x14ac:dyDescent="0.3">
      <c r="A152" s="466" t="s">
        <v>99</v>
      </c>
      <c r="B152" s="467"/>
      <c r="C152" s="78">
        <f>A153-C153</f>
        <v>-77</v>
      </c>
      <c r="D152" s="82"/>
      <c r="E152" s="83"/>
    </row>
    <row r="153" spans="1:5" ht="21" thickBot="1" x14ac:dyDescent="0.3">
      <c r="A153" s="481">
        <f>C151+A151</f>
        <v>14057</v>
      </c>
      <c r="B153" s="482"/>
      <c r="C153" s="79">
        <v>14134</v>
      </c>
      <c r="D153" s="82" t="s">
        <v>164</v>
      </c>
      <c r="E153" s="83">
        <f>SUM(E150:E152)</f>
        <v>365</v>
      </c>
    </row>
    <row r="154" spans="1:5" ht="24" thickBot="1" x14ac:dyDescent="0.3">
      <c r="A154"/>
      <c r="B154"/>
      <c r="C154" s="314" t="str">
        <f>IF(C152&gt;0,"زيادة","عجز")</f>
        <v>عجز</v>
      </c>
    </row>
    <row r="155" spans="1:5" ht="24" thickBot="1" x14ac:dyDescent="0.3">
      <c r="A155" s="76" t="s">
        <v>300</v>
      </c>
      <c r="B155" s="460"/>
      <c r="C155" s="461"/>
    </row>
    <row r="156" spans="1:5" ht="20.25" x14ac:dyDescent="0.25">
      <c r="A156" s="54" t="s">
        <v>137</v>
      </c>
      <c r="B156" s="54" t="s">
        <v>3</v>
      </c>
      <c r="C156" s="54" t="s">
        <v>138</v>
      </c>
    </row>
    <row r="157" spans="1:5" ht="18" x14ac:dyDescent="0.25">
      <c r="A157" s="56">
        <f>5000+332</f>
        <v>5332</v>
      </c>
      <c r="B157" s="56">
        <v>9000</v>
      </c>
      <c r="C157" s="94" t="s">
        <v>271</v>
      </c>
    </row>
    <row r="158" spans="1:5" ht="18" customHeight="1" x14ac:dyDescent="0.25">
      <c r="A158" s="56"/>
      <c r="B158" s="56">
        <v>250</v>
      </c>
      <c r="C158" s="94" t="s">
        <v>301</v>
      </c>
    </row>
    <row r="159" spans="1:5" ht="18" x14ac:dyDescent="0.25">
      <c r="A159" s="56"/>
      <c r="B159" s="56">
        <v>145</v>
      </c>
      <c r="C159" s="94" t="s">
        <v>302</v>
      </c>
    </row>
    <row r="160" spans="1:5" ht="18" customHeight="1" x14ac:dyDescent="0.25">
      <c r="A160" s="56"/>
      <c r="B160" s="56">
        <v>95</v>
      </c>
      <c r="C160" s="94" t="s">
        <v>27</v>
      </c>
    </row>
    <row r="161" spans="1:5" ht="18" customHeight="1" x14ac:dyDescent="0.25">
      <c r="A161" s="56"/>
      <c r="B161" s="56">
        <v>300</v>
      </c>
      <c r="C161" s="94" t="s">
        <v>296</v>
      </c>
    </row>
    <row r="162" spans="1:5" ht="18" customHeight="1" x14ac:dyDescent="0.25">
      <c r="A162" s="56"/>
      <c r="B162" s="56"/>
      <c r="C162" s="94"/>
    </row>
    <row r="163" spans="1:5" ht="18" customHeight="1" x14ac:dyDescent="0.25">
      <c r="A163" s="56"/>
      <c r="B163" s="56"/>
      <c r="C163" s="94"/>
    </row>
    <row r="164" spans="1:5" ht="18" x14ac:dyDescent="0.25">
      <c r="A164" s="56"/>
      <c r="B164" s="56"/>
      <c r="C164" s="94"/>
    </row>
    <row r="165" spans="1:5" ht="18" x14ac:dyDescent="0.25">
      <c r="A165" s="56"/>
      <c r="B165" s="56"/>
      <c r="C165" s="94"/>
    </row>
    <row r="166" spans="1:5" ht="18" x14ac:dyDescent="0.25">
      <c r="A166" s="56"/>
      <c r="B166" s="56"/>
      <c r="C166" s="94"/>
    </row>
    <row r="167" spans="1:5" ht="18.75" thickBot="1" x14ac:dyDescent="0.3">
      <c r="A167" s="56"/>
      <c r="B167" s="56"/>
      <c r="C167" s="95"/>
    </row>
    <row r="168" spans="1:5" ht="24" thickBot="1" x14ac:dyDescent="0.3">
      <c r="A168" s="66"/>
      <c r="B168" s="67"/>
      <c r="C168" s="64"/>
      <c r="D168" s="487" t="s">
        <v>43</v>
      </c>
      <c r="E168" s="488"/>
    </row>
    <row r="169" spans="1:5" ht="21" thickBot="1" x14ac:dyDescent="0.3">
      <c r="A169" s="68">
        <f>SUM(A157:A168)</f>
        <v>5332</v>
      </c>
      <c r="B169" s="69">
        <f>SUM(B157:B168)</f>
        <v>9790</v>
      </c>
      <c r="C169" s="70"/>
      <c r="D169" s="84" t="s">
        <v>94</v>
      </c>
      <c r="E169" s="85">
        <f>5019-3443</f>
        <v>1576</v>
      </c>
    </row>
    <row r="170" spans="1:5" ht="19.5" thickBot="1" x14ac:dyDescent="0.3">
      <c r="A170" s="462" t="s">
        <v>139</v>
      </c>
      <c r="B170" s="463"/>
      <c r="C170" s="71" t="s">
        <v>75</v>
      </c>
      <c r="D170" s="82" t="s">
        <v>65</v>
      </c>
      <c r="E170" s="83">
        <f>800+283+50</f>
        <v>1133</v>
      </c>
    </row>
    <row r="171" spans="1:5" ht="24" thickBot="1" x14ac:dyDescent="0.3">
      <c r="A171" s="464">
        <f>B169+A169</f>
        <v>15122</v>
      </c>
      <c r="B171" s="465"/>
      <c r="C171" s="81"/>
      <c r="D171" s="82" t="s">
        <v>306</v>
      </c>
      <c r="E171" s="83">
        <v>244</v>
      </c>
    </row>
    <row r="172" spans="1:5" ht="18" customHeight="1" thickBot="1" x14ac:dyDescent="0.3">
      <c r="A172" s="466" t="s">
        <v>99</v>
      </c>
      <c r="B172" s="467"/>
      <c r="C172" s="78">
        <f>A173-C173</f>
        <v>-161</v>
      </c>
      <c r="D172" s="82" t="s">
        <v>307</v>
      </c>
      <c r="E172" s="83">
        <v>206</v>
      </c>
    </row>
    <row r="173" spans="1:5" ht="23.25" customHeight="1" thickBot="1" x14ac:dyDescent="0.3">
      <c r="A173" s="481">
        <f>C171+A171</f>
        <v>15122</v>
      </c>
      <c r="B173" s="482"/>
      <c r="C173" s="79">
        <v>15283</v>
      </c>
      <c r="D173" s="82" t="s">
        <v>164</v>
      </c>
      <c r="E173" s="83">
        <f>SUM(E170:E172)</f>
        <v>1583</v>
      </c>
    </row>
    <row r="174" spans="1:5" ht="21.75" customHeight="1" thickBot="1" x14ac:dyDescent="0.3">
      <c r="A174" s="18"/>
      <c r="B174"/>
      <c r="C174" s="314" t="str">
        <f>IF(C172&gt;0,"زيادة","عجز")</f>
        <v>عجز</v>
      </c>
    </row>
    <row r="175" spans="1:5" ht="18" customHeight="1" thickBot="1" x14ac:dyDescent="0.3">
      <c r="A175" s="76" t="s">
        <v>29</v>
      </c>
      <c r="B175" s="460"/>
      <c r="C175" s="461"/>
    </row>
    <row r="176" spans="1:5" ht="24.75" customHeight="1" x14ac:dyDescent="0.25">
      <c r="A176" s="54" t="s">
        <v>137</v>
      </c>
      <c r="B176" s="54" t="s">
        <v>3</v>
      </c>
      <c r="C176" s="54" t="s">
        <v>138</v>
      </c>
    </row>
    <row r="177" spans="1:5" ht="18" customHeight="1" x14ac:dyDescent="0.25">
      <c r="A177" s="56">
        <v>7700</v>
      </c>
      <c r="B177" s="56">
        <v>15</v>
      </c>
      <c r="C177" s="94" t="s">
        <v>304</v>
      </c>
    </row>
    <row r="178" spans="1:5" ht="18" customHeight="1" x14ac:dyDescent="0.25">
      <c r="A178" s="56">
        <v>1000</v>
      </c>
      <c r="B178" s="56"/>
      <c r="C178" s="94"/>
    </row>
    <row r="179" spans="1:5" ht="18" x14ac:dyDescent="0.25">
      <c r="A179" s="56">
        <v>430</v>
      </c>
      <c r="B179" s="56"/>
      <c r="C179" s="94"/>
    </row>
    <row r="180" spans="1:5" ht="18" customHeight="1" x14ac:dyDescent="0.25">
      <c r="A180" s="56">
        <v>15</v>
      </c>
      <c r="B180" s="56"/>
      <c r="C180" s="94"/>
    </row>
    <row r="181" spans="1:5" ht="18" customHeight="1" x14ac:dyDescent="0.25">
      <c r="A181" s="56"/>
      <c r="B181" s="56"/>
      <c r="C181" s="94"/>
    </row>
    <row r="182" spans="1:5" ht="18" x14ac:dyDescent="0.25">
      <c r="A182" s="56"/>
      <c r="B182" s="56"/>
      <c r="C182" s="94"/>
    </row>
    <row r="183" spans="1:5" ht="18" x14ac:dyDescent="0.25">
      <c r="A183" s="56"/>
      <c r="B183" s="56"/>
      <c r="C183" s="94"/>
    </row>
    <row r="184" spans="1:5" ht="18" x14ac:dyDescent="0.25">
      <c r="A184" s="56"/>
      <c r="B184" s="56"/>
      <c r="C184" s="94"/>
    </row>
    <row r="185" spans="1:5" ht="18" x14ac:dyDescent="0.25">
      <c r="A185" s="56"/>
      <c r="B185" s="56"/>
      <c r="C185" s="94"/>
    </row>
    <row r="186" spans="1:5" ht="18" x14ac:dyDescent="0.25">
      <c r="A186" s="56"/>
      <c r="B186" s="56"/>
      <c r="C186" s="94"/>
    </row>
    <row r="187" spans="1:5" ht="18.75" thickBot="1" x14ac:dyDescent="0.3">
      <c r="A187" s="56"/>
      <c r="B187" s="56"/>
      <c r="C187" s="95"/>
    </row>
    <row r="188" spans="1:5" ht="24" thickBot="1" x14ac:dyDescent="0.3">
      <c r="A188" s="66"/>
      <c r="B188" s="67"/>
      <c r="C188" s="64"/>
      <c r="D188" s="487" t="s">
        <v>43</v>
      </c>
      <c r="E188" s="488"/>
    </row>
    <row r="189" spans="1:5" ht="21" thickBot="1" x14ac:dyDescent="0.3">
      <c r="A189" s="68">
        <f>SUM(A177:A188)</f>
        <v>9145</v>
      </c>
      <c r="B189" s="69">
        <f>SUM(B177:B188)</f>
        <v>15</v>
      </c>
      <c r="C189" s="70"/>
      <c r="D189" s="84" t="s">
        <v>94</v>
      </c>
      <c r="E189" s="85"/>
    </row>
    <row r="190" spans="1:5" ht="19.5" thickBot="1" x14ac:dyDescent="0.3">
      <c r="A190" s="462" t="s">
        <v>139</v>
      </c>
      <c r="B190" s="463"/>
      <c r="C190" s="71" t="s">
        <v>75</v>
      </c>
      <c r="D190" s="82" t="s">
        <v>65</v>
      </c>
      <c r="E190" s="83"/>
    </row>
    <row r="191" spans="1:5" ht="24" thickBot="1" x14ac:dyDescent="0.3">
      <c r="A191" s="464">
        <f>B189+A189</f>
        <v>9160</v>
      </c>
      <c r="B191" s="465"/>
      <c r="C191" s="81"/>
      <c r="D191" s="82"/>
      <c r="E191" s="83"/>
    </row>
    <row r="192" spans="1:5" ht="24" thickBot="1" x14ac:dyDescent="0.3">
      <c r="A192" s="466" t="s">
        <v>99</v>
      </c>
      <c r="B192" s="467"/>
      <c r="C192" s="78">
        <f>A193-C193</f>
        <v>10</v>
      </c>
      <c r="D192" s="82"/>
      <c r="E192" s="83"/>
    </row>
    <row r="193" spans="1:5" ht="21" thickBot="1" x14ac:dyDescent="0.3">
      <c r="A193" s="481">
        <f>C191+A191</f>
        <v>9160</v>
      </c>
      <c r="B193" s="482"/>
      <c r="C193" s="79">
        <v>9150</v>
      </c>
      <c r="D193" s="82" t="s">
        <v>164</v>
      </c>
      <c r="E193" s="83">
        <f>SUM(E190:E192)</f>
        <v>0</v>
      </c>
    </row>
    <row r="194" spans="1:5" ht="24" thickBot="1" x14ac:dyDescent="0.3">
      <c r="A194"/>
      <c r="B194">
        <f>108</f>
        <v>108</v>
      </c>
      <c r="C194" s="314" t="str">
        <f>IF(C192&gt;0,"زيادة","عجز")</f>
        <v>زيادة</v>
      </c>
    </row>
    <row r="195" spans="1:5" x14ac:dyDescent="0.25">
      <c r="A195"/>
      <c r="B195"/>
    </row>
    <row r="196" spans="1:5" x14ac:dyDescent="0.25">
      <c r="A196"/>
      <c r="B196"/>
    </row>
    <row r="197" spans="1:5" x14ac:dyDescent="0.25">
      <c r="A197"/>
      <c r="B197"/>
    </row>
    <row r="198" spans="1:5" x14ac:dyDescent="0.25">
      <c r="A198"/>
      <c r="B198" s="25"/>
    </row>
    <row r="199" spans="1:5" x14ac:dyDescent="0.25">
      <c r="A199"/>
      <c r="B199" s="25"/>
    </row>
    <row r="200" spans="1:5" x14ac:dyDescent="0.25">
      <c r="A200"/>
      <c r="B200" s="25"/>
    </row>
    <row r="201" spans="1:5" x14ac:dyDescent="0.25">
      <c r="A201"/>
      <c r="B201" s="25"/>
    </row>
    <row r="202" spans="1:5" x14ac:dyDescent="0.25">
      <c r="A202"/>
      <c r="B202" s="25">
        <f>2286-2073+2382-2372</f>
        <v>223</v>
      </c>
    </row>
    <row r="203" spans="1:5" x14ac:dyDescent="0.25">
      <c r="A203"/>
      <c r="B203" s="25">
        <f>250</f>
        <v>250</v>
      </c>
    </row>
    <row r="204" spans="1:5" x14ac:dyDescent="0.25">
      <c r="A204"/>
      <c r="B204" s="25"/>
    </row>
    <row r="205" spans="1:5" x14ac:dyDescent="0.25">
      <c r="A205"/>
      <c r="B205" s="25"/>
    </row>
    <row r="206" spans="1:5" x14ac:dyDescent="0.25">
      <c r="A206"/>
      <c r="B206"/>
    </row>
    <row r="207" spans="1:5" x14ac:dyDescent="0.25">
      <c r="A207"/>
      <c r="B207"/>
    </row>
    <row r="208" spans="1:5" x14ac:dyDescent="0.25">
      <c r="A208"/>
      <c r="B208"/>
    </row>
    <row r="209" spans="1:5" x14ac:dyDescent="0.25">
      <c r="A209" s="24"/>
      <c r="B209"/>
    </row>
    <row r="210" spans="1:5" x14ac:dyDescent="0.25">
      <c r="A210"/>
      <c r="B210"/>
    </row>
    <row r="211" spans="1:5" x14ac:dyDescent="0.25">
      <c r="A211"/>
      <c r="B211"/>
    </row>
    <row r="212" spans="1:5" x14ac:dyDescent="0.25">
      <c r="A212"/>
      <c r="B212"/>
    </row>
    <row r="213" spans="1:5" x14ac:dyDescent="0.25">
      <c r="A213"/>
      <c r="B213"/>
    </row>
    <row r="214" spans="1:5" x14ac:dyDescent="0.25">
      <c r="A214"/>
      <c r="B214"/>
    </row>
    <row r="215" spans="1:5" x14ac:dyDescent="0.25">
      <c r="A215"/>
      <c r="B215"/>
    </row>
    <row r="216" spans="1:5" x14ac:dyDescent="0.25">
      <c r="A216"/>
      <c r="B216"/>
      <c r="C216" s="25"/>
      <c r="D216" s="25"/>
      <c r="E216" s="25"/>
    </row>
    <row r="217" spans="1:5" ht="21.75" customHeight="1" x14ac:dyDescent="0.25">
      <c r="A217"/>
      <c r="B217"/>
      <c r="C217" s="25"/>
      <c r="D217" s="25">
        <f>C216+C217</f>
        <v>0</v>
      </c>
      <c r="E217" s="25" t="s">
        <v>23</v>
      </c>
    </row>
    <row r="218" spans="1:5" ht="21" customHeight="1" x14ac:dyDescent="0.25">
      <c r="A218"/>
      <c r="B218"/>
      <c r="C218" s="25"/>
      <c r="D218" s="25"/>
      <c r="E218" s="25"/>
    </row>
    <row r="219" spans="1:5" x14ac:dyDescent="0.25">
      <c r="A219"/>
      <c r="B219"/>
      <c r="C219" s="25"/>
      <c r="D219" s="25"/>
      <c r="E219" s="25"/>
    </row>
    <row r="220" spans="1:5" ht="19.5" customHeight="1" x14ac:dyDescent="0.25">
      <c r="A220"/>
      <c r="B220"/>
    </row>
    <row r="221" spans="1:5" ht="19.5" customHeight="1" x14ac:dyDescent="0.25">
      <c r="A221"/>
      <c r="B221"/>
    </row>
    <row r="222" spans="1:5" x14ac:dyDescent="0.25">
      <c r="A222"/>
      <c r="B222"/>
    </row>
    <row r="223" spans="1:5" x14ac:dyDescent="0.25">
      <c r="A223"/>
      <c r="B223"/>
    </row>
    <row r="224" spans="1:5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6" x14ac:dyDescent="0.25">
      <c r="A337"/>
      <c r="B337"/>
    </row>
    <row r="338" spans="1:6" x14ac:dyDescent="0.25">
      <c r="A338"/>
      <c r="B338"/>
    </row>
    <row r="339" spans="1:6" x14ac:dyDescent="0.25">
      <c r="A339"/>
      <c r="B339"/>
      <c r="F339">
        <f>2778+2841-2043-2544</f>
        <v>1032</v>
      </c>
    </row>
    <row r="340" spans="1:6" x14ac:dyDescent="0.25">
      <c r="A340"/>
      <c r="B340"/>
      <c r="F340">
        <v>920</v>
      </c>
    </row>
    <row r="341" spans="1:6" x14ac:dyDescent="0.25">
      <c r="A341"/>
      <c r="B341"/>
    </row>
    <row r="342" spans="1:6" x14ac:dyDescent="0.25">
      <c r="A342"/>
      <c r="B342"/>
    </row>
    <row r="343" spans="1:6" x14ac:dyDescent="0.25">
      <c r="A343"/>
      <c r="B343"/>
    </row>
    <row r="344" spans="1:6" x14ac:dyDescent="0.25">
      <c r="A344"/>
      <c r="B344"/>
    </row>
    <row r="345" spans="1:6" x14ac:dyDescent="0.25">
      <c r="A345"/>
      <c r="B345"/>
    </row>
    <row r="346" spans="1:6" x14ac:dyDescent="0.25">
      <c r="A346"/>
      <c r="B346"/>
    </row>
    <row r="347" spans="1:6" x14ac:dyDescent="0.25">
      <c r="A347"/>
      <c r="B347"/>
    </row>
    <row r="348" spans="1:6" x14ac:dyDescent="0.25">
      <c r="A348"/>
      <c r="B348"/>
    </row>
    <row r="349" spans="1:6" x14ac:dyDescent="0.25">
      <c r="A349"/>
      <c r="B349"/>
    </row>
    <row r="350" spans="1:6" x14ac:dyDescent="0.25">
      <c r="A350"/>
      <c r="B350"/>
    </row>
    <row r="351" spans="1:6" x14ac:dyDescent="0.25">
      <c r="A351"/>
      <c r="B351"/>
    </row>
    <row r="352" spans="1:6" x14ac:dyDescent="0.25">
      <c r="A352"/>
      <c r="B352"/>
    </row>
    <row r="353" spans="1:7" x14ac:dyDescent="0.25">
      <c r="A353"/>
      <c r="B353"/>
    </row>
    <row r="354" spans="1:7" x14ac:dyDescent="0.25">
      <c r="A354"/>
      <c r="B354"/>
    </row>
    <row r="355" spans="1:7" x14ac:dyDescent="0.25">
      <c r="A355"/>
      <c r="B355"/>
    </row>
    <row r="356" spans="1:7" x14ac:dyDescent="0.25">
      <c r="A356"/>
      <c r="B356"/>
    </row>
    <row r="357" spans="1:7" x14ac:dyDescent="0.25">
      <c r="A357"/>
      <c r="B357"/>
    </row>
    <row r="358" spans="1:7" x14ac:dyDescent="0.25">
      <c r="A358"/>
      <c r="B358"/>
    </row>
    <row r="359" spans="1:7" x14ac:dyDescent="0.25">
      <c r="A359"/>
      <c r="B359"/>
      <c r="G359" t="e">
        <f>#REF!-#REF!</f>
        <v>#REF!</v>
      </c>
    </row>
    <row r="360" spans="1:7" x14ac:dyDescent="0.25">
      <c r="A360"/>
      <c r="B360"/>
    </row>
    <row r="361" spans="1:7" x14ac:dyDescent="0.25">
      <c r="A361"/>
      <c r="B361"/>
    </row>
    <row r="362" spans="1:7" x14ac:dyDescent="0.25">
      <c r="A362"/>
      <c r="B362"/>
    </row>
    <row r="363" spans="1:7" x14ac:dyDescent="0.25">
      <c r="A363"/>
      <c r="B363"/>
    </row>
    <row r="364" spans="1:7" x14ac:dyDescent="0.25">
      <c r="A364"/>
      <c r="B364"/>
    </row>
    <row r="365" spans="1:7" x14ac:dyDescent="0.25">
      <c r="A365"/>
      <c r="B365"/>
    </row>
    <row r="366" spans="1:7" x14ac:dyDescent="0.25">
      <c r="A366"/>
      <c r="B366"/>
    </row>
    <row r="367" spans="1:7" x14ac:dyDescent="0.25">
      <c r="A367"/>
      <c r="B367"/>
    </row>
    <row r="368" spans="1:7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</sheetData>
  <mergeCells count="36">
    <mergeCell ref="A193:B193"/>
    <mergeCell ref="A133:B133"/>
    <mergeCell ref="B135:C135"/>
    <mergeCell ref="D148:E148"/>
    <mergeCell ref="A150:B150"/>
    <mergeCell ref="A151:B151"/>
    <mergeCell ref="A152:B152"/>
    <mergeCell ref="D188:E188"/>
    <mergeCell ref="D168:E168"/>
    <mergeCell ref="B155:C155"/>
    <mergeCell ref="A170:B170"/>
    <mergeCell ref="A153:B153"/>
    <mergeCell ref="A192:B192"/>
    <mergeCell ref="A130:B130"/>
    <mergeCell ref="A131:B131"/>
    <mergeCell ref="A132:B132"/>
    <mergeCell ref="A190:B190"/>
    <mergeCell ref="A191:B191"/>
    <mergeCell ref="B175:C175"/>
    <mergeCell ref="A171:B171"/>
    <mergeCell ref="A172:B172"/>
    <mergeCell ref="A173:B173"/>
    <mergeCell ref="D128:E128"/>
    <mergeCell ref="B86:C86"/>
    <mergeCell ref="D95:E95"/>
    <mergeCell ref="A97:B97"/>
    <mergeCell ref="A98:B98"/>
    <mergeCell ref="A99:B99"/>
    <mergeCell ref="A100:B100"/>
    <mergeCell ref="A117:B117"/>
    <mergeCell ref="B119:C119"/>
    <mergeCell ref="B103:C103"/>
    <mergeCell ref="D112:E112"/>
    <mergeCell ref="A114:B114"/>
    <mergeCell ref="A115:B115"/>
    <mergeCell ref="A116:B116"/>
  </mergeCells>
  <conditionalFormatting sqref="C101">
    <cfRule type="expression" dxfId="169" priority="11">
      <formula>C101="عجز"</formula>
    </cfRule>
    <cfRule type="expression" dxfId="168" priority="12">
      <formula>C101="زيادة"</formula>
    </cfRule>
  </conditionalFormatting>
  <conditionalFormatting sqref="C118">
    <cfRule type="expression" dxfId="167" priority="9">
      <formula>C118="عجز"</formula>
    </cfRule>
    <cfRule type="expression" dxfId="166" priority="10">
      <formula>C118="زيادة"</formula>
    </cfRule>
  </conditionalFormatting>
  <conditionalFormatting sqref="C134">
    <cfRule type="expression" dxfId="165" priority="7">
      <formula>C134="عجز"</formula>
    </cfRule>
    <cfRule type="expression" dxfId="164" priority="8">
      <formula>C134="زيادة"</formula>
    </cfRule>
  </conditionalFormatting>
  <conditionalFormatting sqref="C154">
    <cfRule type="expression" dxfId="163" priority="5">
      <formula>C154="عجز"</formula>
    </cfRule>
    <cfRule type="expression" dxfId="162" priority="6">
      <formula>C154="زيادة"</formula>
    </cfRule>
  </conditionalFormatting>
  <conditionalFormatting sqref="C174">
    <cfRule type="expression" dxfId="161" priority="3">
      <formula>C174="عجز"</formula>
    </cfRule>
    <cfRule type="expression" dxfId="160" priority="4">
      <formula>C174="زيادة"</formula>
    </cfRule>
  </conditionalFormatting>
  <conditionalFormatting sqref="C194">
    <cfRule type="expression" dxfId="159" priority="1">
      <formula>C194="عجز"</formula>
    </cfRule>
    <cfRule type="expression" dxfId="158" priority="2">
      <formula>C194="زيادة"</formula>
    </cfRule>
  </conditionalFormatting>
  <pageMargins left="0.7" right="0.7" top="0.75" bottom="0.75" header="0.3" footer="0.3"/>
  <pageSetup paperSize="260" orientation="portrait" horizontalDpi="203" verticalDpi="20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39B689-DC35-4C64-8939-16F45832C0AE}">
          <x14:formula1>
            <xm:f>data!$A$57:$A$70</xm:f>
          </x14:formula1>
          <xm:sqref>C74:C80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47AA-4167-469E-BFA8-A76B9A7DF56B}">
  <sheetPr codeName="Sheet16"/>
  <dimension ref="A1:G457"/>
  <sheetViews>
    <sheetView rightToLeft="1" topLeftCell="A197" zoomScale="115" zoomScaleNormal="115" workbookViewId="0">
      <selection activeCell="C211" sqref="C211"/>
    </sheetView>
  </sheetViews>
  <sheetFormatPr defaultRowHeight="15" x14ac:dyDescent="0.25"/>
  <cols>
    <col min="1" max="1" width="32.5703125" style="9" bestFit="1" customWidth="1"/>
    <col min="2" max="2" width="15.140625" style="10" bestFit="1" customWidth="1"/>
    <col min="3" max="3" width="48.140625" customWidth="1"/>
    <col min="4" max="4" width="20.28515625" bestFit="1" customWidth="1"/>
    <col min="5" max="5" width="24.140625" customWidth="1"/>
    <col min="6" max="6" width="6.7109375" bestFit="1" customWidth="1"/>
    <col min="7" max="7" width="45.85546875" customWidth="1"/>
    <col min="8" max="8" width="14.5703125" customWidth="1"/>
    <col min="9" max="9" width="10.7109375" customWidth="1"/>
  </cols>
  <sheetData>
    <row r="1" spans="1:7" ht="18.75" x14ac:dyDescent="0.3">
      <c r="A1" s="1" t="s">
        <v>0</v>
      </c>
      <c r="B1" s="2">
        <v>45111</v>
      </c>
      <c r="C1" s="3"/>
      <c r="D1" s="3"/>
    </row>
    <row r="2" spans="1:7" ht="15.75" thickBot="1" x14ac:dyDescent="0.3">
      <c r="A2" s="4" t="s">
        <v>1</v>
      </c>
      <c r="B2" s="5" t="s">
        <v>2</v>
      </c>
      <c r="C2" s="5" t="s">
        <v>3</v>
      </c>
      <c r="D2" s="6" t="s">
        <v>4</v>
      </c>
      <c r="E2" s="5" t="s">
        <v>5</v>
      </c>
    </row>
    <row r="3" spans="1:7" ht="15.75" x14ac:dyDescent="0.25">
      <c r="A3" s="19" t="s">
        <v>52</v>
      </c>
      <c r="B3" s="31">
        <v>25000</v>
      </c>
      <c r="C3" s="90" t="s">
        <v>19</v>
      </c>
      <c r="D3" s="96">
        <v>145</v>
      </c>
      <c r="E3" s="43"/>
      <c r="G3" s="113" t="s">
        <v>385</v>
      </c>
    </row>
    <row r="4" spans="1:7" ht="15.75" x14ac:dyDescent="0.25">
      <c r="A4" s="41" t="s">
        <v>48</v>
      </c>
      <c r="B4" s="22">
        <f>2500+450+90+33000</f>
        <v>36040</v>
      </c>
      <c r="C4" s="90" t="s">
        <v>310</v>
      </c>
      <c r="D4" s="91">
        <v>120</v>
      </c>
      <c r="E4" s="43"/>
      <c r="G4" s="114" t="s">
        <v>386</v>
      </c>
    </row>
    <row r="5" spans="1:7" ht="15.75" x14ac:dyDescent="0.25">
      <c r="A5" s="41" t="s">
        <v>9</v>
      </c>
      <c r="B5" s="22">
        <v>15880</v>
      </c>
      <c r="C5" s="90" t="s">
        <v>27</v>
      </c>
      <c r="D5" s="91">
        <v>70</v>
      </c>
      <c r="E5" s="43"/>
      <c r="G5" s="114" t="s">
        <v>388</v>
      </c>
    </row>
    <row r="6" spans="1:7" ht="15.75" x14ac:dyDescent="0.25">
      <c r="A6" s="41" t="s">
        <v>28</v>
      </c>
      <c r="B6" s="22">
        <v>1226</v>
      </c>
      <c r="C6" s="90" t="s">
        <v>33</v>
      </c>
      <c r="D6" s="91">
        <v>130</v>
      </c>
      <c r="E6" s="43"/>
      <c r="G6" s="114"/>
    </row>
    <row r="7" spans="1:7" ht="15.75" x14ac:dyDescent="0.25">
      <c r="A7" s="41" t="s">
        <v>27</v>
      </c>
      <c r="B7" s="22">
        <v>205</v>
      </c>
      <c r="C7" s="90" t="s">
        <v>97</v>
      </c>
      <c r="D7" s="91">
        <v>205</v>
      </c>
      <c r="E7" s="43"/>
      <c r="G7" s="114"/>
    </row>
    <row r="8" spans="1:7" ht="15.75" x14ac:dyDescent="0.25">
      <c r="A8" s="41" t="s">
        <v>323</v>
      </c>
      <c r="B8" s="22">
        <v>9807</v>
      </c>
      <c r="C8" s="90" t="s">
        <v>10</v>
      </c>
      <c r="D8" s="91">
        <v>70</v>
      </c>
      <c r="E8" s="42"/>
      <c r="G8" s="114"/>
    </row>
    <row r="9" spans="1:7" ht="15.75" x14ac:dyDescent="0.25">
      <c r="A9" s="41" t="s">
        <v>322</v>
      </c>
      <c r="B9" s="22">
        <v>12130</v>
      </c>
      <c r="C9" s="90" t="s">
        <v>311</v>
      </c>
      <c r="D9" s="91">
        <v>5940</v>
      </c>
      <c r="E9" s="42"/>
      <c r="G9" s="114"/>
    </row>
    <row r="10" spans="1:7" ht="15.75" x14ac:dyDescent="0.25">
      <c r="A10" s="41" t="s">
        <v>328</v>
      </c>
      <c r="B10" s="22">
        <v>405</v>
      </c>
      <c r="C10" s="90" t="s">
        <v>312</v>
      </c>
      <c r="D10" s="91">
        <v>410</v>
      </c>
      <c r="E10" s="42"/>
      <c r="G10" s="114"/>
    </row>
    <row r="11" spans="1:7" ht="15.75" x14ac:dyDescent="0.25">
      <c r="A11" s="41" t="s">
        <v>27</v>
      </c>
      <c r="B11" s="22">
        <v>1515</v>
      </c>
      <c r="C11" s="90" t="s">
        <v>58</v>
      </c>
      <c r="D11" s="91">
        <v>860</v>
      </c>
      <c r="E11" s="42"/>
      <c r="G11" s="114"/>
    </row>
    <row r="12" spans="1:7" ht="15.75" x14ac:dyDescent="0.25">
      <c r="A12" s="41" t="s">
        <v>80</v>
      </c>
      <c r="B12" s="22">
        <v>13997</v>
      </c>
      <c r="C12" s="90" t="s">
        <v>313</v>
      </c>
      <c r="D12" s="91">
        <v>830</v>
      </c>
      <c r="E12" s="89"/>
      <c r="G12" s="115"/>
    </row>
    <row r="13" spans="1:7" ht="15.75" x14ac:dyDescent="0.25">
      <c r="A13" s="41" t="s">
        <v>81</v>
      </c>
      <c r="B13" s="22">
        <v>1702</v>
      </c>
      <c r="C13" s="90" t="s">
        <v>314</v>
      </c>
      <c r="D13" s="91">
        <v>2520</v>
      </c>
      <c r="E13" s="89"/>
      <c r="G13" s="115"/>
    </row>
    <row r="14" spans="1:7" x14ac:dyDescent="0.25">
      <c r="A14" s="41" t="s">
        <v>27</v>
      </c>
      <c r="B14" s="22">
        <v>580</v>
      </c>
      <c r="C14" s="90" t="s">
        <v>316</v>
      </c>
      <c r="D14" s="91">
        <v>10</v>
      </c>
      <c r="E14" s="89"/>
    </row>
    <row r="15" spans="1:7" x14ac:dyDescent="0.25">
      <c r="A15" s="41" t="s">
        <v>343</v>
      </c>
      <c r="B15" s="22">
        <v>14925</v>
      </c>
      <c r="C15" s="90" t="s">
        <v>68</v>
      </c>
      <c r="D15" s="91">
        <v>965</v>
      </c>
      <c r="E15" s="89"/>
    </row>
    <row r="16" spans="1:7" x14ac:dyDescent="0.25">
      <c r="A16" s="41" t="s">
        <v>216</v>
      </c>
      <c r="B16" s="22">
        <v>310</v>
      </c>
      <c r="C16" s="20" t="s">
        <v>17</v>
      </c>
      <c r="D16" s="91">
        <v>2115</v>
      </c>
      <c r="E16" s="42"/>
    </row>
    <row r="17" spans="1:7" x14ac:dyDescent="0.25">
      <c r="A17" s="41" t="s">
        <v>27</v>
      </c>
      <c r="B17" s="22">
        <v>205</v>
      </c>
      <c r="C17" s="20" t="s">
        <v>317</v>
      </c>
      <c r="D17" s="96">
        <v>970</v>
      </c>
      <c r="E17" s="42"/>
    </row>
    <row r="18" spans="1:7" x14ac:dyDescent="0.25">
      <c r="A18" s="41" t="s">
        <v>6</v>
      </c>
      <c r="B18" s="22">
        <v>9100</v>
      </c>
      <c r="C18" s="20" t="s">
        <v>320</v>
      </c>
      <c r="D18" s="96">
        <v>2215</v>
      </c>
      <c r="E18" s="42"/>
      <c r="G18" s="97"/>
    </row>
    <row r="19" spans="1:7" x14ac:dyDescent="0.25">
      <c r="A19" s="41" t="s">
        <v>93</v>
      </c>
      <c r="B19" s="22">
        <v>640</v>
      </c>
      <c r="C19" s="20" t="s">
        <v>319</v>
      </c>
      <c r="D19" s="96">
        <v>7</v>
      </c>
      <c r="E19" s="42"/>
      <c r="G19" s="97"/>
    </row>
    <row r="20" spans="1:7" x14ac:dyDescent="0.25">
      <c r="A20" s="41" t="s">
        <v>348</v>
      </c>
      <c r="B20" s="22">
        <v>15</v>
      </c>
      <c r="C20" s="20" t="s">
        <v>321</v>
      </c>
      <c r="D20" s="91">
        <v>6000</v>
      </c>
      <c r="E20" s="42"/>
      <c r="G20" s="97"/>
    </row>
    <row r="21" spans="1:7" x14ac:dyDescent="0.25">
      <c r="A21" s="41" t="s">
        <v>349</v>
      </c>
      <c r="B21" s="22">
        <v>14745</v>
      </c>
      <c r="C21" s="20" t="s">
        <v>12</v>
      </c>
      <c r="D21" s="21">
        <f>1600+1230</f>
        <v>2830</v>
      </c>
      <c r="E21" s="42"/>
      <c r="G21" s="97"/>
    </row>
    <row r="22" spans="1:7" ht="15.75" x14ac:dyDescent="0.25">
      <c r="A22" s="41" t="s">
        <v>362</v>
      </c>
      <c r="B22" s="22">
        <v>8897</v>
      </c>
      <c r="C22" s="90" t="s">
        <v>66</v>
      </c>
      <c r="D22" s="32">
        <v>3200</v>
      </c>
      <c r="E22" s="42"/>
      <c r="F22" s="15"/>
      <c r="G22" s="97"/>
    </row>
    <row r="23" spans="1:7" ht="15.75" x14ac:dyDescent="0.25">
      <c r="A23" s="41" t="s">
        <v>27</v>
      </c>
      <c r="B23" s="22">
        <v>705</v>
      </c>
      <c r="C23" s="90" t="s">
        <v>324</v>
      </c>
      <c r="D23" s="32">
        <v>50</v>
      </c>
      <c r="E23" s="42"/>
      <c r="F23" s="15"/>
      <c r="G23" s="97"/>
    </row>
    <row r="24" spans="1:7" ht="15.75" x14ac:dyDescent="0.25">
      <c r="A24" s="20" t="s">
        <v>351</v>
      </c>
      <c r="B24" s="22">
        <v>100</v>
      </c>
      <c r="C24" s="90" t="s">
        <v>195</v>
      </c>
      <c r="D24" s="32">
        <v>100</v>
      </c>
      <c r="E24" s="42"/>
      <c r="F24" s="15"/>
      <c r="G24" s="97"/>
    </row>
    <row r="25" spans="1:7" ht="15.75" x14ac:dyDescent="0.25">
      <c r="A25" s="20" t="s">
        <v>15</v>
      </c>
      <c r="B25" s="20">
        <v>15772</v>
      </c>
      <c r="C25" s="90" t="s">
        <v>325</v>
      </c>
      <c r="D25" s="32">
        <v>900</v>
      </c>
      <c r="E25" s="42"/>
      <c r="F25" s="15"/>
      <c r="G25" s="97"/>
    </row>
    <row r="26" spans="1:7" ht="15.75" x14ac:dyDescent="0.25">
      <c r="A26" s="20" t="s">
        <v>90</v>
      </c>
      <c r="B26" s="22">
        <v>354</v>
      </c>
      <c r="C26" s="90" t="s">
        <v>326</v>
      </c>
      <c r="D26" s="32">
        <v>4500</v>
      </c>
      <c r="E26" s="42"/>
      <c r="F26" s="15"/>
      <c r="G26" s="97"/>
    </row>
    <row r="27" spans="1:7" ht="15.75" x14ac:dyDescent="0.25">
      <c r="A27" s="20" t="s">
        <v>374</v>
      </c>
      <c r="B27" s="22">
        <v>2220</v>
      </c>
      <c r="C27" s="90" t="s">
        <v>91</v>
      </c>
      <c r="D27" s="32">
        <v>175</v>
      </c>
      <c r="E27" s="42"/>
      <c r="F27" s="15"/>
      <c r="G27" s="97"/>
    </row>
    <row r="28" spans="1:7" ht="15.75" x14ac:dyDescent="0.25">
      <c r="A28" s="20" t="s">
        <v>375</v>
      </c>
      <c r="B28" s="22">
        <v>50</v>
      </c>
      <c r="C28" s="90" t="s">
        <v>327</v>
      </c>
      <c r="D28" s="32">
        <v>115</v>
      </c>
      <c r="E28" s="42"/>
      <c r="F28" s="15"/>
      <c r="G28" s="97"/>
    </row>
    <row r="29" spans="1:7" ht="15.75" x14ac:dyDescent="0.25">
      <c r="A29" s="20" t="s">
        <v>35</v>
      </c>
      <c r="B29" s="22">
        <v>20</v>
      </c>
      <c r="C29" s="90" t="s">
        <v>92</v>
      </c>
      <c r="D29" s="32">
        <v>155</v>
      </c>
      <c r="E29" s="42"/>
      <c r="F29" s="15"/>
      <c r="G29" s="97"/>
    </row>
    <row r="30" spans="1:7" ht="15.75" x14ac:dyDescent="0.25">
      <c r="A30" s="20" t="s">
        <v>85</v>
      </c>
      <c r="B30" s="32">
        <v>11995</v>
      </c>
      <c r="C30" s="20" t="s">
        <v>329</v>
      </c>
      <c r="D30" s="21">
        <v>350</v>
      </c>
      <c r="E30" s="42"/>
      <c r="F30" s="15"/>
      <c r="G30" s="97"/>
    </row>
    <row r="31" spans="1:7" ht="15.75" x14ac:dyDescent="0.25">
      <c r="A31" s="20" t="s">
        <v>391</v>
      </c>
      <c r="B31" s="32">
        <v>245</v>
      </c>
      <c r="C31" s="20" t="s">
        <v>330</v>
      </c>
      <c r="D31" s="21">
        <v>1500</v>
      </c>
      <c r="E31" s="42"/>
      <c r="F31" s="15"/>
      <c r="G31" s="97"/>
    </row>
    <row r="32" spans="1:7" ht="15.75" x14ac:dyDescent="0.25">
      <c r="A32" s="20"/>
      <c r="B32" s="32"/>
      <c r="C32" s="20" t="s">
        <v>331</v>
      </c>
      <c r="D32" s="21">
        <v>1400</v>
      </c>
      <c r="E32" s="42"/>
      <c r="F32" s="15"/>
      <c r="G32" s="97"/>
    </row>
    <row r="33" spans="1:7" ht="15.75" x14ac:dyDescent="0.25">
      <c r="A33" s="20"/>
      <c r="B33" s="32"/>
      <c r="C33" s="7" t="s">
        <v>57</v>
      </c>
      <c r="D33" s="21">
        <v>1687</v>
      </c>
      <c r="E33" s="42"/>
      <c r="F33" s="15"/>
      <c r="G33" s="97"/>
    </row>
    <row r="34" spans="1:7" ht="15.75" x14ac:dyDescent="0.25">
      <c r="A34" s="20"/>
      <c r="B34" s="32"/>
      <c r="C34" s="20" t="s">
        <v>332</v>
      </c>
      <c r="D34" s="21">
        <v>500</v>
      </c>
      <c r="E34" s="42"/>
      <c r="F34" s="15"/>
      <c r="G34" s="97"/>
    </row>
    <row r="35" spans="1:7" ht="15.75" x14ac:dyDescent="0.25">
      <c r="A35" s="20"/>
      <c r="B35" s="22"/>
      <c r="C35" s="20" t="s">
        <v>335</v>
      </c>
      <c r="D35" s="32">
        <v>68</v>
      </c>
      <c r="E35" s="42"/>
      <c r="F35" s="15"/>
    </row>
    <row r="36" spans="1:7" ht="15.75" x14ac:dyDescent="0.25">
      <c r="A36" s="20"/>
      <c r="B36" s="22"/>
      <c r="C36" s="20" t="s">
        <v>333</v>
      </c>
      <c r="D36" s="32">
        <v>784</v>
      </c>
      <c r="E36" s="42"/>
      <c r="F36" s="15"/>
    </row>
    <row r="37" spans="1:7" ht="15.75" x14ac:dyDescent="0.25">
      <c r="A37" s="20"/>
      <c r="B37" s="22"/>
      <c r="C37" s="20" t="s">
        <v>334</v>
      </c>
      <c r="D37" s="32">
        <v>690</v>
      </c>
      <c r="E37" s="42"/>
      <c r="F37" s="15"/>
    </row>
    <row r="38" spans="1:7" ht="15.75" x14ac:dyDescent="0.25">
      <c r="A38" s="20"/>
      <c r="B38" s="22"/>
      <c r="C38" s="20" t="s">
        <v>336</v>
      </c>
      <c r="D38" s="32">
        <v>8070</v>
      </c>
      <c r="E38" s="42"/>
      <c r="F38" s="15"/>
    </row>
    <row r="39" spans="1:7" ht="15.75" x14ac:dyDescent="0.25">
      <c r="A39" s="20"/>
      <c r="B39" s="22"/>
      <c r="C39" s="20" t="s">
        <v>38</v>
      </c>
      <c r="D39" s="32">
        <v>120</v>
      </c>
      <c r="E39" s="42"/>
      <c r="F39" s="15"/>
    </row>
    <row r="40" spans="1:7" ht="15.75" x14ac:dyDescent="0.25">
      <c r="A40" s="20"/>
      <c r="B40" s="32"/>
      <c r="C40" s="20" t="s">
        <v>13</v>
      </c>
      <c r="D40" s="32">
        <v>50</v>
      </c>
      <c r="E40" s="42"/>
      <c r="F40" s="15"/>
    </row>
    <row r="41" spans="1:7" ht="15.75" x14ac:dyDescent="0.25">
      <c r="A41" s="20"/>
      <c r="B41" s="32"/>
      <c r="C41" s="20" t="s">
        <v>337</v>
      </c>
      <c r="D41" s="32">
        <v>6340</v>
      </c>
      <c r="E41" s="42"/>
      <c r="F41" s="15"/>
    </row>
    <row r="42" spans="1:7" ht="15.75" x14ac:dyDescent="0.25">
      <c r="A42" s="20"/>
      <c r="B42" s="32"/>
      <c r="C42" s="20" t="s">
        <v>338</v>
      </c>
      <c r="D42" s="32">
        <v>1000</v>
      </c>
      <c r="E42" s="42"/>
      <c r="F42" s="15"/>
    </row>
    <row r="43" spans="1:7" ht="15.75" x14ac:dyDescent="0.25">
      <c r="A43" s="20"/>
      <c r="B43" s="32"/>
      <c r="C43" s="20" t="s">
        <v>210</v>
      </c>
      <c r="D43" s="32">
        <v>195</v>
      </c>
      <c r="E43" s="42"/>
      <c r="F43" s="15"/>
    </row>
    <row r="44" spans="1:7" ht="15.75" x14ac:dyDescent="0.25">
      <c r="A44" s="20"/>
      <c r="B44" s="22"/>
      <c r="C44" s="20" t="s">
        <v>9</v>
      </c>
      <c r="D44" s="32">
        <v>100</v>
      </c>
      <c r="E44" s="42"/>
      <c r="F44" s="15"/>
    </row>
    <row r="45" spans="1:7" ht="15.75" x14ac:dyDescent="0.25">
      <c r="A45" s="20"/>
      <c r="B45" s="22"/>
      <c r="C45" s="20" t="s">
        <v>341</v>
      </c>
      <c r="D45" s="32">
        <v>100</v>
      </c>
      <c r="E45" s="42"/>
      <c r="F45" s="15"/>
    </row>
    <row r="46" spans="1:7" ht="15.75" x14ac:dyDescent="0.25">
      <c r="A46" s="20"/>
      <c r="B46" s="22"/>
      <c r="C46" s="20" t="s">
        <v>212</v>
      </c>
      <c r="D46" s="32">
        <v>60</v>
      </c>
      <c r="E46" s="42"/>
      <c r="F46" s="15"/>
    </row>
    <row r="47" spans="1:7" ht="15.75" x14ac:dyDescent="0.25">
      <c r="A47" s="20"/>
      <c r="B47" s="22"/>
      <c r="C47" s="20" t="s">
        <v>342</v>
      </c>
      <c r="D47" s="32">
        <v>12000</v>
      </c>
      <c r="E47" s="42"/>
      <c r="F47" s="15"/>
    </row>
    <row r="48" spans="1:7" ht="15.75" x14ac:dyDescent="0.25">
      <c r="A48" s="20"/>
      <c r="B48" s="22"/>
      <c r="C48" s="20" t="s">
        <v>255</v>
      </c>
      <c r="D48" s="32">
        <v>135</v>
      </c>
      <c r="E48" s="42"/>
      <c r="F48" s="15"/>
    </row>
    <row r="49" spans="1:7" ht="15.75" x14ac:dyDescent="0.25">
      <c r="A49" s="20"/>
      <c r="B49" s="22"/>
      <c r="C49" s="20" t="s">
        <v>7</v>
      </c>
      <c r="D49" s="32">
        <v>125</v>
      </c>
      <c r="E49" s="42"/>
      <c r="F49" s="15"/>
    </row>
    <row r="50" spans="1:7" ht="15.75" x14ac:dyDescent="0.25">
      <c r="A50" s="20"/>
      <c r="B50" s="22"/>
      <c r="C50" s="20" t="s">
        <v>89</v>
      </c>
      <c r="D50" s="32">
        <v>120</v>
      </c>
      <c r="E50" s="42"/>
      <c r="F50" s="15"/>
    </row>
    <row r="51" spans="1:7" ht="15.75" x14ac:dyDescent="0.25">
      <c r="A51" s="20"/>
      <c r="B51" s="22"/>
      <c r="C51" s="20" t="s">
        <v>11</v>
      </c>
      <c r="D51" s="32">
        <v>350</v>
      </c>
      <c r="E51" s="42"/>
      <c r="F51" s="15"/>
      <c r="G51">
        <v>2650</v>
      </c>
    </row>
    <row r="52" spans="1:7" ht="15.75" x14ac:dyDescent="0.25">
      <c r="A52" s="20"/>
      <c r="B52" s="22"/>
      <c r="C52" s="20" t="s">
        <v>339</v>
      </c>
      <c r="D52" s="32">
        <v>240</v>
      </c>
      <c r="E52" s="42"/>
      <c r="F52" s="15"/>
      <c r="G52">
        <v>1000</v>
      </c>
    </row>
    <row r="53" spans="1:7" x14ac:dyDescent="0.25">
      <c r="A53" s="20"/>
      <c r="B53" s="22"/>
      <c r="C53" s="20" t="s">
        <v>340</v>
      </c>
      <c r="D53" s="32">
        <v>210</v>
      </c>
      <c r="E53" s="42"/>
      <c r="G53">
        <v>420</v>
      </c>
    </row>
    <row r="54" spans="1:7" x14ac:dyDescent="0.25">
      <c r="A54" s="20"/>
      <c r="B54" s="22"/>
      <c r="C54" s="20" t="s">
        <v>345</v>
      </c>
      <c r="D54" s="32">
        <v>2890</v>
      </c>
      <c r="E54" s="42"/>
    </row>
    <row r="55" spans="1:7" x14ac:dyDescent="0.25">
      <c r="A55" s="20"/>
      <c r="B55" s="32"/>
      <c r="C55" s="20" t="s">
        <v>119</v>
      </c>
      <c r="D55" s="32">
        <v>35</v>
      </c>
      <c r="E55" s="42"/>
    </row>
    <row r="56" spans="1:7" x14ac:dyDescent="0.25">
      <c r="A56" s="20"/>
      <c r="B56" s="22"/>
      <c r="C56" s="20" t="s">
        <v>97</v>
      </c>
      <c r="D56" s="32">
        <v>40</v>
      </c>
      <c r="E56" s="42"/>
    </row>
    <row r="57" spans="1:7" x14ac:dyDescent="0.25">
      <c r="A57" s="20"/>
      <c r="B57" s="22"/>
      <c r="C57" s="20" t="s">
        <v>346</v>
      </c>
      <c r="D57" s="32">
        <v>45240</v>
      </c>
      <c r="E57" s="42"/>
    </row>
    <row r="58" spans="1:7" x14ac:dyDescent="0.25">
      <c r="A58" s="20"/>
      <c r="B58" s="22"/>
      <c r="C58" s="20" t="s">
        <v>16</v>
      </c>
      <c r="D58" s="32">
        <v>4810</v>
      </c>
      <c r="E58" s="42"/>
    </row>
    <row r="59" spans="1:7" x14ac:dyDescent="0.25">
      <c r="A59" s="20"/>
      <c r="B59" s="32"/>
      <c r="C59" s="20" t="s">
        <v>352</v>
      </c>
      <c r="D59" s="32">
        <v>25000</v>
      </c>
      <c r="E59" s="42"/>
    </row>
    <row r="60" spans="1:7" x14ac:dyDescent="0.25">
      <c r="A60" s="20"/>
      <c r="B60" s="32"/>
      <c r="C60" s="20" t="s">
        <v>353</v>
      </c>
      <c r="D60" s="32">
        <v>95</v>
      </c>
      <c r="E60" s="42"/>
    </row>
    <row r="61" spans="1:7" x14ac:dyDescent="0.25">
      <c r="A61" s="20"/>
      <c r="B61" s="32"/>
      <c r="C61" s="20" t="s">
        <v>29</v>
      </c>
      <c r="D61" s="32">
        <v>480</v>
      </c>
      <c r="E61" s="42"/>
    </row>
    <row r="62" spans="1:7" x14ac:dyDescent="0.25">
      <c r="A62" s="20"/>
      <c r="B62" s="32"/>
      <c r="C62" s="20" t="s">
        <v>14</v>
      </c>
      <c r="D62" s="32">
        <f>7*115+225+140</f>
        <v>1170</v>
      </c>
      <c r="E62" s="42"/>
    </row>
    <row r="63" spans="1:7" x14ac:dyDescent="0.25">
      <c r="A63" s="20"/>
      <c r="B63" s="22"/>
      <c r="C63" s="20" t="s">
        <v>92</v>
      </c>
      <c r="D63" s="32">
        <v>155</v>
      </c>
      <c r="E63" s="42"/>
    </row>
    <row r="64" spans="1:7" x14ac:dyDescent="0.25">
      <c r="A64" s="20"/>
      <c r="B64" s="22"/>
      <c r="C64" s="20" t="s">
        <v>105</v>
      </c>
      <c r="D64" s="32">
        <v>17</v>
      </c>
      <c r="E64" s="42"/>
    </row>
    <row r="65" spans="1:5" x14ac:dyDescent="0.25">
      <c r="A65" s="20"/>
      <c r="B65" s="22"/>
      <c r="C65" s="20" t="s">
        <v>356</v>
      </c>
      <c r="D65" s="32">
        <v>520</v>
      </c>
      <c r="E65" s="42"/>
    </row>
    <row r="66" spans="1:5" x14ac:dyDescent="0.25">
      <c r="A66" s="20"/>
      <c r="B66" s="22"/>
      <c r="C66" s="20" t="s">
        <v>339</v>
      </c>
      <c r="D66" s="32">
        <v>360</v>
      </c>
      <c r="E66" s="42"/>
    </row>
    <row r="67" spans="1:5" ht="23.25" customHeight="1" x14ac:dyDescent="0.25">
      <c r="A67" s="20"/>
      <c r="B67" s="22"/>
      <c r="C67" s="20" t="s">
        <v>87</v>
      </c>
      <c r="D67" s="32">
        <v>100</v>
      </c>
      <c r="E67" s="42"/>
    </row>
    <row r="68" spans="1:5" x14ac:dyDescent="0.25">
      <c r="A68" s="20"/>
      <c r="B68" s="22"/>
      <c r="C68" s="20" t="s">
        <v>359</v>
      </c>
      <c r="D68" s="32">
        <v>180</v>
      </c>
      <c r="E68" s="42"/>
    </row>
    <row r="69" spans="1:5" x14ac:dyDescent="0.25">
      <c r="A69" s="20"/>
      <c r="B69" s="22"/>
      <c r="C69" s="20" t="s">
        <v>91</v>
      </c>
      <c r="D69" s="32">
        <v>175</v>
      </c>
      <c r="E69" s="42"/>
    </row>
    <row r="70" spans="1:5" x14ac:dyDescent="0.25">
      <c r="A70" s="20"/>
      <c r="B70" s="22"/>
      <c r="C70" s="20" t="s">
        <v>360</v>
      </c>
      <c r="D70" s="32">
        <v>2080</v>
      </c>
      <c r="E70" s="42"/>
    </row>
    <row r="71" spans="1:5" x14ac:dyDescent="0.25">
      <c r="A71" s="20"/>
      <c r="B71" s="22"/>
      <c r="C71" s="20" t="s">
        <v>361</v>
      </c>
      <c r="D71" s="32">
        <v>5480</v>
      </c>
      <c r="E71" s="42"/>
    </row>
    <row r="72" spans="1:5" x14ac:dyDescent="0.25">
      <c r="A72" s="20"/>
      <c r="B72" s="32"/>
      <c r="C72" s="20" t="s">
        <v>223</v>
      </c>
      <c r="D72" s="32">
        <v>90</v>
      </c>
      <c r="E72" s="42"/>
    </row>
    <row r="73" spans="1:5" x14ac:dyDescent="0.25">
      <c r="A73" s="20"/>
      <c r="B73" s="32"/>
      <c r="C73" s="20" t="s">
        <v>364</v>
      </c>
      <c r="D73" s="32">
        <v>4000</v>
      </c>
      <c r="E73" s="42"/>
    </row>
    <row r="74" spans="1:5" x14ac:dyDescent="0.25">
      <c r="A74" s="20"/>
      <c r="B74" s="32"/>
      <c r="C74" s="20" t="s">
        <v>82</v>
      </c>
      <c r="D74" s="32">
        <v>80</v>
      </c>
      <c r="E74" s="42"/>
    </row>
    <row r="75" spans="1:5" x14ac:dyDescent="0.25">
      <c r="A75" s="20"/>
      <c r="B75" s="22"/>
      <c r="C75" s="20" t="s">
        <v>366</v>
      </c>
      <c r="D75" s="32">
        <v>75</v>
      </c>
      <c r="E75" s="42"/>
    </row>
    <row r="76" spans="1:5" x14ac:dyDescent="0.25">
      <c r="A76" s="20"/>
      <c r="B76" s="22"/>
      <c r="C76" s="20" t="s">
        <v>27</v>
      </c>
      <c r="D76" s="22">
        <v>1500</v>
      </c>
      <c r="E76" s="42"/>
    </row>
    <row r="77" spans="1:5" x14ac:dyDescent="0.25">
      <c r="A77" s="20"/>
      <c r="B77" s="22"/>
      <c r="C77" s="20" t="s">
        <v>370</v>
      </c>
      <c r="D77" s="32">
        <v>20</v>
      </c>
      <c r="E77" s="42"/>
    </row>
    <row r="78" spans="1:5" x14ac:dyDescent="0.25">
      <c r="A78" s="20"/>
      <c r="B78" s="22"/>
      <c r="C78" s="87" t="s">
        <v>371</v>
      </c>
      <c r="D78" s="91">
        <v>3350</v>
      </c>
      <c r="E78" s="42"/>
    </row>
    <row r="79" spans="1:5" x14ac:dyDescent="0.25">
      <c r="A79" s="20"/>
      <c r="B79" s="22"/>
      <c r="C79" s="87" t="s">
        <v>372</v>
      </c>
      <c r="D79" s="91">
        <v>1600</v>
      </c>
      <c r="E79" s="42"/>
    </row>
    <row r="80" spans="1:5" x14ac:dyDescent="0.25">
      <c r="A80" s="20"/>
      <c r="B80" s="22"/>
      <c r="C80" s="87" t="s">
        <v>47</v>
      </c>
      <c r="D80" s="91">
        <v>1282</v>
      </c>
      <c r="E80" s="42"/>
    </row>
    <row r="81" spans="1:5" x14ac:dyDescent="0.25">
      <c r="A81" s="20"/>
      <c r="B81" s="22"/>
      <c r="C81" s="87" t="s">
        <v>376</v>
      </c>
      <c r="D81" s="91">
        <v>150</v>
      </c>
      <c r="E81" s="42"/>
    </row>
    <row r="82" spans="1:5" x14ac:dyDescent="0.25">
      <c r="A82" s="20"/>
      <c r="B82" s="22"/>
      <c r="C82" s="87" t="s">
        <v>26</v>
      </c>
      <c r="D82" s="91">
        <v>75</v>
      </c>
      <c r="E82" s="42"/>
    </row>
    <row r="83" spans="1:5" x14ac:dyDescent="0.25">
      <c r="A83" s="20"/>
      <c r="B83" s="22"/>
      <c r="C83" s="87" t="s">
        <v>60</v>
      </c>
      <c r="D83" s="91">
        <f>15*10</f>
        <v>150</v>
      </c>
      <c r="E83" s="42"/>
    </row>
    <row r="84" spans="1:5" x14ac:dyDescent="0.25">
      <c r="A84" s="20"/>
      <c r="B84" s="21"/>
      <c r="C84" s="87" t="s">
        <v>380</v>
      </c>
      <c r="D84" s="91">
        <v>195</v>
      </c>
      <c r="E84" s="42"/>
    </row>
    <row r="85" spans="1:5" x14ac:dyDescent="0.25">
      <c r="A85" s="20"/>
      <c r="B85" s="21"/>
      <c r="C85" s="87" t="s">
        <v>381</v>
      </c>
      <c r="D85" s="91">
        <v>110</v>
      </c>
      <c r="E85" s="42"/>
    </row>
    <row r="86" spans="1:5" x14ac:dyDescent="0.25">
      <c r="A86" s="20"/>
      <c r="B86" s="21"/>
      <c r="C86" s="87" t="s">
        <v>382</v>
      </c>
      <c r="D86" s="91">
        <v>120</v>
      </c>
      <c r="E86" s="42"/>
    </row>
    <row r="87" spans="1:5" x14ac:dyDescent="0.25">
      <c r="A87" s="20"/>
      <c r="B87" s="21"/>
      <c r="C87" s="87" t="s">
        <v>383</v>
      </c>
      <c r="D87" s="91">
        <v>1675</v>
      </c>
      <c r="E87" s="42"/>
    </row>
    <row r="88" spans="1:5" x14ac:dyDescent="0.25">
      <c r="A88" s="20"/>
      <c r="B88" s="21"/>
      <c r="C88" s="87" t="s">
        <v>384</v>
      </c>
      <c r="D88" s="91">
        <v>1625</v>
      </c>
      <c r="E88" s="42"/>
    </row>
    <row r="89" spans="1:5" x14ac:dyDescent="0.25">
      <c r="A89" s="20"/>
      <c r="B89" s="21"/>
      <c r="C89" s="87" t="s">
        <v>390</v>
      </c>
      <c r="D89" s="91">
        <f>3600-520</f>
        <v>3080</v>
      </c>
      <c r="E89" s="42"/>
    </row>
    <row r="90" spans="1:5" x14ac:dyDescent="0.25">
      <c r="A90" s="20"/>
      <c r="B90" s="21"/>
      <c r="C90" s="20" t="s">
        <v>429</v>
      </c>
      <c r="D90" s="21">
        <v>1280</v>
      </c>
      <c r="E90" s="42"/>
    </row>
    <row r="91" spans="1:5" x14ac:dyDescent="0.25">
      <c r="A91" s="20"/>
      <c r="B91" s="21"/>
      <c r="C91" s="20" t="s">
        <v>389</v>
      </c>
      <c r="D91" s="21">
        <v>500</v>
      </c>
      <c r="E91" s="42"/>
    </row>
    <row r="92" spans="1:5" x14ac:dyDescent="0.25">
      <c r="A92" s="20"/>
      <c r="B92" s="21"/>
      <c r="C92" s="20" t="s">
        <v>387</v>
      </c>
      <c r="D92" s="21">
        <v>10000</v>
      </c>
      <c r="E92" s="42"/>
    </row>
    <row r="93" spans="1:5" x14ac:dyDescent="0.25">
      <c r="A93" s="20"/>
      <c r="B93" s="21"/>
      <c r="C93" s="116" t="s">
        <v>379</v>
      </c>
      <c r="D93" s="32">
        <v>2955</v>
      </c>
      <c r="E93" s="42"/>
    </row>
    <row r="94" spans="1:5" x14ac:dyDescent="0.25">
      <c r="A94" s="20"/>
      <c r="B94" s="21"/>
      <c r="C94" s="116" t="s">
        <v>378</v>
      </c>
      <c r="D94" s="21">
        <v>20</v>
      </c>
      <c r="E94" s="42"/>
    </row>
    <row r="95" spans="1:5" x14ac:dyDescent="0.25">
      <c r="A95" s="20"/>
      <c r="B95" s="21"/>
      <c r="C95" s="20" t="s">
        <v>27</v>
      </c>
      <c r="D95" s="21">
        <v>195</v>
      </c>
      <c r="E95" s="42"/>
    </row>
    <row r="96" spans="1:5" x14ac:dyDescent="0.25">
      <c r="A96" s="20"/>
      <c r="B96" s="21"/>
      <c r="C96" s="20" t="s">
        <v>365</v>
      </c>
      <c r="D96" s="32">
        <v>940</v>
      </c>
      <c r="E96" s="42"/>
    </row>
    <row r="97" spans="1:5" x14ac:dyDescent="0.25">
      <c r="A97" s="20"/>
      <c r="B97" s="21"/>
      <c r="C97" s="20" t="s">
        <v>358</v>
      </c>
      <c r="D97" s="32">
        <v>29</v>
      </c>
      <c r="E97" s="42"/>
    </row>
    <row r="98" spans="1:5" x14ac:dyDescent="0.25">
      <c r="A98" s="20"/>
      <c r="B98" s="21"/>
      <c r="C98" s="20" t="s">
        <v>357</v>
      </c>
      <c r="D98" s="32">
        <v>69</v>
      </c>
      <c r="E98" s="42"/>
    </row>
    <row r="99" spans="1:5" x14ac:dyDescent="0.25">
      <c r="A99" s="20"/>
      <c r="B99" s="21"/>
      <c r="C99" s="20" t="s">
        <v>27</v>
      </c>
      <c r="D99" s="21">
        <v>405</v>
      </c>
      <c r="E99" s="42"/>
    </row>
    <row r="100" spans="1:5" x14ac:dyDescent="0.25">
      <c r="A100" s="20"/>
      <c r="B100" s="21"/>
      <c r="C100" s="20" t="s">
        <v>355</v>
      </c>
      <c r="D100" s="21">
        <v>70</v>
      </c>
      <c r="E100" s="42"/>
    </row>
    <row r="101" spans="1:5" x14ac:dyDescent="0.25">
      <c r="A101" s="20"/>
      <c r="B101" s="21"/>
      <c r="C101" s="20" t="s">
        <v>354</v>
      </c>
      <c r="D101" s="96">
        <v>244</v>
      </c>
      <c r="E101" s="42"/>
    </row>
    <row r="102" spans="1:5" x14ac:dyDescent="0.25">
      <c r="A102" s="20"/>
      <c r="B102" s="21"/>
      <c r="C102" s="20"/>
      <c r="D102" s="21"/>
      <c r="E102" s="42"/>
    </row>
    <row r="103" spans="1:5" x14ac:dyDescent="0.25">
      <c r="A103" s="20"/>
      <c r="B103" s="21"/>
      <c r="C103" s="20"/>
      <c r="D103" s="21"/>
      <c r="E103" s="42"/>
    </row>
    <row r="104" spans="1:5" x14ac:dyDescent="0.25">
      <c r="A104" s="20"/>
      <c r="B104" s="21"/>
      <c r="C104" s="203"/>
      <c r="D104" s="150"/>
      <c r="E104" s="42"/>
    </row>
    <row r="105" spans="1:5" x14ac:dyDescent="0.25">
      <c r="A105" s="20"/>
      <c r="B105" s="21"/>
      <c r="C105" s="203"/>
      <c r="D105" s="150"/>
      <c r="E105" s="42"/>
    </row>
    <row r="106" spans="1:5" x14ac:dyDescent="0.25">
      <c r="A106" s="20"/>
      <c r="B106" s="21"/>
      <c r="C106" s="203"/>
      <c r="D106" s="150"/>
      <c r="E106" s="42"/>
    </row>
    <row r="107" spans="1:5" x14ac:dyDescent="0.25">
      <c r="A107" s="20"/>
      <c r="B107" s="21"/>
      <c r="C107" s="203"/>
      <c r="D107" s="150"/>
      <c r="E107" s="42"/>
    </row>
    <row r="108" spans="1:5" x14ac:dyDescent="0.25">
      <c r="A108" s="20"/>
      <c r="B108" s="21"/>
      <c r="C108" s="203"/>
      <c r="D108" s="150"/>
      <c r="E108" s="45"/>
    </row>
    <row r="109" spans="1:5" x14ac:dyDescent="0.25">
      <c r="A109" s="20"/>
      <c r="B109" s="32"/>
      <c r="C109" s="212"/>
      <c r="D109" s="209"/>
      <c r="E109" s="45"/>
    </row>
    <row r="110" spans="1:5" x14ac:dyDescent="0.25">
      <c r="A110" s="20"/>
      <c r="B110" s="21"/>
      <c r="C110" s="212"/>
      <c r="D110" s="209"/>
      <c r="E110" s="42"/>
    </row>
    <row r="111" spans="1:5" x14ac:dyDescent="0.25">
      <c r="A111" s="20"/>
      <c r="B111" s="21"/>
      <c r="C111" s="212"/>
      <c r="D111" s="209"/>
      <c r="E111" s="42"/>
    </row>
    <row r="112" spans="1:5" x14ac:dyDescent="0.25">
      <c r="A112" s="20"/>
      <c r="B112" s="21"/>
      <c r="C112" s="212"/>
      <c r="D112" s="209"/>
      <c r="E112" s="42"/>
    </row>
    <row r="113" spans="1:5" x14ac:dyDescent="0.25">
      <c r="A113" s="20"/>
      <c r="B113" s="21"/>
      <c r="C113" s="212"/>
      <c r="D113" s="209"/>
      <c r="E113" s="45"/>
    </row>
    <row r="114" spans="1:5" x14ac:dyDescent="0.25">
      <c r="A114" s="20"/>
      <c r="B114" s="21"/>
      <c r="C114" s="212"/>
      <c r="D114" s="209"/>
      <c r="E114" s="45"/>
    </row>
    <row r="115" spans="1:5" x14ac:dyDescent="0.25">
      <c r="A115" s="20"/>
      <c r="B115" s="21"/>
      <c r="C115" s="205"/>
      <c r="D115" s="210"/>
      <c r="E115" s="45"/>
    </row>
    <row r="116" spans="1:5" ht="19.5" thickBot="1" x14ac:dyDescent="0.35">
      <c r="A116" s="17"/>
      <c r="B116" s="12">
        <f>SUBTOTAL(109,Table572023[Column1])</f>
        <v>198785</v>
      </c>
      <c r="C116" s="13"/>
      <c r="D116" s="14">
        <f>SUBTOTAL(109,Table572023[Column2])</f>
        <v>196512</v>
      </c>
      <c r="E116" s="14"/>
    </row>
    <row r="117" spans="1:5" ht="27" thickTop="1" x14ac:dyDescent="0.25">
      <c r="D117" s="16">
        <f>Table572023[[#Totals],[Column1]]-Table572023[[#Totals],[Column2]]</f>
        <v>2273</v>
      </c>
    </row>
    <row r="118" spans="1:5" ht="24" customHeight="1" x14ac:dyDescent="0.25"/>
    <row r="119" spans="1:5" ht="18.75" x14ac:dyDescent="0.25">
      <c r="A119" s="11"/>
      <c r="B119" s="11"/>
      <c r="E119">
        <f>3150-2000+500</f>
        <v>1650</v>
      </c>
    </row>
    <row r="120" spans="1:5" ht="19.5" thickBot="1" x14ac:dyDescent="0.3">
      <c r="A120" s="11"/>
      <c r="B120" s="11"/>
      <c r="D120" t="s">
        <v>48</v>
      </c>
      <c r="E120">
        <f>32000+1000</f>
        <v>33000</v>
      </c>
    </row>
    <row r="121" spans="1:5" ht="24" thickBot="1" x14ac:dyDescent="0.3">
      <c r="A121" s="76" t="s">
        <v>9</v>
      </c>
      <c r="B121" s="460"/>
      <c r="C121" s="461"/>
      <c r="D121" t="s">
        <v>347</v>
      </c>
      <c r="E121">
        <v>9240</v>
      </c>
    </row>
    <row r="122" spans="1:5" ht="21" thickBot="1" x14ac:dyDescent="0.3">
      <c r="A122" s="53" t="s">
        <v>137</v>
      </c>
      <c r="B122" s="53" t="s">
        <v>3</v>
      </c>
      <c r="C122" s="53" t="s">
        <v>138</v>
      </c>
    </row>
    <row r="123" spans="1:5" ht="18" x14ac:dyDescent="0.25">
      <c r="A123" s="55">
        <f>4400+110</f>
        <v>4510</v>
      </c>
      <c r="B123" s="77">
        <v>70</v>
      </c>
      <c r="C123" s="57" t="s">
        <v>309</v>
      </c>
    </row>
    <row r="124" spans="1:5" ht="18" x14ac:dyDescent="0.25">
      <c r="A124" s="60"/>
      <c r="B124" s="56">
        <v>145</v>
      </c>
      <c r="C124" s="94" t="s">
        <v>19</v>
      </c>
    </row>
    <row r="125" spans="1:5" ht="18" x14ac:dyDescent="0.25">
      <c r="A125" s="60"/>
      <c r="B125" s="77">
        <v>120</v>
      </c>
      <c r="C125" s="57" t="s">
        <v>310</v>
      </c>
    </row>
    <row r="126" spans="1:5" ht="18" x14ac:dyDescent="0.25">
      <c r="A126" s="60"/>
      <c r="B126" s="77">
        <v>70</v>
      </c>
      <c r="C126" s="57" t="s">
        <v>27</v>
      </c>
      <c r="E126">
        <f>SUM(E120:E125)</f>
        <v>42240</v>
      </c>
    </row>
    <row r="127" spans="1:5" ht="18" x14ac:dyDescent="0.25">
      <c r="A127" s="60"/>
      <c r="B127" s="56">
        <v>130</v>
      </c>
      <c r="C127" s="94" t="s">
        <v>33</v>
      </c>
    </row>
    <row r="128" spans="1:5" ht="18" x14ac:dyDescent="0.25">
      <c r="A128" s="60"/>
      <c r="B128" s="56">
        <v>205</v>
      </c>
      <c r="C128" s="94" t="s">
        <v>97</v>
      </c>
    </row>
    <row r="129" spans="1:5" ht="18" x14ac:dyDescent="0.25">
      <c r="A129" s="60"/>
      <c r="B129" s="56">
        <v>70</v>
      </c>
      <c r="C129" s="94" t="s">
        <v>10</v>
      </c>
    </row>
    <row r="130" spans="1:5" ht="18" x14ac:dyDescent="0.25">
      <c r="A130" s="60"/>
      <c r="B130" s="56">
        <v>5940</v>
      </c>
      <c r="C130" s="94" t="s">
        <v>311</v>
      </c>
    </row>
    <row r="131" spans="1:5" ht="18" x14ac:dyDescent="0.25">
      <c r="A131" s="60"/>
      <c r="B131" s="56">
        <v>410</v>
      </c>
      <c r="C131" s="94" t="s">
        <v>312</v>
      </c>
    </row>
    <row r="132" spans="1:5" ht="18" x14ac:dyDescent="0.25">
      <c r="A132" s="60"/>
      <c r="B132" s="56">
        <v>860</v>
      </c>
      <c r="C132" s="94" t="s">
        <v>58</v>
      </c>
    </row>
    <row r="133" spans="1:5" ht="18" x14ac:dyDescent="0.25">
      <c r="A133" s="60"/>
      <c r="B133" s="56">
        <v>830</v>
      </c>
      <c r="C133" s="94" t="s">
        <v>313</v>
      </c>
    </row>
    <row r="134" spans="1:5" ht="18.75" thickBot="1" x14ac:dyDescent="0.3">
      <c r="A134" s="60"/>
      <c r="B134" s="56">
        <v>2520</v>
      </c>
      <c r="C134" s="94" t="s">
        <v>314</v>
      </c>
    </row>
    <row r="135" spans="1:5" ht="24" thickBot="1" x14ac:dyDescent="0.3">
      <c r="A135" s="66"/>
      <c r="B135" s="67"/>
      <c r="C135" s="64"/>
      <c r="D135" s="100" t="s">
        <v>43</v>
      </c>
      <c r="E135" s="99">
        <f>E140-E136</f>
        <v>-38</v>
      </c>
    </row>
    <row r="136" spans="1:5" ht="21" thickBot="1" x14ac:dyDescent="0.3">
      <c r="A136" s="68">
        <f>SUM(A123:A135)</f>
        <v>4510</v>
      </c>
      <c r="B136" s="69">
        <f>SUM(B123:B135)</f>
        <v>11370</v>
      </c>
      <c r="C136" s="70"/>
      <c r="D136" s="84" t="s">
        <v>94</v>
      </c>
      <c r="E136" s="85">
        <f>3443-2179</f>
        <v>1264</v>
      </c>
    </row>
    <row r="137" spans="1:5" ht="19.5" thickBot="1" x14ac:dyDescent="0.3">
      <c r="A137" s="462" t="s">
        <v>139</v>
      </c>
      <c r="B137" s="463"/>
      <c r="C137" s="71" t="s">
        <v>75</v>
      </c>
      <c r="D137" s="82" t="s">
        <v>65</v>
      </c>
      <c r="E137" s="83">
        <f>600+372</f>
        <v>972</v>
      </c>
    </row>
    <row r="138" spans="1:5" ht="24" thickBot="1" x14ac:dyDescent="0.3">
      <c r="A138" s="464">
        <f>B136+A136</f>
        <v>15880</v>
      </c>
      <c r="B138" s="465"/>
      <c r="C138" s="81"/>
      <c r="D138" s="82" t="s">
        <v>315</v>
      </c>
      <c r="E138" s="83">
        <v>10</v>
      </c>
    </row>
    <row r="139" spans="1:5" ht="24" thickBot="1" x14ac:dyDescent="0.3">
      <c r="A139" s="466" t="s">
        <v>99</v>
      </c>
      <c r="B139" s="467"/>
      <c r="C139" s="78">
        <f>A140-C140</f>
        <v>170</v>
      </c>
      <c r="D139" s="82"/>
      <c r="E139" s="83">
        <v>244</v>
      </c>
    </row>
    <row r="140" spans="1:5" ht="21" thickBot="1" x14ac:dyDescent="0.3">
      <c r="A140" s="481">
        <f>C138+A138</f>
        <v>15880</v>
      </c>
      <c r="B140" s="482"/>
      <c r="C140" s="79">
        <v>15710</v>
      </c>
      <c r="D140" s="82" t="s">
        <v>164</v>
      </c>
      <c r="E140" s="83">
        <f>SUM(E137:E139)</f>
        <v>1226</v>
      </c>
    </row>
    <row r="141" spans="1:5" ht="24" thickBot="1" x14ac:dyDescent="0.3">
      <c r="C141" s="314" t="str">
        <f>IF(C139&gt;0,"زيادة","عجز")</f>
        <v>زيادة</v>
      </c>
    </row>
    <row r="142" spans="1:5" ht="24" thickBot="1" x14ac:dyDescent="0.3">
      <c r="A142" s="76" t="s">
        <v>323</v>
      </c>
      <c r="B142" s="460"/>
      <c r="C142" s="461"/>
    </row>
    <row r="143" spans="1:5" ht="21" thickBot="1" x14ac:dyDescent="0.3">
      <c r="A143" s="53" t="s">
        <v>137</v>
      </c>
      <c r="B143" s="53" t="s">
        <v>3</v>
      </c>
      <c r="C143" s="53" t="s">
        <v>138</v>
      </c>
    </row>
    <row r="144" spans="1:5" ht="18" x14ac:dyDescent="0.25">
      <c r="A144" s="55">
        <v>5000</v>
      </c>
      <c r="B144" s="77">
        <v>2215</v>
      </c>
      <c r="C144" s="57" t="s">
        <v>318</v>
      </c>
    </row>
    <row r="145" spans="1:5" ht="18" x14ac:dyDescent="0.25">
      <c r="A145" s="60">
        <v>2450</v>
      </c>
      <c r="B145" s="56">
        <v>7</v>
      </c>
      <c r="C145" s="94" t="s">
        <v>319</v>
      </c>
    </row>
    <row r="146" spans="1:5" ht="18" x14ac:dyDescent="0.25">
      <c r="A146" s="60">
        <v>135</v>
      </c>
      <c r="B146" s="77"/>
      <c r="C146" s="57"/>
    </row>
    <row r="147" spans="1:5" ht="18" x14ac:dyDescent="0.25">
      <c r="A147" s="60"/>
      <c r="B147" s="77"/>
      <c r="C147" s="57"/>
    </row>
    <row r="148" spans="1:5" ht="18" x14ac:dyDescent="0.25">
      <c r="A148" s="60"/>
      <c r="B148" s="56"/>
      <c r="C148" s="94"/>
    </row>
    <row r="149" spans="1:5" ht="18" x14ac:dyDescent="0.25">
      <c r="A149" s="60"/>
      <c r="B149" s="56"/>
      <c r="C149" s="94"/>
    </row>
    <row r="150" spans="1:5" ht="18" x14ac:dyDescent="0.25">
      <c r="A150" s="60"/>
      <c r="B150" s="56"/>
      <c r="C150" s="94"/>
    </row>
    <row r="151" spans="1:5" ht="18" x14ac:dyDescent="0.25">
      <c r="A151" s="60"/>
      <c r="B151" s="56"/>
      <c r="C151" s="94"/>
    </row>
    <row r="152" spans="1:5" ht="18" x14ac:dyDescent="0.25">
      <c r="A152" s="60"/>
      <c r="B152" s="56"/>
      <c r="C152" s="94"/>
    </row>
    <row r="153" spans="1:5" ht="18" x14ac:dyDescent="0.25">
      <c r="A153" s="60"/>
      <c r="B153" s="56"/>
      <c r="C153" s="94"/>
    </row>
    <row r="154" spans="1:5" ht="18" x14ac:dyDescent="0.25">
      <c r="A154" s="60"/>
      <c r="B154" s="56"/>
      <c r="C154" s="94"/>
    </row>
    <row r="155" spans="1:5" ht="18" customHeight="1" thickBot="1" x14ac:dyDescent="0.3">
      <c r="A155" s="60"/>
      <c r="B155" s="56"/>
      <c r="C155" s="94"/>
    </row>
    <row r="156" spans="1:5" ht="18" customHeight="1" thickBot="1" x14ac:dyDescent="0.3">
      <c r="A156" s="66"/>
      <c r="B156" s="67"/>
      <c r="C156" s="64"/>
      <c r="D156" s="100" t="s">
        <v>43</v>
      </c>
      <c r="E156" s="99">
        <f>E161-E157</f>
        <v>0</v>
      </c>
    </row>
    <row r="157" spans="1:5" ht="21" thickBot="1" x14ac:dyDescent="0.3">
      <c r="A157" s="68">
        <f>SUM(A144:A156)</f>
        <v>7585</v>
      </c>
      <c r="B157" s="69">
        <f>SUM(B144:B156)</f>
        <v>2222</v>
      </c>
      <c r="C157" s="70"/>
      <c r="D157" s="84" t="s">
        <v>94</v>
      </c>
      <c r="E157" s="85"/>
    </row>
    <row r="158" spans="1:5" ht="19.5" thickBot="1" x14ac:dyDescent="0.3">
      <c r="A158" s="462" t="s">
        <v>139</v>
      </c>
      <c r="B158" s="463"/>
      <c r="C158" s="71" t="s">
        <v>75</v>
      </c>
      <c r="D158" s="82" t="s">
        <v>65</v>
      </c>
      <c r="E158" s="83"/>
    </row>
    <row r="159" spans="1:5" ht="24" thickBot="1" x14ac:dyDescent="0.3">
      <c r="A159" s="464">
        <f>B157+A157</f>
        <v>9807</v>
      </c>
      <c r="B159" s="465"/>
      <c r="C159" s="81">
        <f>45+238+368+216+189+431</f>
        <v>1487</v>
      </c>
      <c r="D159" s="82" t="s">
        <v>315</v>
      </c>
      <c r="E159" s="83"/>
    </row>
    <row r="160" spans="1:5" ht="24" thickBot="1" x14ac:dyDescent="0.3">
      <c r="A160" s="466" t="s">
        <v>99</v>
      </c>
      <c r="B160" s="467"/>
      <c r="C160" s="78">
        <f>A161-C161</f>
        <v>37</v>
      </c>
      <c r="D160" s="82"/>
      <c r="E160" s="83"/>
    </row>
    <row r="161" spans="1:5" ht="21.75" thickBot="1" x14ac:dyDescent="0.3">
      <c r="A161" s="481">
        <f>C159+A159</f>
        <v>11294</v>
      </c>
      <c r="B161" s="482"/>
      <c r="C161" s="79">
        <v>11257</v>
      </c>
      <c r="D161" s="82" t="s">
        <v>164</v>
      </c>
      <c r="E161" s="101">
        <f>SUM(E158:E160)</f>
        <v>0</v>
      </c>
    </row>
    <row r="162" spans="1:5" ht="24" thickBot="1" x14ac:dyDescent="0.3">
      <c r="A162"/>
      <c r="B162"/>
      <c r="C162" s="314" t="str">
        <f>IF(C160&gt;0,"زيادة","عجز")</f>
        <v>زيادة</v>
      </c>
    </row>
    <row r="163" spans="1:5" ht="18" customHeight="1" thickBot="1" x14ac:dyDescent="0.3">
      <c r="A163" s="76" t="s">
        <v>322</v>
      </c>
      <c r="B163" s="460"/>
      <c r="C163" s="461"/>
    </row>
    <row r="164" spans="1:5" ht="21" thickBot="1" x14ac:dyDescent="0.3">
      <c r="A164" s="53" t="s">
        <v>137</v>
      </c>
      <c r="B164" s="53" t="s">
        <v>3</v>
      </c>
      <c r="C164" s="53" t="s">
        <v>138</v>
      </c>
    </row>
    <row r="165" spans="1:5" ht="18" customHeight="1" x14ac:dyDescent="0.25">
      <c r="A165" s="55">
        <f>1850+85</f>
        <v>1935</v>
      </c>
      <c r="B165" s="77">
        <v>3200</v>
      </c>
      <c r="C165" s="57" t="s">
        <v>66</v>
      </c>
    </row>
    <row r="166" spans="1:5" ht="18" customHeight="1" x14ac:dyDescent="0.25">
      <c r="A166" s="60">
        <v>1000</v>
      </c>
      <c r="B166" s="56">
        <v>50</v>
      </c>
      <c r="C166" s="94" t="s">
        <v>324</v>
      </c>
    </row>
    <row r="167" spans="1:5" ht="18" customHeight="1" x14ac:dyDescent="0.25">
      <c r="A167" s="60"/>
      <c r="B167" s="77">
        <v>100</v>
      </c>
      <c r="C167" s="57" t="s">
        <v>195</v>
      </c>
    </row>
    <row r="168" spans="1:5" ht="18" customHeight="1" x14ac:dyDescent="0.25">
      <c r="A168" s="60"/>
      <c r="B168" s="77">
        <v>900</v>
      </c>
      <c r="C168" s="57" t="s">
        <v>325</v>
      </c>
    </row>
    <row r="169" spans="1:5" ht="18" x14ac:dyDescent="0.25">
      <c r="A169" s="60"/>
      <c r="B169" s="56">
        <v>4500</v>
      </c>
      <c r="C169" s="94" t="s">
        <v>326</v>
      </c>
    </row>
    <row r="170" spans="1:5" ht="18" x14ac:dyDescent="0.25">
      <c r="A170" s="60"/>
      <c r="B170" s="56">
        <v>175</v>
      </c>
      <c r="C170" s="94" t="s">
        <v>91</v>
      </c>
    </row>
    <row r="171" spans="1:5" ht="18" x14ac:dyDescent="0.25">
      <c r="A171" s="60"/>
      <c r="B171" s="56">
        <v>115</v>
      </c>
      <c r="C171" s="94" t="s">
        <v>327</v>
      </c>
    </row>
    <row r="172" spans="1:5" ht="18" x14ac:dyDescent="0.25">
      <c r="A172" s="60"/>
      <c r="B172" s="56">
        <v>155</v>
      </c>
      <c r="C172" s="94" t="s">
        <v>92</v>
      </c>
    </row>
    <row r="173" spans="1:5" ht="18" x14ac:dyDescent="0.25">
      <c r="A173" s="60"/>
      <c r="B173" s="56"/>
      <c r="C173" s="94"/>
    </row>
    <row r="174" spans="1:5" ht="18" x14ac:dyDescent="0.25">
      <c r="A174" s="60"/>
      <c r="B174" s="56"/>
      <c r="C174" s="94"/>
    </row>
    <row r="175" spans="1:5" ht="18" x14ac:dyDescent="0.25">
      <c r="A175" s="60"/>
      <c r="B175" s="56"/>
      <c r="C175" s="94"/>
    </row>
    <row r="176" spans="1:5" ht="18.75" thickBot="1" x14ac:dyDescent="0.3">
      <c r="A176" s="60"/>
      <c r="B176" s="56"/>
      <c r="C176" s="94"/>
    </row>
    <row r="177" spans="1:5" ht="18" customHeight="1" thickBot="1" x14ac:dyDescent="0.3">
      <c r="A177" s="66"/>
      <c r="B177" s="67"/>
      <c r="C177" s="64"/>
      <c r="D177" s="100" t="s">
        <v>43</v>
      </c>
      <c r="E177" s="99">
        <f>E182-E178</f>
        <v>7</v>
      </c>
    </row>
    <row r="178" spans="1:5" ht="23.25" customHeight="1" thickBot="1" x14ac:dyDescent="0.3">
      <c r="A178" s="68">
        <f>SUM(A165:A177)</f>
        <v>2935</v>
      </c>
      <c r="B178" s="69">
        <f>SUM(B165:B177)</f>
        <v>9195</v>
      </c>
      <c r="C178" s="70"/>
      <c r="D178" s="84" t="s">
        <v>94</v>
      </c>
      <c r="E178" s="85">
        <f>1742+1935-1499-1780</f>
        <v>398</v>
      </c>
    </row>
    <row r="179" spans="1:5" ht="21.75" customHeight="1" thickBot="1" x14ac:dyDescent="0.3">
      <c r="A179" s="462" t="s">
        <v>139</v>
      </c>
      <c r="B179" s="463"/>
      <c r="C179" s="71" t="s">
        <v>75</v>
      </c>
      <c r="D179" s="82" t="s">
        <v>65</v>
      </c>
      <c r="E179" s="83">
        <f>4+1+400</f>
        <v>405</v>
      </c>
    </row>
    <row r="180" spans="1:5" ht="18" customHeight="1" thickBot="1" x14ac:dyDescent="0.3">
      <c r="A180" s="464">
        <f>B178+A178</f>
        <v>12130</v>
      </c>
      <c r="B180" s="465"/>
      <c r="C180" s="81">
        <f>36+150+59</f>
        <v>245</v>
      </c>
      <c r="D180" s="82" t="s">
        <v>315</v>
      </c>
      <c r="E180" s="83"/>
    </row>
    <row r="181" spans="1:5" ht="24.75" customHeight="1" thickBot="1" x14ac:dyDescent="0.3">
      <c r="A181" s="466" t="s">
        <v>99</v>
      </c>
      <c r="B181" s="467"/>
      <c r="C181" s="78">
        <f>A182-C182</f>
        <v>-35</v>
      </c>
      <c r="D181" s="82"/>
      <c r="E181" s="83"/>
    </row>
    <row r="182" spans="1:5" ht="18" customHeight="1" thickBot="1" x14ac:dyDescent="0.3">
      <c r="A182" s="481">
        <f>C180+A180</f>
        <v>12375</v>
      </c>
      <c r="B182" s="482"/>
      <c r="C182" s="79">
        <v>12410</v>
      </c>
      <c r="D182" s="82" t="s">
        <v>164</v>
      </c>
      <c r="E182" s="101">
        <f>SUM(E179:E181)</f>
        <v>405</v>
      </c>
    </row>
    <row r="183" spans="1:5" ht="18" customHeight="1" thickBot="1" x14ac:dyDescent="0.3">
      <c r="A183" s="102"/>
      <c r="B183" s="103"/>
      <c r="C183" s="314" t="str">
        <f>IF(C181&gt;0,"زيادة","عجز")</f>
        <v>عجز</v>
      </c>
      <c r="D183" s="104"/>
      <c r="E183" s="105"/>
    </row>
    <row r="184" spans="1:5" ht="24" thickBot="1" x14ac:dyDescent="0.3">
      <c r="A184" s="76" t="s">
        <v>343</v>
      </c>
      <c r="B184" s="485"/>
      <c r="C184" s="486"/>
    </row>
    <row r="185" spans="1:5" ht="18" customHeight="1" thickBot="1" x14ac:dyDescent="0.3">
      <c r="A185" s="53" t="s">
        <v>137</v>
      </c>
      <c r="B185" s="53" t="s">
        <v>3</v>
      </c>
      <c r="C185" s="53" t="s">
        <v>138</v>
      </c>
    </row>
    <row r="186" spans="1:5" ht="18" customHeight="1" x14ac:dyDescent="0.25">
      <c r="A186" s="55">
        <f>1150+140</f>
        <v>1290</v>
      </c>
      <c r="B186" s="77">
        <v>195</v>
      </c>
      <c r="C186" s="57" t="s">
        <v>210</v>
      </c>
    </row>
    <row r="187" spans="1:5" ht="18" x14ac:dyDescent="0.25">
      <c r="B187" s="56">
        <v>100</v>
      </c>
      <c r="C187" s="94" t="s">
        <v>9</v>
      </c>
    </row>
    <row r="188" spans="1:5" ht="18" x14ac:dyDescent="0.25">
      <c r="B188" s="77">
        <v>100</v>
      </c>
      <c r="C188" s="57" t="s">
        <v>341</v>
      </c>
    </row>
    <row r="189" spans="1:5" ht="18" x14ac:dyDescent="0.25">
      <c r="B189" s="77">
        <v>60</v>
      </c>
      <c r="C189" s="57" t="s">
        <v>212</v>
      </c>
    </row>
    <row r="190" spans="1:5" ht="18" x14ac:dyDescent="0.25">
      <c r="B190" s="56">
        <v>12000</v>
      </c>
      <c r="C190" s="94" t="s">
        <v>342</v>
      </c>
    </row>
    <row r="191" spans="1:5" ht="18" x14ac:dyDescent="0.25">
      <c r="A191" s="60"/>
      <c r="B191" s="56">
        <v>135</v>
      </c>
      <c r="C191" s="94" t="s">
        <v>255</v>
      </c>
    </row>
    <row r="192" spans="1:5" ht="18" x14ac:dyDescent="0.25">
      <c r="A192" s="60"/>
      <c r="B192" s="56">
        <v>125</v>
      </c>
      <c r="C192" s="94" t="s">
        <v>7</v>
      </c>
    </row>
    <row r="193" spans="1:5" ht="18" x14ac:dyDescent="0.25">
      <c r="A193" s="60"/>
      <c r="B193" s="60">
        <v>120</v>
      </c>
      <c r="C193" s="94" t="s">
        <v>89</v>
      </c>
    </row>
    <row r="194" spans="1:5" ht="18" x14ac:dyDescent="0.25">
      <c r="A194" s="60"/>
      <c r="B194" s="60">
        <v>350</v>
      </c>
      <c r="C194" s="94" t="s">
        <v>11</v>
      </c>
    </row>
    <row r="195" spans="1:5" ht="18" x14ac:dyDescent="0.25">
      <c r="A195" s="60"/>
      <c r="B195" s="60">
        <v>240</v>
      </c>
      <c r="C195" s="94" t="s">
        <v>339</v>
      </c>
    </row>
    <row r="196" spans="1:5" ht="18.75" thickBot="1" x14ac:dyDescent="0.3">
      <c r="A196" s="60"/>
      <c r="B196" s="60">
        <v>210</v>
      </c>
      <c r="C196" s="64" t="s">
        <v>340</v>
      </c>
    </row>
    <row r="197" spans="1:5" ht="24" thickBot="1" x14ac:dyDescent="0.3">
      <c r="A197" s="66"/>
      <c r="D197" s="100" t="s">
        <v>43</v>
      </c>
      <c r="E197" s="99">
        <f>E202-E198</f>
        <v>13</v>
      </c>
    </row>
    <row r="198" spans="1:5" ht="21" thickBot="1" x14ac:dyDescent="0.3">
      <c r="A198" s="68">
        <f>SUM(A186:A197)</f>
        <v>1290</v>
      </c>
      <c r="B198" s="69">
        <f>SUM(B186:B196)</f>
        <v>13635</v>
      </c>
      <c r="C198" s="70"/>
      <c r="D198" s="84" t="s">
        <v>94</v>
      </c>
      <c r="E198" s="85">
        <f>1499+1780-1310-1672</f>
        <v>297</v>
      </c>
    </row>
    <row r="199" spans="1:5" ht="19.5" thickBot="1" x14ac:dyDescent="0.3">
      <c r="A199" s="462" t="s">
        <v>139</v>
      </c>
      <c r="B199" s="463"/>
      <c r="C199" s="71" t="s">
        <v>75</v>
      </c>
      <c r="D199" s="82" t="s">
        <v>65</v>
      </c>
      <c r="E199" s="83">
        <v>310</v>
      </c>
    </row>
    <row r="200" spans="1:5" ht="24" thickBot="1" x14ac:dyDescent="0.3">
      <c r="A200" s="464">
        <f>B198+A198</f>
        <v>14925</v>
      </c>
      <c r="B200" s="465"/>
      <c r="C200" s="81">
        <f>142+213</f>
        <v>355</v>
      </c>
      <c r="D200" s="82" t="s">
        <v>315</v>
      </c>
      <c r="E200" s="83"/>
    </row>
    <row r="201" spans="1:5" ht="24" thickBot="1" x14ac:dyDescent="0.3">
      <c r="A201" s="466" t="s">
        <v>99</v>
      </c>
      <c r="B201" s="467"/>
      <c r="C201" s="78">
        <f>A202-C202</f>
        <v>79</v>
      </c>
      <c r="D201" s="82"/>
      <c r="E201" s="83"/>
    </row>
    <row r="202" spans="1:5" ht="21.75" thickBot="1" x14ac:dyDescent="0.3">
      <c r="A202" s="481">
        <f>C200+A200</f>
        <v>15280</v>
      </c>
      <c r="B202" s="482"/>
      <c r="C202" s="79">
        <v>15201</v>
      </c>
      <c r="D202" s="82" t="s">
        <v>164</v>
      </c>
      <c r="E202" s="101">
        <f>SUM(E199:E201)</f>
        <v>310</v>
      </c>
    </row>
    <row r="203" spans="1:5" ht="24" thickBot="1" x14ac:dyDescent="0.3">
      <c r="A203"/>
      <c r="B203"/>
      <c r="C203" s="314" t="str">
        <f>IF(C201&gt;0,"زيادة","عجز")</f>
        <v>زيادة</v>
      </c>
    </row>
    <row r="204" spans="1:5" ht="24" thickBot="1" x14ac:dyDescent="0.3">
      <c r="A204" s="76" t="s">
        <v>344</v>
      </c>
      <c r="B204" s="485"/>
      <c r="C204" s="486"/>
    </row>
    <row r="205" spans="1:5" ht="21" thickBot="1" x14ac:dyDescent="0.3">
      <c r="A205" s="53" t="s">
        <v>137</v>
      </c>
      <c r="B205" s="53" t="s">
        <v>3</v>
      </c>
      <c r="C205" s="53" t="s">
        <v>138</v>
      </c>
    </row>
    <row r="206" spans="1:5" ht="18" x14ac:dyDescent="0.25">
      <c r="A206" s="55">
        <f>5000+1100+35</f>
        <v>6135</v>
      </c>
      <c r="B206" s="77">
        <v>2890</v>
      </c>
      <c r="C206" s="57" t="s">
        <v>345</v>
      </c>
    </row>
    <row r="207" spans="1:5" ht="18" x14ac:dyDescent="0.25">
      <c r="A207" s="110"/>
      <c r="B207" s="56">
        <v>35</v>
      </c>
      <c r="C207" s="94" t="s">
        <v>119</v>
      </c>
    </row>
    <row r="208" spans="1:5" ht="18" x14ac:dyDescent="0.25">
      <c r="A208" s="110"/>
      <c r="B208" s="77">
        <v>40</v>
      </c>
      <c r="C208" s="57" t="s">
        <v>97</v>
      </c>
    </row>
    <row r="209" spans="1:5" ht="18" x14ac:dyDescent="0.25">
      <c r="A209" s="110"/>
      <c r="B209" s="77"/>
      <c r="C209" s="57"/>
    </row>
    <row r="210" spans="1:5" ht="18" x14ac:dyDescent="0.25">
      <c r="A210" s="110"/>
      <c r="B210" s="56"/>
      <c r="C210" s="94"/>
    </row>
    <row r="211" spans="1:5" ht="18" x14ac:dyDescent="0.25">
      <c r="A211" s="56"/>
      <c r="B211" s="56"/>
      <c r="C211" s="94"/>
    </row>
    <row r="212" spans="1:5" ht="18" x14ac:dyDescent="0.25">
      <c r="A212" s="60"/>
      <c r="B212" s="56"/>
      <c r="C212" s="94"/>
    </row>
    <row r="213" spans="1:5" ht="18" x14ac:dyDescent="0.25">
      <c r="A213" s="60"/>
      <c r="B213" s="60"/>
      <c r="C213" s="94"/>
    </row>
    <row r="214" spans="1:5" ht="18" x14ac:dyDescent="0.25">
      <c r="A214" s="60"/>
      <c r="B214" s="60"/>
      <c r="C214" s="94"/>
    </row>
    <row r="215" spans="1:5" ht="18" x14ac:dyDescent="0.25">
      <c r="A215" s="60"/>
      <c r="B215" s="60"/>
      <c r="C215" s="94"/>
    </row>
    <row r="216" spans="1:5" ht="18.75" thickBot="1" x14ac:dyDescent="0.3">
      <c r="A216" s="60"/>
      <c r="B216" s="60"/>
      <c r="C216" s="64"/>
    </row>
    <row r="217" spans="1:5" ht="24" thickBot="1" x14ac:dyDescent="0.3">
      <c r="A217" s="66"/>
      <c r="D217" s="100" t="s">
        <v>43</v>
      </c>
      <c r="E217" s="99">
        <f>E222-E218</f>
        <v>9</v>
      </c>
    </row>
    <row r="218" spans="1:5" ht="21" thickBot="1" x14ac:dyDescent="0.3">
      <c r="A218" s="68">
        <f>SUM(A206:A217)</f>
        <v>6135</v>
      </c>
      <c r="B218" s="69">
        <f>SUM(B206:B216)</f>
        <v>2965</v>
      </c>
      <c r="C218" s="70" t="s">
        <v>1025</v>
      </c>
      <c r="D218" s="84" t="s">
        <v>94</v>
      </c>
      <c r="E218" s="85">
        <f>1310+1672-897-1454</f>
        <v>631</v>
      </c>
    </row>
    <row r="219" spans="1:5" ht="19.5" thickBot="1" x14ac:dyDescent="0.3">
      <c r="A219" s="462" t="s">
        <v>139</v>
      </c>
      <c r="B219" s="463"/>
      <c r="C219" s="71" t="s">
        <v>75</v>
      </c>
      <c r="D219" s="82" t="s">
        <v>65</v>
      </c>
      <c r="E219" s="83">
        <f>550+90</f>
        <v>640</v>
      </c>
    </row>
    <row r="220" spans="1:5" ht="24" thickBot="1" x14ac:dyDescent="0.3">
      <c r="A220" s="464">
        <f>B218+A218</f>
        <v>9100</v>
      </c>
      <c r="B220" s="465"/>
      <c r="C220" s="81">
        <f>125</f>
        <v>125</v>
      </c>
      <c r="D220" s="82" t="s">
        <v>315</v>
      </c>
      <c r="E220" s="83"/>
    </row>
    <row r="221" spans="1:5" ht="24" thickBot="1" x14ac:dyDescent="0.3">
      <c r="A221" s="466" t="s">
        <v>99</v>
      </c>
      <c r="B221" s="467"/>
      <c r="C221" s="78">
        <f>A222-C222</f>
        <v>-84</v>
      </c>
      <c r="D221" s="82"/>
      <c r="E221" s="83"/>
    </row>
    <row r="222" spans="1:5" ht="21.75" customHeight="1" thickBot="1" x14ac:dyDescent="0.3">
      <c r="A222" s="481">
        <f>C220+A220</f>
        <v>9225</v>
      </c>
      <c r="B222" s="482"/>
      <c r="C222" s="79">
        <v>9309</v>
      </c>
      <c r="D222" s="82" t="s">
        <v>164</v>
      </c>
      <c r="E222" s="101">
        <f>SUM(E219:E221)</f>
        <v>640</v>
      </c>
    </row>
    <row r="223" spans="1:5" ht="21" customHeight="1" thickBot="1" x14ac:dyDescent="0.3">
      <c r="A223"/>
      <c r="B223"/>
      <c r="C223" s="314" t="str">
        <f>IF(C221&gt;0,"زيادة","عجز")</f>
        <v>عجز</v>
      </c>
    </row>
    <row r="224" spans="1:5" ht="24" thickBot="1" x14ac:dyDescent="0.3">
      <c r="A224" s="76" t="s">
        <v>15</v>
      </c>
      <c r="B224" s="485"/>
      <c r="C224" s="486"/>
    </row>
    <row r="225" spans="1:5" ht="19.5" customHeight="1" thickBot="1" x14ac:dyDescent="0.3">
      <c r="A225" s="53" t="s">
        <v>137</v>
      </c>
      <c r="B225" s="53" t="s">
        <v>3</v>
      </c>
      <c r="C225" s="53" t="s">
        <v>138</v>
      </c>
    </row>
    <row r="226" spans="1:5" ht="19.5" customHeight="1" x14ac:dyDescent="0.25">
      <c r="A226" s="77">
        <v>14167</v>
      </c>
      <c r="B226" s="107">
        <v>155</v>
      </c>
      <c r="C226" s="106" t="s">
        <v>92</v>
      </c>
    </row>
    <row r="227" spans="1:5" ht="18" x14ac:dyDescent="0.25">
      <c r="A227" s="110"/>
      <c r="B227" s="108">
        <v>69</v>
      </c>
      <c r="C227" s="59" t="s">
        <v>357</v>
      </c>
    </row>
    <row r="228" spans="1:5" ht="18" x14ac:dyDescent="0.25">
      <c r="A228" s="110"/>
      <c r="B228" s="107">
        <v>17</v>
      </c>
      <c r="C228" s="57" t="s">
        <v>105</v>
      </c>
    </row>
    <row r="229" spans="1:5" ht="18" x14ac:dyDescent="0.25">
      <c r="A229" s="110"/>
      <c r="B229" s="107">
        <v>520</v>
      </c>
      <c r="C229" s="57" t="s">
        <v>356</v>
      </c>
    </row>
    <row r="230" spans="1:5" ht="18" x14ac:dyDescent="0.25">
      <c r="A230" s="110"/>
      <c r="B230" s="108">
        <v>360</v>
      </c>
      <c r="C230" s="59" t="s">
        <v>339</v>
      </c>
    </row>
    <row r="231" spans="1:5" ht="18" x14ac:dyDescent="0.25">
      <c r="A231" s="56"/>
      <c r="B231" s="108">
        <v>100</v>
      </c>
      <c r="C231" s="59" t="s">
        <v>87</v>
      </c>
    </row>
    <row r="232" spans="1:5" ht="18" x14ac:dyDescent="0.25">
      <c r="A232" s="56"/>
      <c r="B232" s="108">
        <v>29</v>
      </c>
      <c r="C232" s="59" t="s">
        <v>358</v>
      </c>
    </row>
    <row r="233" spans="1:5" ht="18" x14ac:dyDescent="0.25">
      <c r="A233" s="56"/>
      <c r="B233" s="109">
        <v>180</v>
      </c>
      <c r="C233" s="59" t="s">
        <v>359</v>
      </c>
    </row>
    <row r="234" spans="1:5" ht="18" x14ac:dyDescent="0.25">
      <c r="A234" s="56"/>
      <c r="B234" s="109">
        <v>175</v>
      </c>
      <c r="C234" s="59" t="s">
        <v>91</v>
      </c>
    </row>
    <row r="235" spans="1:5" ht="18" x14ac:dyDescent="0.25">
      <c r="A235" s="56"/>
      <c r="B235" s="56"/>
      <c r="C235" s="59"/>
    </row>
    <row r="236" spans="1:5" ht="18.75" thickBot="1" x14ac:dyDescent="0.3">
      <c r="A236" s="56"/>
      <c r="B236" s="56"/>
      <c r="C236" s="64"/>
    </row>
    <row r="237" spans="1:5" ht="24" thickBot="1" x14ac:dyDescent="0.3">
      <c r="A237" s="67"/>
      <c r="B237" s="112"/>
      <c r="C237" s="3"/>
      <c r="D237" s="111" t="s">
        <v>43</v>
      </c>
      <c r="E237" s="99">
        <f>E242-E238</f>
        <v>8</v>
      </c>
    </row>
    <row r="238" spans="1:5" ht="21" thickBot="1" x14ac:dyDescent="0.3">
      <c r="A238" s="69">
        <f>SUM(A226:A237)</f>
        <v>14167</v>
      </c>
      <c r="B238" s="69">
        <f>SUM(B226:B236)</f>
        <v>1605</v>
      </c>
      <c r="C238" s="70"/>
      <c r="D238" s="84" t="s">
        <v>94</v>
      </c>
      <c r="E238" s="85">
        <f>897+1454-709-1296</f>
        <v>346</v>
      </c>
    </row>
    <row r="239" spans="1:5" ht="19.5" thickBot="1" x14ac:dyDescent="0.3">
      <c r="A239" s="462" t="s">
        <v>139</v>
      </c>
      <c r="B239" s="463"/>
      <c r="C239" s="71" t="s">
        <v>75</v>
      </c>
      <c r="D239" s="82" t="s">
        <v>65</v>
      </c>
      <c r="E239" s="83">
        <f>354</f>
        <v>354</v>
      </c>
    </row>
    <row r="240" spans="1:5" ht="24" thickBot="1" x14ac:dyDescent="0.3">
      <c r="A240" s="464">
        <f>B238+A238</f>
        <v>15772</v>
      </c>
      <c r="B240" s="465"/>
      <c r="C240" s="81">
        <v>125</v>
      </c>
      <c r="D240" s="82" t="s">
        <v>315</v>
      </c>
      <c r="E240" s="83"/>
    </row>
    <row r="241" spans="1:5" ht="24" thickBot="1" x14ac:dyDescent="0.3">
      <c r="A241" s="466" t="s">
        <v>99</v>
      </c>
      <c r="B241" s="467"/>
      <c r="C241" s="78">
        <f>A242-C242</f>
        <v>-17</v>
      </c>
      <c r="D241" s="82"/>
      <c r="E241" s="83"/>
    </row>
    <row r="242" spans="1:5" ht="21.75" thickBot="1" x14ac:dyDescent="0.3">
      <c r="A242" s="481">
        <f>C240+A240</f>
        <v>15897</v>
      </c>
      <c r="B242" s="482"/>
      <c r="C242" s="79">
        <v>15914</v>
      </c>
      <c r="D242" s="82" t="s">
        <v>164</v>
      </c>
      <c r="E242" s="101">
        <f>SUM(E239:E241)</f>
        <v>354</v>
      </c>
    </row>
    <row r="243" spans="1:5" ht="24" thickBot="1" x14ac:dyDescent="0.3">
      <c r="A243"/>
      <c r="B243" s="25">
        <f>250</f>
        <v>250</v>
      </c>
      <c r="C243" s="314" t="str">
        <f>IF(C241&gt;0,"زيادة","عجز")</f>
        <v>عجز</v>
      </c>
    </row>
    <row r="244" spans="1:5" ht="15.75" thickBot="1" x14ac:dyDescent="0.3">
      <c r="A244"/>
      <c r="B244" s="25"/>
    </row>
    <row r="245" spans="1:5" ht="24" thickBot="1" x14ac:dyDescent="0.3">
      <c r="A245" s="76" t="s">
        <v>363</v>
      </c>
      <c r="B245" s="485">
        <v>45112</v>
      </c>
      <c r="C245" s="486"/>
    </row>
    <row r="246" spans="1:5" ht="21" thickBot="1" x14ac:dyDescent="0.3">
      <c r="A246" s="53" t="s">
        <v>137</v>
      </c>
      <c r="B246" s="53" t="s">
        <v>3</v>
      </c>
      <c r="C246" s="53" t="s">
        <v>138</v>
      </c>
    </row>
    <row r="247" spans="1:5" ht="18" x14ac:dyDescent="0.25">
      <c r="A247" s="77">
        <f>4000+150+500+230+2</f>
        <v>4882</v>
      </c>
      <c r="B247" s="107">
        <v>940</v>
      </c>
      <c r="C247" s="106" t="s">
        <v>365</v>
      </c>
    </row>
    <row r="248" spans="1:5" ht="18" x14ac:dyDescent="0.25">
      <c r="A248" s="110"/>
      <c r="B248" s="108">
        <v>3000</v>
      </c>
      <c r="C248" s="59" t="s">
        <v>271</v>
      </c>
    </row>
    <row r="249" spans="1:5" ht="18" x14ac:dyDescent="0.25">
      <c r="A249" s="110"/>
      <c r="B249" s="107">
        <v>75</v>
      </c>
      <c r="C249" s="57" t="s">
        <v>366</v>
      </c>
    </row>
    <row r="250" spans="1:5" ht="18" x14ac:dyDescent="0.25">
      <c r="A250" s="110"/>
      <c r="B250" s="107"/>
      <c r="C250" s="57"/>
    </row>
    <row r="251" spans="1:5" ht="18" x14ac:dyDescent="0.25">
      <c r="A251" s="110"/>
      <c r="B251" s="108"/>
      <c r="C251" s="59"/>
    </row>
    <row r="252" spans="1:5" ht="18" x14ac:dyDescent="0.25">
      <c r="A252" s="56"/>
      <c r="B252" s="108"/>
      <c r="C252" s="59"/>
    </row>
    <row r="253" spans="1:5" ht="18" x14ac:dyDescent="0.25">
      <c r="A253" s="56"/>
      <c r="B253" s="108"/>
      <c r="C253" s="59"/>
    </row>
    <row r="254" spans="1:5" ht="18" x14ac:dyDescent="0.25">
      <c r="A254" s="56"/>
      <c r="B254" s="109"/>
      <c r="C254" s="59"/>
    </row>
    <row r="255" spans="1:5" ht="18" x14ac:dyDescent="0.25">
      <c r="A255" s="56"/>
      <c r="B255" s="109"/>
      <c r="C255" s="59"/>
    </row>
    <row r="256" spans="1:5" ht="18" x14ac:dyDescent="0.25">
      <c r="A256" s="56"/>
      <c r="B256" s="56"/>
      <c r="C256" s="59"/>
    </row>
    <row r="257" spans="1:5" ht="18.75" thickBot="1" x14ac:dyDescent="0.3">
      <c r="A257" s="56"/>
      <c r="B257" s="56"/>
      <c r="C257" s="64"/>
    </row>
    <row r="258" spans="1:5" ht="24" thickBot="1" x14ac:dyDescent="0.3">
      <c r="A258" s="67"/>
      <c r="B258" s="112"/>
      <c r="C258" s="3"/>
      <c r="D258" s="111" t="s">
        <v>43</v>
      </c>
      <c r="E258" s="99">
        <f>E263-E259</f>
        <v>0</v>
      </c>
    </row>
    <row r="259" spans="1:5" ht="21" thickBot="1" x14ac:dyDescent="0.3">
      <c r="A259" s="69">
        <f>SUM(A247:A258)</f>
        <v>4882</v>
      </c>
      <c r="B259" s="69">
        <f>SUM(B247:B257)</f>
        <v>4015</v>
      </c>
      <c r="C259" s="70"/>
      <c r="D259" s="84" t="s">
        <v>94</v>
      </c>
      <c r="E259" s="85"/>
    </row>
    <row r="260" spans="1:5" ht="19.5" thickBot="1" x14ac:dyDescent="0.3">
      <c r="A260" s="462" t="s">
        <v>139</v>
      </c>
      <c r="B260" s="463"/>
      <c r="C260" s="71" t="s">
        <v>75</v>
      </c>
      <c r="D260" s="82" t="s">
        <v>65</v>
      </c>
      <c r="E260" s="83"/>
    </row>
    <row r="261" spans="1:5" ht="24" thickBot="1" x14ac:dyDescent="0.3">
      <c r="A261" s="464">
        <f>B259+A259</f>
        <v>8897</v>
      </c>
      <c r="B261" s="465"/>
      <c r="C261" s="81"/>
      <c r="D261" s="82" t="s">
        <v>315</v>
      </c>
      <c r="E261" s="83"/>
    </row>
    <row r="262" spans="1:5" ht="24" thickBot="1" x14ac:dyDescent="0.3">
      <c r="A262" s="466" t="s">
        <v>99</v>
      </c>
      <c r="B262" s="467"/>
      <c r="C262" s="78">
        <f>A263-C263</f>
        <v>0</v>
      </c>
      <c r="D262" s="82"/>
      <c r="E262" s="83"/>
    </row>
    <row r="263" spans="1:5" ht="21.75" thickBot="1" x14ac:dyDescent="0.3">
      <c r="A263" s="481">
        <f>C261+A261</f>
        <v>8897</v>
      </c>
      <c r="B263" s="482"/>
      <c r="C263" s="79">
        <v>8897</v>
      </c>
      <c r="D263" s="82" t="s">
        <v>164</v>
      </c>
      <c r="E263" s="101">
        <f>SUM(E260:E262)</f>
        <v>0</v>
      </c>
    </row>
    <row r="264" spans="1:5" ht="24" thickBot="1" x14ac:dyDescent="0.3">
      <c r="A264"/>
      <c r="B264"/>
      <c r="C264" s="314" t="str">
        <f>IF(C262&gt;0,"زيادة","عجز")</f>
        <v>عجز</v>
      </c>
    </row>
    <row r="265" spans="1:5" ht="24" thickBot="1" x14ac:dyDescent="0.3">
      <c r="A265" s="76" t="s">
        <v>300</v>
      </c>
      <c r="B265" s="485">
        <v>45112</v>
      </c>
      <c r="C265" s="486"/>
    </row>
    <row r="266" spans="1:5" ht="21" thickBot="1" x14ac:dyDescent="0.3">
      <c r="A266" s="53" t="s">
        <v>137</v>
      </c>
      <c r="B266" s="53" t="s">
        <v>3</v>
      </c>
      <c r="C266" s="53" t="s">
        <v>138</v>
      </c>
    </row>
    <row r="267" spans="1:5" ht="18" x14ac:dyDescent="0.25">
      <c r="A267" s="77">
        <f>2450+490+3</f>
        <v>2943</v>
      </c>
      <c r="B267" s="107">
        <v>1500</v>
      </c>
      <c r="C267" s="106" t="s">
        <v>27</v>
      </c>
    </row>
    <row r="268" spans="1:5" ht="18" x14ac:dyDescent="0.25">
      <c r="A268" s="110"/>
      <c r="B268" s="108">
        <v>3800</v>
      </c>
      <c r="C268" s="59" t="s">
        <v>368</v>
      </c>
    </row>
    <row r="269" spans="1:5" ht="18" x14ac:dyDescent="0.25">
      <c r="A269" s="110"/>
      <c r="B269" s="107">
        <v>250</v>
      </c>
      <c r="C269" s="57" t="s">
        <v>369</v>
      </c>
    </row>
    <row r="270" spans="1:5" ht="18" x14ac:dyDescent="0.25">
      <c r="A270" s="110"/>
      <c r="B270" s="107">
        <v>20</v>
      </c>
      <c r="C270" s="57" t="s">
        <v>370</v>
      </c>
    </row>
    <row r="271" spans="1:5" ht="18" x14ac:dyDescent="0.25">
      <c r="A271" s="110"/>
      <c r="B271" s="108">
        <v>3350</v>
      </c>
      <c r="C271" s="59" t="s">
        <v>371</v>
      </c>
    </row>
    <row r="272" spans="1:5" ht="18" x14ac:dyDescent="0.25">
      <c r="A272" s="56"/>
      <c r="B272" s="108">
        <v>1600</v>
      </c>
      <c r="C272" s="59" t="s">
        <v>372</v>
      </c>
    </row>
    <row r="273" spans="1:5" ht="18" x14ac:dyDescent="0.25">
      <c r="A273" s="56"/>
      <c r="B273" s="108">
        <v>1282</v>
      </c>
      <c r="C273" s="59" t="s">
        <v>47</v>
      </c>
    </row>
    <row r="274" spans="1:5" ht="18" x14ac:dyDescent="0.25">
      <c r="A274" s="56"/>
      <c r="B274" s="109"/>
      <c r="C274" s="59"/>
    </row>
    <row r="275" spans="1:5" ht="18" x14ac:dyDescent="0.25">
      <c r="A275" s="56"/>
      <c r="B275" s="109"/>
      <c r="C275" s="59"/>
    </row>
    <row r="276" spans="1:5" ht="18" x14ac:dyDescent="0.25">
      <c r="A276" s="56"/>
      <c r="B276" s="56"/>
      <c r="C276" s="59"/>
    </row>
    <row r="277" spans="1:5" ht="18.75" thickBot="1" x14ac:dyDescent="0.3">
      <c r="A277" s="56"/>
      <c r="B277" s="56"/>
      <c r="C277" s="64"/>
    </row>
    <row r="278" spans="1:5" ht="24" thickBot="1" x14ac:dyDescent="0.3">
      <c r="A278" s="67"/>
      <c r="B278" s="112"/>
      <c r="C278" s="3"/>
      <c r="D278" s="111" t="s">
        <v>43</v>
      </c>
      <c r="E278" s="99">
        <f>E283-E279</f>
        <v>11</v>
      </c>
    </row>
    <row r="279" spans="1:5" ht="21" thickBot="1" x14ac:dyDescent="0.3">
      <c r="A279" s="69">
        <f>SUM(A267:A278)</f>
        <v>2943</v>
      </c>
      <c r="B279" s="69">
        <f>SUM(B267:B277)</f>
        <v>11802</v>
      </c>
      <c r="C279" s="70"/>
      <c r="D279" s="84" t="s">
        <v>94</v>
      </c>
      <c r="E279" s="85">
        <f>308-13079+15000</f>
        <v>2229</v>
      </c>
    </row>
    <row r="280" spans="1:5" ht="19.5" thickBot="1" x14ac:dyDescent="0.3">
      <c r="A280" s="462" t="s">
        <v>139</v>
      </c>
      <c r="B280" s="463"/>
      <c r="C280" s="71" t="s">
        <v>75</v>
      </c>
      <c r="D280" s="82" t="s">
        <v>65</v>
      </c>
      <c r="E280" s="83">
        <f>1850+300+60+10</f>
        <v>2220</v>
      </c>
    </row>
    <row r="281" spans="1:5" ht="24" thickBot="1" x14ac:dyDescent="0.3">
      <c r="A281" s="464">
        <f>B279+A279</f>
        <v>14745</v>
      </c>
      <c r="B281" s="465"/>
      <c r="C281" s="81"/>
      <c r="D281" s="82" t="s">
        <v>373</v>
      </c>
      <c r="E281" s="83">
        <v>20</v>
      </c>
    </row>
    <row r="282" spans="1:5" ht="24" thickBot="1" x14ac:dyDescent="0.3">
      <c r="A282" s="466" t="s">
        <v>99</v>
      </c>
      <c r="B282" s="467"/>
      <c r="C282" s="78">
        <f>A283-C283</f>
        <v>39</v>
      </c>
      <c r="D282" s="82"/>
      <c r="E282" s="83"/>
    </row>
    <row r="283" spans="1:5" ht="21.75" thickBot="1" x14ac:dyDescent="0.3">
      <c r="A283" s="481">
        <f>C281+A281</f>
        <v>14745</v>
      </c>
      <c r="B283" s="482"/>
      <c r="C283" s="79">
        <v>14706</v>
      </c>
      <c r="D283" s="82" t="s">
        <v>164</v>
      </c>
      <c r="E283" s="101">
        <f>SUM(E280:E282)</f>
        <v>2240</v>
      </c>
    </row>
    <row r="284" spans="1:5" ht="24" thickBot="1" x14ac:dyDescent="0.3">
      <c r="A284"/>
      <c r="B284"/>
      <c r="C284" s="314" t="str">
        <f>IF(C282&gt;0,"زيادة","عجز")</f>
        <v>زيادة</v>
      </c>
    </row>
    <row r="285" spans="1:5" ht="24" thickBot="1" x14ac:dyDescent="0.3">
      <c r="A285" s="76" t="s">
        <v>85</v>
      </c>
      <c r="B285" s="485">
        <v>45112</v>
      </c>
      <c r="C285" s="486"/>
    </row>
    <row r="286" spans="1:5" ht="21" thickBot="1" x14ac:dyDescent="0.3">
      <c r="A286" s="53" t="s">
        <v>137</v>
      </c>
      <c r="B286" s="53" t="s">
        <v>3</v>
      </c>
      <c r="C286" s="53" t="s">
        <v>138</v>
      </c>
    </row>
    <row r="287" spans="1:5" ht="18" x14ac:dyDescent="0.25">
      <c r="A287" s="77">
        <f>5000+2800+470</f>
        <v>8270</v>
      </c>
      <c r="B287" s="107">
        <v>195</v>
      </c>
      <c r="C287" s="106" t="s">
        <v>380</v>
      </c>
    </row>
    <row r="288" spans="1:5" ht="18" x14ac:dyDescent="0.25">
      <c r="A288" s="110"/>
      <c r="B288" s="108">
        <v>110</v>
      </c>
      <c r="C288" s="57" t="s">
        <v>381</v>
      </c>
    </row>
    <row r="289" spans="1:5" ht="18" x14ac:dyDescent="0.25">
      <c r="A289" s="110"/>
      <c r="B289" s="107">
        <v>120</v>
      </c>
      <c r="C289" s="57" t="s">
        <v>382</v>
      </c>
    </row>
    <row r="290" spans="1:5" ht="18" x14ac:dyDescent="0.25">
      <c r="A290" s="110"/>
      <c r="B290" s="107">
        <v>1675</v>
      </c>
      <c r="C290" s="59" t="s">
        <v>383</v>
      </c>
    </row>
    <row r="291" spans="1:5" ht="18" x14ac:dyDescent="0.25">
      <c r="A291" s="110"/>
      <c r="B291" s="108">
        <v>1625</v>
      </c>
      <c r="C291" s="59" t="s">
        <v>384</v>
      </c>
    </row>
    <row r="292" spans="1:5" ht="18" x14ac:dyDescent="0.25">
      <c r="A292" s="56"/>
      <c r="B292" s="108"/>
    </row>
    <row r="293" spans="1:5" ht="18" x14ac:dyDescent="0.25">
      <c r="A293" s="56"/>
      <c r="B293" s="108"/>
      <c r="C293" s="59"/>
    </row>
    <row r="294" spans="1:5" ht="18" x14ac:dyDescent="0.25">
      <c r="A294" s="56"/>
      <c r="B294" s="109"/>
      <c r="C294" s="59"/>
    </row>
    <row r="295" spans="1:5" ht="18" x14ac:dyDescent="0.25">
      <c r="A295" s="56"/>
      <c r="B295" s="109"/>
      <c r="C295" s="59"/>
    </row>
    <row r="296" spans="1:5" ht="18" x14ac:dyDescent="0.25">
      <c r="A296" s="56"/>
      <c r="B296" s="56"/>
      <c r="C296" s="59"/>
    </row>
    <row r="297" spans="1:5" ht="18.75" thickBot="1" x14ac:dyDescent="0.3">
      <c r="A297" s="56"/>
      <c r="B297" s="56"/>
      <c r="C297" s="64"/>
    </row>
    <row r="298" spans="1:5" ht="24" thickBot="1" x14ac:dyDescent="0.3">
      <c r="A298" s="67"/>
      <c r="B298" s="112"/>
      <c r="C298" s="3"/>
      <c r="D298" s="111" t="s">
        <v>43</v>
      </c>
      <c r="E298" s="99">
        <f>E303-E299</f>
        <v>0</v>
      </c>
    </row>
    <row r="299" spans="1:5" ht="21" thickBot="1" x14ac:dyDescent="0.3">
      <c r="A299" s="69">
        <f>SUM(A287:A298)</f>
        <v>8270</v>
      </c>
      <c r="B299" s="69">
        <f>SUM(B287:B297)</f>
        <v>3725</v>
      </c>
      <c r="C299" s="70"/>
      <c r="D299" s="84" t="s">
        <v>94</v>
      </c>
      <c r="E299" s="85"/>
    </row>
    <row r="300" spans="1:5" ht="19.5" thickBot="1" x14ac:dyDescent="0.3">
      <c r="A300" s="462" t="s">
        <v>139</v>
      </c>
      <c r="B300" s="463"/>
      <c r="C300" s="71" t="s">
        <v>75</v>
      </c>
      <c r="D300" s="82" t="s">
        <v>65</v>
      </c>
      <c r="E300" s="83"/>
    </row>
    <row r="301" spans="1:5" ht="24" thickBot="1" x14ac:dyDescent="0.3">
      <c r="A301" s="464">
        <f>B299+A299</f>
        <v>11995</v>
      </c>
      <c r="B301" s="465"/>
      <c r="C301" s="81">
        <v>38</v>
      </c>
      <c r="D301" s="82" t="s">
        <v>373</v>
      </c>
      <c r="E301" s="83"/>
    </row>
    <row r="302" spans="1:5" ht="24" thickBot="1" x14ac:dyDescent="0.3">
      <c r="A302" s="466" t="s">
        <v>99</v>
      </c>
      <c r="B302" s="467"/>
      <c r="C302" s="78">
        <f>A303-C303</f>
        <v>43</v>
      </c>
      <c r="D302" s="82"/>
      <c r="E302" s="83"/>
    </row>
    <row r="303" spans="1:5" ht="21.75" thickBot="1" x14ac:dyDescent="0.3">
      <c r="A303" s="481">
        <f>C301+A301</f>
        <v>12033</v>
      </c>
      <c r="B303" s="482"/>
      <c r="C303" s="79">
        <v>11990</v>
      </c>
      <c r="D303" s="82" t="s">
        <v>164</v>
      </c>
      <c r="E303" s="101">
        <f>SUM(E300:E302)</f>
        <v>0</v>
      </c>
    </row>
    <row r="304" spans="1:5" ht="24" thickBot="1" x14ac:dyDescent="0.3">
      <c r="A304"/>
      <c r="B304"/>
      <c r="C304" s="314" t="str">
        <f>IF(C302&gt;0,"زيادة","عجز")</f>
        <v>زيادة</v>
      </c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6" x14ac:dyDescent="0.25">
      <c r="A337"/>
      <c r="B337"/>
    </row>
    <row r="338" spans="1:6" x14ac:dyDescent="0.25">
      <c r="A338"/>
      <c r="B338"/>
    </row>
    <row r="339" spans="1:6" x14ac:dyDescent="0.25">
      <c r="A339"/>
      <c r="B339"/>
    </row>
    <row r="340" spans="1:6" x14ac:dyDescent="0.25">
      <c r="A340"/>
      <c r="B340"/>
    </row>
    <row r="341" spans="1:6" x14ac:dyDescent="0.25">
      <c r="A341"/>
      <c r="B341"/>
    </row>
    <row r="342" spans="1:6" x14ac:dyDescent="0.25">
      <c r="A342"/>
      <c r="B342"/>
    </row>
    <row r="343" spans="1:6" x14ac:dyDescent="0.25">
      <c r="A343"/>
      <c r="B343"/>
    </row>
    <row r="344" spans="1:6" x14ac:dyDescent="0.25">
      <c r="A344"/>
      <c r="B344"/>
      <c r="F344">
        <f>2778+2841-2043-2544</f>
        <v>1032</v>
      </c>
    </row>
    <row r="345" spans="1:6" x14ac:dyDescent="0.25">
      <c r="A345"/>
      <c r="B345"/>
      <c r="F345">
        <v>920</v>
      </c>
    </row>
    <row r="346" spans="1:6" x14ac:dyDescent="0.25">
      <c r="A346"/>
      <c r="B346"/>
    </row>
    <row r="347" spans="1:6" x14ac:dyDescent="0.25">
      <c r="A347"/>
      <c r="B347"/>
    </row>
    <row r="348" spans="1:6" x14ac:dyDescent="0.25">
      <c r="A348"/>
      <c r="B348"/>
    </row>
    <row r="349" spans="1:6" x14ac:dyDescent="0.25">
      <c r="A349"/>
      <c r="B349"/>
    </row>
    <row r="350" spans="1:6" x14ac:dyDescent="0.25">
      <c r="A350"/>
      <c r="B350"/>
    </row>
    <row r="351" spans="1:6" x14ac:dyDescent="0.25">
      <c r="A351"/>
      <c r="B351"/>
    </row>
    <row r="352" spans="1:6" x14ac:dyDescent="0.25">
      <c r="A352"/>
      <c r="B352"/>
    </row>
    <row r="353" spans="1:7" x14ac:dyDescent="0.25">
      <c r="A353"/>
      <c r="B353"/>
    </row>
    <row r="354" spans="1:7" x14ac:dyDescent="0.25">
      <c r="A354"/>
      <c r="B354"/>
    </row>
    <row r="355" spans="1:7" x14ac:dyDescent="0.25">
      <c r="A355"/>
      <c r="B355"/>
    </row>
    <row r="356" spans="1:7" x14ac:dyDescent="0.25">
      <c r="A356"/>
      <c r="B356"/>
    </row>
    <row r="357" spans="1:7" x14ac:dyDescent="0.25">
      <c r="A357"/>
      <c r="B357"/>
    </row>
    <row r="358" spans="1:7" x14ac:dyDescent="0.25">
      <c r="A358"/>
      <c r="B358"/>
    </row>
    <row r="359" spans="1:7" x14ac:dyDescent="0.25">
      <c r="A359"/>
      <c r="B359"/>
    </row>
    <row r="360" spans="1:7" x14ac:dyDescent="0.25">
      <c r="A360"/>
      <c r="B360"/>
    </row>
    <row r="361" spans="1:7" x14ac:dyDescent="0.25">
      <c r="A361"/>
      <c r="B361"/>
    </row>
    <row r="362" spans="1:7" x14ac:dyDescent="0.25">
      <c r="A362"/>
      <c r="B362"/>
    </row>
    <row r="363" spans="1:7" x14ac:dyDescent="0.25">
      <c r="A363"/>
      <c r="B363"/>
    </row>
    <row r="364" spans="1:7" x14ac:dyDescent="0.25">
      <c r="A364"/>
      <c r="B364"/>
      <c r="G364" t="e">
        <f>#REF!-#REF!</f>
        <v>#REF!</v>
      </c>
    </row>
    <row r="365" spans="1:7" x14ac:dyDescent="0.25">
      <c r="A365"/>
      <c r="B365"/>
    </row>
    <row r="366" spans="1:7" x14ac:dyDescent="0.25">
      <c r="A366"/>
      <c r="B366"/>
    </row>
    <row r="367" spans="1:7" x14ac:dyDescent="0.25">
      <c r="A367"/>
      <c r="B367"/>
    </row>
    <row r="368" spans="1:7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</sheetData>
  <mergeCells count="45">
    <mergeCell ref="B265:C265"/>
    <mergeCell ref="A280:B280"/>
    <mergeCell ref="A281:B281"/>
    <mergeCell ref="A282:B282"/>
    <mergeCell ref="A283:B283"/>
    <mergeCell ref="B245:C245"/>
    <mergeCell ref="A260:B260"/>
    <mergeCell ref="A261:B261"/>
    <mergeCell ref="A262:B262"/>
    <mergeCell ref="A263:B263"/>
    <mergeCell ref="B224:C224"/>
    <mergeCell ref="A239:B239"/>
    <mergeCell ref="A240:B240"/>
    <mergeCell ref="A241:B241"/>
    <mergeCell ref="A242:B242"/>
    <mergeCell ref="B204:C204"/>
    <mergeCell ref="A219:B219"/>
    <mergeCell ref="A220:B220"/>
    <mergeCell ref="A221:B221"/>
    <mergeCell ref="A222:B222"/>
    <mergeCell ref="B163:C163"/>
    <mergeCell ref="A179:B179"/>
    <mergeCell ref="A180:B180"/>
    <mergeCell ref="A181:B181"/>
    <mergeCell ref="A182:B182"/>
    <mergeCell ref="B184:C184"/>
    <mergeCell ref="A199:B199"/>
    <mergeCell ref="A200:B200"/>
    <mergeCell ref="A201:B201"/>
    <mergeCell ref="A202:B202"/>
    <mergeCell ref="A158:B158"/>
    <mergeCell ref="A159:B159"/>
    <mergeCell ref="A160:B160"/>
    <mergeCell ref="A161:B161"/>
    <mergeCell ref="B142:C142"/>
    <mergeCell ref="B121:C121"/>
    <mergeCell ref="A137:B137"/>
    <mergeCell ref="A138:B138"/>
    <mergeCell ref="A139:B139"/>
    <mergeCell ref="A140:B140"/>
    <mergeCell ref="B285:C285"/>
    <mergeCell ref="A300:B300"/>
    <mergeCell ref="A301:B301"/>
    <mergeCell ref="A302:B302"/>
    <mergeCell ref="A303:B303"/>
  </mergeCells>
  <conditionalFormatting sqref="C141">
    <cfRule type="expression" dxfId="157" priority="17">
      <formula>C141="عجز"</formula>
    </cfRule>
    <cfRule type="expression" dxfId="156" priority="18">
      <formula>C141="زيادة"</formula>
    </cfRule>
  </conditionalFormatting>
  <conditionalFormatting sqref="C162">
    <cfRule type="expression" dxfId="155" priority="15">
      <formula>C162="عجز"</formula>
    </cfRule>
    <cfRule type="expression" dxfId="154" priority="16">
      <formula>C162="زيادة"</formula>
    </cfRule>
  </conditionalFormatting>
  <conditionalFormatting sqref="C183">
    <cfRule type="expression" dxfId="153" priority="13">
      <formula>C183="عجز"</formula>
    </cfRule>
    <cfRule type="expression" dxfId="152" priority="14">
      <formula>C183="زيادة"</formula>
    </cfRule>
  </conditionalFormatting>
  <conditionalFormatting sqref="C203">
    <cfRule type="expression" dxfId="151" priority="11">
      <formula>C203="عجز"</formula>
    </cfRule>
    <cfRule type="expression" dxfId="150" priority="12">
      <formula>C203="زيادة"</formula>
    </cfRule>
  </conditionalFormatting>
  <conditionalFormatting sqref="C223">
    <cfRule type="expression" dxfId="149" priority="9">
      <formula>C223="عجز"</formula>
    </cfRule>
    <cfRule type="expression" dxfId="148" priority="10">
      <formula>C223="زيادة"</formula>
    </cfRule>
  </conditionalFormatting>
  <conditionalFormatting sqref="C243">
    <cfRule type="expression" dxfId="147" priority="7">
      <formula>C243="عجز"</formula>
    </cfRule>
    <cfRule type="expression" dxfId="146" priority="8">
      <formula>C243="زيادة"</formula>
    </cfRule>
  </conditionalFormatting>
  <conditionalFormatting sqref="C264">
    <cfRule type="expression" dxfId="145" priority="5">
      <formula>C264="عجز"</formula>
    </cfRule>
    <cfRule type="expression" dxfId="144" priority="6">
      <formula>C264="زيادة"</formula>
    </cfRule>
  </conditionalFormatting>
  <conditionalFormatting sqref="C284">
    <cfRule type="expression" dxfId="143" priority="3">
      <formula>C284="عجز"</formula>
    </cfRule>
    <cfRule type="expression" dxfId="142" priority="4">
      <formula>C284="زيادة"</formula>
    </cfRule>
  </conditionalFormatting>
  <conditionalFormatting sqref="C304">
    <cfRule type="expression" dxfId="141" priority="1">
      <formula>C304="عجز"</formula>
    </cfRule>
    <cfRule type="expression" dxfId="140" priority="2">
      <formula>C304="زيادة"</formula>
    </cfRule>
  </conditionalFormatting>
  <pageMargins left="0.7" right="0.7" top="0.75" bottom="0.75" header="0.3" footer="0.3"/>
  <pageSetup paperSize="260" orientation="portrait" horizontalDpi="203" verticalDpi="20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7D43CC-ED9F-40AA-959D-52ACB1DE1259}">
          <x14:formula1>
            <xm:f>data!$A$57:$A$70</xm:f>
          </x14:formula1>
          <xm:sqref>C109:C115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EE3A-3CA1-4AB9-9925-8DBD46DC7562}">
  <sheetPr codeName="Sheet17"/>
  <dimension ref="A1:K1636"/>
  <sheetViews>
    <sheetView rightToLeft="1" zoomScaleNormal="100" workbookViewId="0">
      <pane ySplit="4" topLeftCell="A1120" activePane="bottomLeft" state="frozen"/>
      <selection pane="bottomLeft" activeCell="F1147" sqref="F1147"/>
    </sheetView>
  </sheetViews>
  <sheetFormatPr defaultColWidth="8.85546875" defaultRowHeight="15.75" x14ac:dyDescent="0.25"/>
  <cols>
    <col min="1" max="1" width="12.7109375" style="220" bestFit="1" customWidth="1"/>
    <col min="2" max="2" width="12.85546875" style="221" customWidth="1"/>
    <col min="3" max="3" width="24" style="219" customWidth="1"/>
    <col min="4" max="4" width="19.42578125" style="221" bestFit="1" customWidth="1"/>
    <col min="5" max="5" width="12.85546875" style="221" bestFit="1" customWidth="1"/>
    <col min="6" max="6" width="26.140625" style="219" customWidth="1"/>
    <col min="7" max="7" width="19.5703125" style="221" bestFit="1" customWidth="1"/>
    <col min="8" max="8" width="16.28515625" style="222" bestFit="1" customWidth="1"/>
    <col min="9" max="9" width="24.140625" style="219" customWidth="1"/>
    <col min="10" max="10" width="17.5703125" style="221" customWidth="1"/>
    <col min="11" max="11" width="18.7109375" style="221" customWidth="1"/>
    <col min="12" max="16384" width="8.85546875" style="219"/>
  </cols>
  <sheetData>
    <row r="1" spans="1:9" ht="26.45" customHeight="1" x14ac:dyDescent="0.25">
      <c r="A1" s="459" t="s">
        <v>748</v>
      </c>
      <c r="B1" s="459"/>
      <c r="C1" s="459"/>
      <c r="D1" s="218" t="s">
        <v>749</v>
      </c>
      <c r="E1" s="218" t="s">
        <v>363</v>
      </c>
      <c r="F1" s="298" t="e">
        <f>B1214-#REF!</f>
        <v>#REF!</v>
      </c>
      <c r="G1" s="263" t="s">
        <v>750</v>
      </c>
      <c r="H1" s="263" t="s">
        <v>752</v>
      </c>
    </row>
    <row r="2" spans="1:9" ht="16.5" thickBot="1" x14ac:dyDescent="0.3">
      <c r="C2" s="221"/>
      <c r="D2" s="218" t="s">
        <v>751</v>
      </c>
      <c r="E2" s="218" t="s">
        <v>755</v>
      </c>
      <c r="F2" s="260" t="s">
        <v>762</v>
      </c>
      <c r="G2" s="263" t="s">
        <v>754</v>
      </c>
      <c r="H2" s="263" t="s">
        <v>756</v>
      </c>
      <c r="I2" s="264" t="s">
        <v>15</v>
      </c>
    </row>
    <row r="3" spans="1:9" ht="24" customHeight="1" thickBot="1" x14ac:dyDescent="0.3">
      <c r="B3" s="223">
        <v>18598</v>
      </c>
      <c r="C3" s="224" t="s">
        <v>753</v>
      </c>
      <c r="D3" s="218"/>
      <c r="E3" s="218" t="s">
        <v>266</v>
      </c>
      <c r="F3" s="260" t="s">
        <v>764</v>
      </c>
      <c r="G3" s="266"/>
      <c r="H3" s="263" t="s">
        <v>85</v>
      </c>
      <c r="I3" s="264" t="s">
        <v>24</v>
      </c>
    </row>
    <row r="4" spans="1:9" s="231" customFormat="1" ht="21.6" customHeight="1" thickBot="1" x14ac:dyDescent="0.3">
      <c r="A4" s="225" t="s">
        <v>0</v>
      </c>
      <c r="B4" s="226" t="s">
        <v>757</v>
      </c>
      <c r="C4" s="227" t="s">
        <v>758</v>
      </c>
      <c r="D4" s="228" t="s">
        <v>759</v>
      </c>
      <c r="E4" s="226" t="s">
        <v>757</v>
      </c>
      <c r="F4" s="229" t="s">
        <v>760</v>
      </c>
      <c r="G4" s="227" t="s">
        <v>759</v>
      </c>
      <c r="H4" s="230" t="s">
        <v>1028</v>
      </c>
      <c r="I4" s="226" t="s">
        <v>761</v>
      </c>
    </row>
    <row r="5" spans="1:9" x14ac:dyDescent="0.25">
      <c r="A5" s="232">
        <v>45108</v>
      </c>
      <c r="B5" s="233"/>
      <c r="C5" s="234"/>
      <c r="D5" s="235"/>
      <c r="E5" s="233"/>
      <c r="F5" s="236"/>
      <c r="G5" s="235"/>
      <c r="H5" s="271">
        <f>B3+B5-E5</f>
        <v>18598</v>
      </c>
      <c r="I5" s="270" t="s">
        <v>967</v>
      </c>
    </row>
    <row r="6" spans="1:9" x14ac:dyDescent="0.25">
      <c r="A6" s="232">
        <v>45108</v>
      </c>
      <c r="B6" s="237">
        <v>14870</v>
      </c>
      <c r="C6" s="238" t="s">
        <v>9</v>
      </c>
      <c r="D6" s="239" t="s">
        <v>763</v>
      </c>
      <c r="E6" s="233">
        <v>9630</v>
      </c>
      <c r="F6" s="236" t="s">
        <v>95</v>
      </c>
      <c r="G6" s="239" t="s">
        <v>928</v>
      </c>
      <c r="H6" s="240">
        <f t="shared" ref="H6:H69" si="0">H5+B6-E6</f>
        <v>23838</v>
      </c>
      <c r="I6" s="241"/>
    </row>
    <row r="7" spans="1:9" x14ac:dyDescent="0.25">
      <c r="A7" s="232">
        <v>45108</v>
      </c>
      <c r="B7" s="237">
        <v>1532</v>
      </c>
      <c r="C7" s="238" t="s">
        <v>28</v>
      </c>
      <c r="D7" s="239" t="s">
        <v>765</v>
      </c>
      <c r="E7" s="237">
        <v>145</v>
      </c>
      <c r="F7" s="242" t="s">
        <v>19</v>
      </c>
      <c r="G7" s="239" t="s">
        <v>930</v>
      </c>
      <c r="H7" s="240">
        <f t="shared" si="0"/>
        <v>25225</v>
      </c>
      <c r="I7" s="241"/>
    </row>
    <row r="8" spans="1:9" x14ac:dyDescent="0.25">
      <c r="A8" s="232">
        <v>45108</v>
      </c>
      <c r="B8" s="237">
        <v>2135</v>
      </c>
      <c r="C8" s="238" t="s">
        <v>24</v>
      </c>
      <c r="D8" s="239" t="s">
        <v>766</v>
      </c>
      <c r="E8" s="237">
        <v>140</v>
      </c>
      <c r="F8" s="242" t="s">
        <v>29</v>
      </c>
      <c r="G8" s="239" t="s">
        <v>930</v>
      </c>
      <c r="H8" s="240">
        <f t="shared" si="0"/>
        <v>27220</v>
      </c>
      <c r="I8" s="241"/>
    </row>
    <row r="9" spans="1:9" x14ac:dyDescent="0.25">
      <c r="A9" s="232">
        <v>45108</v>
      </c>
      <c r="B9" s="237">
        <v>17812</v>
      </c>
      <c r="C9" s="238" t="s">
        <v>15</v>
      </c>
      <c r="D9" s="239" t="s">
        <v>766</v>
      </c>
      <c r="E9" s="237">
        <v>1855</v>
      </c>
      <c r="F9" s="242" t="s">
        <v>68</v>
      </c>
      <c r="G9" s="239" t="s">
        <v>928</v>
      </c>
      <c r="H9" s="240">
        <f t="shared" si="0"/>
        <v>43177</v>
      </c>
      <c r="I9" s="241"/>
    </row>
    <row r="10" spans="1:9" x14ac:dyDescent="0.25">
      <c r="A10" s="232">
        <v>45108</v>
      </c>
      <c r="B10" s="237">
        <v>259</v>
      </c>
      <c r="C10" s="238" t="s">
        <v>767</v>
      </c>
      <c r="D10" s="239" t="s">
        <v>768</v>
      </c>
      <c r="E10" s="237">
        <v>1345</v>
      </c>
      <c r="F10" s="242" t="s">
        <v>69</v>
      </c>
      <c r="G10" s="239" t="s">
        <v>928</v>
      </c>
      <c r="H10" s="240">
        <f t="shared" si="0"/>
        <v>42091</v>
      </c>
      <c r="I10" s="241"/>
    </row>
    <row r="11" spans="1:9" x14ac:dyDescent="0.25">
      <c r="A11" s="232">
        <v>45108</v>
      </c>
      <c r="B11" s="237">
        <v>5</v>
      </c>
      <c r="C11" s="238" t="s">
        <v>21</v>
      </c>
      <c r="D11" s="239" t="s">
        <v>924</v>
      </c>
      <c r="E11" s="237">
        <v>75</v>
      </c>
      <c r="F11" s="242" t="s">
        <v>10</v>
      </c>
      <c r="G11" s="239" t="s">
        <v>930</v>
      </c>
      <c r="H11" s="240">
        <f t="shared" si="0"/>
        <v>42021</v>
      </c>
      <c r="I11" s="241"/>
    </row>
    <row r="12" spans="1:9" x14ac:dyDescent="0.25">
      <c r="A12" s="232">
        <v>45108</v>
      </c>
      <c r="B12" s="237">
        <v>15015</v>
      </c>
      <c r="C12" s="238" t="s">
        <v>80</v>
      </c>
      <c r="D12" s="239" t="s">
        <v>763</v>
      </c>
      <c r="E12" s="237">
        <v>50</v>
      </c>
      <c r="F12" s="242" t="s">
        <v>98</v>
      </c>
      <c r="G12" s="239" t="s">
        <v>464</v>
      </c>
      <c r="H12" s="240">
        <f t="shared" si="0"/>
        <v>56986</v>
      </c>
      <c r="I12" s="241"/>
    </row>
    <row r="13" spans="1:9" x14ac:dyDescent="0.25">
      <c r="A13" s="232">
        <v>45108</v>
      </c>
      <c r="B13" s="237">
        <v>1962</v>
      </c>
      <c r="C13" s="238" t="s">
        <v>81</v>
      </c>
      <c r="D13" s="239" t="s">
        <v>765</v>
      </c>
      <c r="E13" s="237">
        <v>147</v>
      </c>
      <c r="F13" s="242" t="s">
        <v>73</v>
      </c>
      <c r="G13" s="239" t="s">
        <v>945</v>
      </c>
      <c r="H13" s="240">
        <f t="shared" si="0"/>
        <v>58801</v>
      </c>
      <c r="I13" s="241"/>
    </row>
    <row r="14" spans="1:9" x14ac:dyDescent="0.25">
      <c r="A14" s="232">
        <v>45108</v>
      </c>
      <c r="B14" s="237">
        <v>11275</v>
      </c>
      <c r="C14" s="238" t="s">
        <v>85</v>
      </c>
      <c r="D14" s="239" t="s">
        <v>766</v>
      </c>
      <c r="E14" s="237">
        <v>55</v>
      </c>
      <c r="F14" s="242" t="s">
        <v>101</v>
      </c>
      <c r="G14" s="239" t="s">
        <v>930</v>
      </c>
      <c r="H14" s="240">
        <f t="shared" si="0"/>
        <v>70021</v>
      </c>
      <c r="I14" s="241"/>
    </row>
    <row r="15" spans="1:9" x14ac:dyDescent="0.25">
      <c r="A15" s="232">
        <v>45108</v>
      </c>
      <c r="B15" s="237">
        <v>13221</v>
      </c>
      <c r="C15" s="238" t="s">
        <v>121</v>
      </c>
      <c r="D15" s="239" t="s">
        <v>766</v>
      </c>
      <c r="E15" s="237">
        <v>100</v>
      </c>
      <c r="F15" s="242" t="s">
        <v>87</v>
      </c>
      <c r="G15" s="239" t="s">
        <v>930</v>
      </c>
      <c r="H15" s="240">
        <f t="shared" si="0"/>
        <v>83142</v>
      </c>
      <c r="I15" s="241"/>
    </row>
    <row r="16" spans="1:9" x14ac:dyDescent="0.25">
      <c r="A16" s="232">
        <v>45108</v>
      </c>
      <c r="B16" s="237">
        <v>1080</v>
      </c>
      <c r="C16" s="238" t="s">
        <v>770</v>
      </c>
      <c r="D16" s="239" t="s">
        <v>768</v>
      </c>
      <c r="E16" s="237">
        <v>100</v>
      </c>
      <c r="F16" s="242" t="s">
        <v>102</v>
      </c>
      <c r="G16" s="239" t="s">
        <v>464</v>
      </c>
      <c r="H16" s="240">
        <f t="shared" si="0"/>
        <v>84122</v>
      </c>
      <c r="I16" s="241"/>
    </row>
    <row r="17" spans="1:9" x14ac:dyDescent="0.25">
      <c r="A17" s="232">
        <v>45108</v>
      </c>
      <c r="B17" s="237">
        <v>5300</v>
      </c>
      <c r="C17" s="238" t="s">
        <v>129</v>
      </c>
      <c r="D17" s="239" t="s">
        <v>771</v>
      </c>
      <c r="E17" s="237">
        <v>440</v>
      </c>
      <c r="F17" s="242" t="s">
        <v>72</v>
      </c>
      <c r="G17" s="239" t="s">
        <v>930</v>
      </c>
      <c r="H17" s="240">
        <f t="shared" si="0"/>
        <v>88982</v>
      </c>
      <c r="I17" s="241"/>
    </row>
    <row r="18" spans="1:9" x14ac:dyDescent="0.25">
      <c r="A18" s="232">
        <v>45108</v>
      </c>
      <c r="B18" s="237">
        <v>26376</v>
      </c>
      <c r="C18" s="238" t="s">
        <v>88</v>
      </c>
      <c r="D18" s="239" t="s">
        <v>766</v>
      </c>
      <c r="E18" s="237">
        <v>100</v>
      </c>
      <c r="F18" s="242" t="s">
        <v>103</v>
      </c>
      <c r="G18" s="239" t="s">
        <v>464</v>
      </c>
      <c r="H18" s="240">
        <f t="shared" si="0"/>
        <v>115258</v>
      </c>
      <c r="I18" s="241" t="s">
        <v>103</v>
      </c>
    </row>
    <row r="19" spans="1:9" x14ac:dyDescent="0.25">
      <c r="A19" s="232">
        <v>45108</v>
      </c>
      <c r="B19" s="237">
        <v>150</v>
      </c>
      <c r="C19" s="238" t="s">
        <v>747</v>
      </c>
      <c r="D19" s="239" t="s">
        <v>768</v>
      </c>
      <c r="E19" s="237">
        <v>20</v>
      </c>
      <c r="F19" s="242" t="s">
        <v>104</v>
      </c>
      <c r="G19" s="239" t="s">
        <v>464</v>
      </c>
      <c r="H19" s="240">
        <f t="shared" si="0"/>
        <v>115388</v>
      </c>
      <c r="I19" s="241"/>
    </row>
    <row r="20" spans="1:9" x14ac:dyDescent="0.25">
      <c r="A20" s="232">
        <v>45108</v>
      </c>
      <c r="B20" s="237">
        <v>405</v>
      </c>
      <c r="C20" s="238" t="s">
        <v>22</v>
      </c>
      <c r="D20" s="239" t="s">
        <v>772</v>
      </c>
      <c r="E20" s="237">
        <v>5</v>
      </c>
      <c r="F20" s="242" t="s">
        <v>105</v>
      </c>
      <c r="G20" s="239" t="s">
        <v>464</v>
      </c>
      <c r="H20" s="240">
        <f t="shared" si="0"/>
        <v>115788</v>
      </c>
      <c r="I20" s="241"/>
    </row>
    <row r="21" spans="1:9" x14ac:dyDescent="0.25">
      <c r="A21" s="232">
        <v>45108</v>
      </c>
      <c r="B21" s="237">
        <v>200</v>
      </c>
      <c r="C21" s="238" t="s">
        <v>22</v>
      </c>
      <c r="D21" s="239" t="s">
        <v>772</v>
      </c>
      <c r="E21" s="237">
        <v>10</v>
      </c>
      <c r="F21" s="242" t="s">
        <v>106</v>
      </c>
      <c r="G21" s="239" t="s">
        <v>464</v>
      </c>
      <c r="H21" s="240">
        <f t="shared" si="0"/>
        <v>115978</v>
      </c>
      <c r="I21" s="241"/>
    </row>
    <row r="22" spans="1:9" x14ac:dyDescent="0.25">
      <c r="A22" s="232">
        <v>45108</v>
      </c>
      <c r="B22" s="237">
        <v>200</v>
      </c>
      <c r="C22" s="238" t="s">
        <v>358</v>
      </c>
      <c r="D22" s="239" t="s">
        <v>938</v>
      </c>
      <c r="E22" s="237">
        <v>155</v>
      </c>
      <c r="F22" s="242" t="s">
        <v>107</v>
      </c>
      <c r="G22" s="239" t="s">
        <v>930</v>
      </c>
      <c r="H22" s="240">
        <f t="shared" si="0"/>
        <v>116023</v>
      </c>
      <c r="I22" s="241"/>
    </row>
    <row r="23" spans="1:9" x14ac:dyDescent="0.25">
      <c r="A23" s="232">
        <v>45108</v>
      </c>
      <c r="B23" s="237">
        <v>23574</v>
      </c>
      <c r="C23" s="238" t="s">
        <v>60</v>
      </c>
      <c r="D23" s="239" t="s">
        <v>763</v>
      </c>
      <c r="E23" s="237">
        <v>745</v>
      </c>
      <c r="F23" s="242" t="s">
        <v>34</v>
      </c>
      <c r="G23" s="239" t="s">
        <v>935</v>
      </c>
      <c r="H23" s="240">
        <f t="shared" si="0"/>
        <v>138852</v>
      </c>
      <c r="I23" s="241"/>
    </row>
    <row r="24" spans="1:9" x14ac:dyDescent="0.25">
      <c r="A24" s="232">
        <v>45108</v>
      </c>
      <c r="B24" s="237">
        <v>1425</v>
      </c>
      <c r="C24" s="238" t="s">
        <v>62</v>
      </c>
      <c r="D24" s="239" t="s">
        <v>765</v>
      </c>
      <c r="E24" s="237">
        <v>265</v>
      </c>
      <c r="F24" s="242" t="s">
        <v>8</v>
      </c>
      <c r="G24" s="239" t="s">
        <v>930</v>
      </c>
      <c r="H24" s="240">
        <f t="shared" si="0"/>
        <v>140012</v>
      </c>
      <c r="I24" s="241"/>
    </row>
    <row r="25" spans="1:9" x14ac:dyDescent="0.25">
      <c r="A25" s="232">
        <v>45108</v>
      </c>
      <c r="B25" s="237">
        <v>6000</v>
      </c>
      <c r="C25" s="238" t="s">
        <v>145</v>
      </c>
      <c r="D25" s="239" t="s">
        <v>766</v>
      </c>
      <c r="E25" s="237">
        <v>1417</v>
      </c>
      <c r="F25" s="242" t="s">
        <v>112</v>
      </c>
      <c r="G25" s="239" t="s">
        <v>929</v>
      </c>
      <c r="H25" s="240">
        <f t="shared" si="0"/>
        <v>144595</v>
      </c>
      <c r="I25" s="241"/>
    </row>
    <row r="26" spans="1:9" x14ac:dyDescent="0.25">
      <c r="A26" s="232">
        <v>45108</v>
      </c>
      <c r="B26" s="237">
        <v>4955</v>
      </c>
      <c r="C26" s="261" t="s">
        <v>147</v>
      </c>
      <c r="D26" s="239" t="s">
        <v>772</v>
      </c>
      <c r="E26" s="237">
        <v>33.5</v>
      </c>
      <c r="F26" s="242" t="s">
        <v>73</v>
      </c>
      <c r="G26" s="239" t="s">
        <v>945</v>
      </c>
      <c r="H26" s="240">
        <f t="shared" si="0"/>
        <v>149516.5</v>
      </c>
      <c r="I26" s="241"/>
    </row>
    <row r="27" spans="1:9" x14ac:dyDescent="0.25">
      <c r="A27" s="232">
        <v>45108</v>
      </c>
      <c r="B27" s="237"/>
      <c r="C27" s="238"/>
      <c r="D27" s="239"/>
      <c r="E27" s="237">
        <v>10175</v>
      </c>
      <c r="F27" s="242" t="s">
        <v>49</v>
      </c>
      <c r="G27" s="239" t="s">
        <v>928</v>
      </c>
      <c r="H27" s="240">
        <f t="shared" si="0"/>
        <v>139341.5</v>
      </c>
      <c r="I27" s="241"/>
    </row>
    <row r="28" spans="1:9" x14ac:dyDescent="0.25">
      <c r="A28" s="232">
        <v>45108</v>
      </c>
      <c r="B28" s="237"/>
      <c r="C28" s="238"/>
      <c r="D28" s="239"/>
      <c r="E28" s="237">
        <v>485</v>
      </c>
      <c r="F28" s="242" t="s">
        <v>37</v>
      </c>
      <c r="G28" s="239" t="s">
        <v>928</v>
      </c>
      <c r="H28" s="240">
        <f t="shared" si="0"/>
        <v>138856.5</v>
      </c>
      <c r="I28" s="241"/>
    </row>
    <row r="29" spans="1:9" x14ac:dyDescent="0.25">
      <c r="A29" s="232">
        <v>45108</v>
      </c>
      <c r="B29" s="237"/>
      <c r="C29" s="238"/>
      <c r="D29" s="239"/>
      <c r="E29" s="237">
        <v>1300</v>
      </c>
      <c r="F29" s="242" t="s">
        <v>117</v>
      </c>
      <c r="G29" s="239" t="s">
        <v>930</v>
      </c>
      <c r="H29" s="240">
        <f t="shared" si="0"/>
        <v>137556.5</v>
      </c>
      <c r="I29" s="241"/>
    </row>
    <row r="30" spans="1:9" x14ac:dyDescent="0.25">
      <c r="A30" s="232">
        <v>45108</v>
      </c>
      <c r="B30" s="237"/>
      <c r="C30" s="238"/>
      <c r="D30" s="239"/>
      <c r="E30" s="237">
        <v>500</v>
      </c>
      <c r="F30" s="242" t="s">
        <v>74</v>
      </c>
      <c r="G30" s="239" t="s">
        <v>464</v>
      </c>
      <c r="H30" s="240">
        <f t="shared" si="0"/>
        <v>137056.5</v>
      </c>
      <c r="I30" s="241" t="s">
        <v>184</v>
      </c>
    </row>
    <row r="31" spans="1:9" x14ac:dyDescent="0.25">
      <c r="A31" s="232">
        <v>45108</v>
      </c>
      <c r="B31" s="237"/>
      <c r="C31" s="238"/>
      <c r="D31" s="239"/>
      <c r="E31" s="237">
        <v>40</v>
      </c>
      <c r="F31" s="242" t="s">
        <v>73</v>
      </c>
      <c r="G31" s="239" t="s">
        <v>945</v>
      </c>
      <c r="H31" s="240">
        <f t="shared" si="0"/>
        <v>137016.5</v>
      </c>
      <c r="I31" s="241"/>
    </row>
    <row r="32" spans="1:9" x14ac:dyDescent="0.25">
      <c r="A32" s="232">
        <v>45108</v>
      </c>
      <c r="B32" s="237"/>
      <c r="C32" s="238"/>
      <c r="D32" s="239"/>
      <c r="E32" s="237">
        <v>50</v>
      </c>
      <c r="F32" s="242" t="s">
        <v>71</v>
      </c>
      <c r="G32" s="239" t="s">
        <v>930</v>
      </c>
      <c r="H32" s="240">
        <f t="shared" si="0"/>
        <v>136966.5</v>
      </c>
      <c r="I32" s="241"/>
    </row>
    <row r="33" spans="1:9" x14ac:dyDescent="0.25">
      <c r="A33" s="232">
        <v>45108</v>
      </c>
      <c r="B33" s="237"/>
      <c r="C33" s="238"/>
      <c r="D33" s="239"/>
      <c r="E33" s="237">
        <v>72</v>
      </c>
      <c r="F33" s="242" t="s">
        <v>119</v>
      </c>
      <c r="G33" s="239" t="s">
        <v>464</v>
      </c>
      <c r="H33" s="240">
        <f t="shared" si="0"/>
        <v>136894.5</v>
      </c>
      <c r="I33" s="241" t="s">
        <v>750</v>
      </c>
    </row>
    <row r="34" spans="1:9" x14ac:dyDescent="0.25">
      <c r="A34" s="232">
        <v>45108</v>
      </c>
      <c r="B34" s="237"/>
      <c r="C34" s="238"/>
      <c r="D34" s="239"/>
      <c r="E34" s="237">
        <v>174.5</v>
      </c>
      <c r="F34" s="242" t="s">
        <v>124</v>
      </c>
      <c r="G34" s="239" t="s">
        <v>945</v>
      </c>
      <c r="H34" s="240">
        <f t="shared" si="0"/>
        <v>136720</v>
      </c>
      <c r="I34" s="241"/>
    </row>
    <row r="35" spans="1:9" x14ac:dyDescent="0.25">
      <c r="A35" s="232">
        <v>45108</v>
      </c>
      <c r="B35" s="237"/>
      <c r="C35" s="238"/>
      <c r="D35" s="239"/>
      <c r="E35" s="237">
        <v>50</v>
      </c>
      <c r="F35" s="242" t="s">
        <v>30</v>
      </c>
      <c r="G35" s="239" t="s">
        <v>930</v>
      </c>
      <c r="H35" s="240">
        <f t="shared" si="0"/>
        <v>136670</v>
      </c>
      <c r="I35" s="241"/>
    </row>
    <row r="36" spans="1:9" x14ac:dyDescent="0.25">
      <c r="A36" s="232">
        <v>45108</v>
      </c>
      <c r="B36" s="237"/>
      <c r="C36" s="238"/>
      <c r="D36" s="239"/>
      <c r="E36" s="237">
        <v>1000</v>
      </c>
      <c r="F36" s="242" t="s">
        <v>120</v>
      </c>
      <c r="G36" s="239" t="s">
        <v>940</v>
      </c>
      <c r="H36" s="240">
        <f t="shared" si="0"/>
        <v>135670</v>
      </c>
      <c r="I36" s="241"/>
    </row>
    <row r="37" spans="1:9" x14ac:dyDescent="0.25">
      <c r="A37" s="232">
        <v>45108</v>
      </c>
      <c r="B37" s="237"/>
      <c r="C37" s="238"/>
      <c r="D37" s="239"/>
      <c r="E37" s="237">
        <v>1000</v>
      </c>
      <c r="F37" s="242" t="s">
        <v>122</v>
      </c>
      <c r="G37" s="239" t="s">
        <v>939</v>
      </c>
      <c r="H37" s="240">
        <f t="shared" si="0"/>
        <v>134670</v>
      </c>
      <c r="I37" s="241"/>
    </row>
    <row r="38" spans="1:9" x14ac:dyDescent="0.25">
      <c r="A38" s="232">
        <v>45108</v>
      </c>
      <c r="B38" s="237"/>
      <c r="C38" s="238"/>
      <c r="D38" s="239"/>
      <c r="E38" s="237">
        <v>6000</v>
      </c>
      <c r="F38" s="242" t="s">
        <v>43</v>
      </c>
      <c r="G38" s="239" t="s">
        <v>941</v>
      </c>
      <c r="H38" s="240">
        <f t="shared" si="0"/>
        <v>128670</v>
      </c>
      <c r="I38" s="241"/>
    </row>
    <row r="39" spans="1:9" x14ac:dyDescent="0.25">
      <c r="A39" s="232">
        <v>45108</v>
      </c>
      <c r="B39" s="237"/>
      <c r="C39" s="238"/>
      <c r="D39" s="239"/>
      <c r="E39" s="237">
        <v>105</v>
      </c>
      <c r="F39" s="242" t="s">
        <v>32</v>
      </c>
      <c r="G39" s="239" t="s">
        <v>930</v>
      </c>
      <c r="H39" s="240">
        <f t="shared" si="0"/>
        <v>128565</v>
      </c>
      <c r="I39" s="241"/>
    </row>
    <row r="40" spans="1:9" x14ac:dyDescent="0.25">
      <c r="A40" s="232">
        <v>45108</v>
      </c>
      <c r="B40" s="237"/>
      <c r="C40" s="238"/>
      <c r="D40" s="239"/>
      <c r="E40" s="237">
        <v>215</v>
      </c>
      <c r="F40" s="242" t="s">
        <v>59</v>
      </c>
      <c r="G40" s="239" t="s">
        <v>930</v>
      </c>
      <c r="H40" s="240">
        <f t="shared" si="0"/>
        <v>128350</v>
      </c>
      <c r="I40" s="241"/>
    </row>
    <row r="41" spans="1:9" x14ac:dyDescent="0.25">
      <c r="A41" s="232">
        <v>45108</v>
      </c>
      <c r="B41" s="237"/>
      <c r="C41" s="238"/>
      <c r="D41" s="239"/>
      <c r="E41" s="237">
        <v>100</v>
      </c>
      <c r="F41" s="242" t="s">
        <v>89</v>
      </c>
      <c r="G41" s="239" t="s">
        <v>930</v>
      </c>
      <c r="H41" s="240">
        <f t="shared" si="0"/>
        <v>128250</v>
      </c>
      <c r="I41" s="241"/>
    </row>
    <row r="42" spans="1:9" x14ac:dyDescent="0.25">
      <c r="A42" s="232">
        <v>45108</v>
      </c>
      <c r="B42" s="237"/>
      <c r="C42" s="238"/>
      <c r="D42" s="239"/>
      <c r="E42" s="237">
        <v>155</v>
      </c>
      <c r="F42" s="242" t="s">
        <v>125</v>
      </c>
      <c r="G42" s="239" t="s">
        <v>930</v>
      </c>
      <c r="H42" s="240">
        <f t="shared" si="0"/>
        <v>128095</v>
      </c>
      <c r="I42" s="241"/>
    </row>
    <row r="43" spans="1:9" x14ac:dyDescent="0.25">
      <c r="A43" s="232">
        <v>45108</v>
      </c>
      <c r="B43" s="237"/>
      <c r="C43" s="238"/>
      <c r="D43" s="239"/>
      <c r="E43" s="237">
        <v>240</v>
      </c>
      <c r="F43" s="242" t="s">
        <v>40</v>
      </c>
      <c r="G43" s="239" t="s">
        <v>930</v>
      </c>
      <c r="H43" s="240">
        <f t="shared" si="0"/>
        <v>127855</v>
      </c>
      <c r="I43" s="241"/>
    </row>
    <row r="44" spans="1:9" x14ac:dyDescent="0.25">
      <c r="A44" s="232">
        <v>45108</v>
      </c>
      <c r="B44" s="237"/>
      <c r="C44" s="238"/>
      <c r="D44" s="239"/>
      <c r="E44" s="237">
        <v>170</v>
      </c>
      <c r="F44" s="242" t="s">
        <v>944</v>
      </c>
      <c r="G44" s="239" t="s">
        <v>945</v>
      </c>
      <c r="H44" s="240">
        <f t="shared" si="0"/>
        <v>127685</v>
      </c>
      <c r="I44" s="241"/>
    </row>
    <row r="45" spans="1:9" x14ac:dyDescent="0.25">
      <c r="A45" s="232">
        <v>45108</v>
      </c>
      <c r="B45" s="237"/>
      <c r="C45" s="238"/>
      <c r="D45" s="239"/>
      <c r="E45" s="237">
        <v>61</v>
      </c>
      <c r="F45" s="242" t="s">
        <v>127</v>
      </c>
      <c r="G45" s="239" t="s">
        <v>938</v>
      </c>
      <c r="H45" s="240">
        <f t="shared" si="0"/>
        <v>127624</v>
      </c>
      <c r="I45" s="241"/>
    </row>
    <row r="46" spans="1:9" x14ac:dyDescent="0.25">
      <c r="A46" s="232">
        <v>45108</v>
      </c>
      <c r="B46" s="237"/>
      <c r="C46" s="238"/>
      <c r="D46" s="239"/>
      <c r="E46" s="237">
        <v>20000</v>
      </c>
      <c r="F46" s="242" t="s">
        <v>127</v>
      </c>
      <c r="G46" s="239" t="s">
        <v>938</v>
      </c>
      <c r="H46" s="240">
        <f t="shared" si="0"/>
        <v>107624</v>
      </c>
      <c r="I46" s="241"/>
    </row>
    <row r="47" spans="1:9" x14ac:dyDescent="0.25">
      <c r="A47" s="232">
        <v>45108</v>
      </c>
      <c r="B47" s="237"/>
      <c r="C47" s="238"/>
      <c r="D47" s="239"/>
      <c r="E47" s="237">
        <v>1000</v>
      </c>
      <c r="F47" s="242" t="s">
        <v>120</v>
      </c>
      <c r="G47" s="239" t="s">
        <v>940</v>
      </c>
      <c r="H47" s="240">
        <f t="shared" si="0"/>
        <v>106624</v>
      </c>
      <c r="I47" s="241"/>
    </row>
    <row r="48" spans="1:9" x14ac:dyDescent="0.25">
      <c r="A48" s="232">
        <v>45108</v>
      </c>
      <c r="B48" s="237"/>
      <c r="C48" s="238"/>
      <c r="D48" s="239"/>
      <c r="E48" s="237">
        <v>130</v>
      </c>
      <c r="F48" s="242" t="s">
        <v>134</v>
      </c>
      <c r="G48" s="239" t="s">
        <v>930</v>
      </c>
      <c r="H48" s="240">
        <f t="shared" si="0"/>
        <v>106494</v>
      </c>
      <c r="I48" s="241"/>
    </row>
    <row r="49" spans="1:9" x14ac:dyDescent="0.25">
      <c r="A49" s="232">
        <v>45108</v>
      </c>
      <c r="B49" s="237"/>
      <c r="C49" s="238"/>
      <c r="D49" s="239"/>
      <c r="E49" s="237">
        <v>225</v>
      </c>
      <c r="F49" s="242" t="s">
        <v>11</v>
      </c>
      <c r="G49" s="239" t="s">
        <v>935</v>
      </c>
      <c r="H49" s="240">
        <f t="shared" si="0"/>
        <v>106269</v>
      </c>
      <c r="I49" s="241"/>
    </row>
    <row r="50" spans="1:9" x14ac:dyDescent="0.25">
      <c r="A50" s="232">
        <v>45108</v>
      </c>
      <c r="B50" s="237"/>
      <c r="C50" s="238"/>
      <c r="D50" s="239"/>
      <c r="E50" s="237">
        <v>2050</v>
      </c>
      <c r="F50" s="242" t="s">
        <v>132</v>
      </c>
      <c r="G50" s="239" t="s">
        <v>464</v>
      </c>
      <c r="H50" s="240">
        <f t="shared" si="0"/>
        <v>104219</v>
      </c>
      <c r="I50" s="241"/>
    </row>
    <row r="51" spans="1:9" x14ac:dyDescent="0.25">
      <c r="A51" s="232">
        <v>45108</v>
      </c>
      <c r="B51" s="237"/>
      <c r="C51" s="238"/>
      <c r="D51" s="239"/>
      <c r="E51" s="237">
        <v>3155</v>
      </c>
      <c r="F51" s="242" t="s">
        <v>20</v>
      </c>
      <c r="G51" s="239" t="s">
        <v>928</v>
      </c>
      <c r="H51" s="240">
        <f t="shared" si="0"/>
        <v>101064</v>
      </c>
      <c r="I51" s="241"/>
    </row>
    <row r="52" spans="1:9" x14ac:dyDescent="0.25">
      <c r="A52" s="232">
        <v>45108</v>
      </c>
      <c r="B52" s="237"/>
      <c r="C52" s="238"/>
      <c r="D52" s="239"/>
      <c r="E52" s="237">
        <v>2185</v>
      </c>
      <c r="F52" s="242" t="s">
        <v>140</v>
      </c>
      <c r="G52" s="239" t="s">
        <v>930</v>
      </c>
      <c r="H52" s="240">
        <f t="shared" si="0"/>
        <v>98879</v>
      </c>
      <c r="I52" s="241"/>
    </row>
    <row r="53" spans="1:9" x14ac:dyDescent="0.25">
      <c r="A53" s="232">
        <v>45108</v>
      </c>
      <c r="B53" s="237"/>
      <c r="C53" s="238"/>
      <c r="D53" s="239"/>
      <c r="E53" s="237">
        <v>1705</v>
      </c>
      <c r="F53" s="242" t="s">
        <v>14</v>
      </c>
      <c r="G53" s="239" t="s">
        <v>935</v>
      </c>
      <c r="H53" s="240">
        <f t="shared" si="0"/>
        <v>97174</v>
      </c>
      <c r="I53" s="241"/>
    </row>
    <row r="54" spans="1:9" x14ac:dyDescent="0.25">
      <c r="A54" s="232">
        <v>45108</v>
      </c>
      <c r="B54" s="237"/>
      <c r="C54" s="238"/>
      <c r="D54" s="239"/>
      <c r="E54" s="237">
        <v>4285</v>
      </c>
      <c r="F54" s="242" t="s">
        <v>16</v>
      </c>
      <c r="G54" s="239" t="s">
        <v>936</v>
      </c>
      <c r="H54" s="240">
        <f t="shared" si="0"/>
        <v>92889</v>
      </c>
      <c r="I54" s="241"/>
    </row>
    <row r="55" spans="1:9" x14ac:dyDescent="0.25">
      <c r="A55" s="232">
        <v>45108</v>
      </c>
      <c r="B55" s="237"/>
      <c r="C55" s="238"/>
      <c r="D55" s="239"/>
      <c r="E55" s="237">
        <v>105</v>
      </c>
      <c r="F55" s="242" t="s">
        <v>82</v>
      </c>
      <c r="G55" s="239" t="s">
        <v>930</v>
      </c>
      <c r="H55" s="240">
        <f t="shared" si="0"/>
        <v>92784</v>
      </c>
      <c r="I55" s="241"/>
    </row>
    <row r="56" spans="1:9" x14ac:dyDescent="0.25">
      <c r="A56" s="232">
        <v>45108</v>
      </c>
      <c r="B56" s="237"/>
      <c r="C56" s="238"/>
      <c r="D56" s="239"/>
      <c r="E56" s="237">
        <v>145</v>
      </c>
      <c r="F56" s="242" t="s">
        <v>60</v>
      </c>
      <c r="G56" s="239" t="s">
        <v>930</v>
      </c>
      <c r="H56" s="240">
        <f t="shared" si="0"/>
        <v>92639</v>
      </c>
      <c r="I56" s="241"/>
    </row>
    <row r="57" spans="1:9" x14ac:dyDescent="0.25">
      <c r="A57" s="232">
        <v>45108</v>
      </c>
      <c r="B57" s="237"/>
      <c r="C57" s="238"/>
      <c r="D57" s="239"/>
      <c r="E57" s="237">
        <v>39</v>
      </c>
      <c r="F57" s="242" t="s">
        <v>127</v>
      </c>
      <c r="G57" s="239" t="s">
        <v>938</v>
      </c>
      <c r="H57" s="240">
        <f t="shared" si="0"/>
        <v>92600</v>
      </c>
      <c r="I57" s="241" t="s">
        <v>773</v>
      </c>
    </row>
    <row r="58" spans="1:9" x14ac:dyDescent="0.25">
      <c r="A58" s="232">
        <v>45108</v>
      </c>
      <c r="B58" s="237"/>
      <c r="C58" s="238"/>
      <c r="D58" s="239"/>
      <c r="E58" s="237">
        <v>20</v>
      </c>
      <c r="F58" s="242" t="s">
        <v>127</v>
      </c>
      <c r="G58" s="239" t="s">
        <v>938</v>
      </c>
      <c r="H58" s="240">
        <f t="shared" si="0"/>
        <v>92580</v>
      </c>
      <c r="I58" s="241" t="s">
        <v>773</v>
      </c>
    </row>
    <row r="59" spans="1:9" x14ac:dyDescent="0.25">
      <c r="A59" s="232">
        <v>45108</v>
      </c>
      <c r="B59" s="237"/>
      <c r="C59" s="238"/>
      <c r="D59" s="239"/>
      <c r="E59" s="237">
        <v>11</v>
      </c>
      <c r="F59" s="242" t="s">
        <v>144</v>
      </c>
      <c r="G59" s="239" t="s">
        <v>945</v>
      </c>
      <c r="H59" s="240">
        <f t="shared" si="0"/>
        <v>92569</v>
      </c>
      <c r="I59" s="241"/>
    </row>
    <row r="60" spans="1:9" x14ac:dyDescent="0.25">
      <c r="A60" s="232">
        <v>45108</v>
      </c>
      <c r="B60" s="237"/>
      <c r="C60" s="238"/>
      <c r="D60" s="239"/>
      <c r="E60" s="237">
        <v>100</v>
      </c>
      <c r="F60" s="242" t="s">
        <v>350</v>
      </c>
      <c r="G60" s="239" t="s">
        <v>931</v>
      </c>
      <c r="H60" s="240">
        <f t="shared" si="0"/>
        <v>92469</v>
      </c>
      <c r="I60" s="241"/>
    </row>
    <row r="61" spans="1:9" x14ac:dyDescent="0.25">
      <c r="A61" s="232">
        <v>45108</v>
      </c>
      <c r="B61" s="237"/>
      <c r="C61" s="238"/>
      <c r="D61" s="239"/>
      <c r="E61" s="237">
        <v>875</v>
      </c>
      <c r="F61" s="242" t="s">
        <v>610</v>
      </c>
      <c r="G61" s="239" t="s">
        <v>943</v>
      </c>
      <c r="H61" s="240">
        <f t="shared" si="0"/>
        <v>91594</v>
      </c>
      <c r="I61" s="241" t="s">
        <v>458</v>
      </c>
    </row>
    <row r="62" spans="1:9" x14ac:dyDescent="0.25">
      <c r="A62" s="232">
        <v>45108</v>
      </c>
      <c r="B62" s="237"/>
      <c r="C62" s="238"/>
      <c r="D62" s="239"/>
      <c r="E62" s="237">
        <v>200</v>
      </c>
      <c r="F62" s="242" t="s">
        <v>610</v>
      </c>
      <c r="G62" s="239" t="s">
        <v>943</v>
      </c>
      <c r="H62" s="240">
        <f t="shared" si="0"/>
        <v>91394</v>
      </c>
      <c r="I62" s="241" t="s">
        <v>458</v>
      </c>
    </row>
    <row r="63" spans="1:9" x14ac:dyDescent="0.25">
      <c r="A63" s="232">
        <v>45108</v>
      </c>
      <c r="B63" s="237"/>
      <c r="C63" s="238"/>
      <c r="D63" s="239"/>
      <c r="E63" s="237">
        <v>360</v>
      </c>
      <c r="F63" s="242" t="s">
        <v>774</v>
      </c>
      <c r="G63" s="239" t="s">
        <v>943</v>
      </c>
      <c r="H63" s="240">
        <f t="shared" si="0"/>
        <v>91034</v>
      </c>
      <c r="I63" s="241" t="s">
        <v>458</v>
      </c>
    </row>
    <row r="64" spans="1:9" x14ac:dyDescent="0.25">
      <c r="A64" s="232">
        <v>45108</v>
      </c>
      <c r="B64" s="237"/>
      <c r="C64" s="238"/>
      <c r="D64" s="239"/>
      <c r="E64" s="237">
        <v>50</v>
      </c>
      <c r="F64" s="242" t="s">
        <v>464</v>
      </c>
      <c r="G64" s="239" t="s">
        <v>464</v>
      </c>
      <c r="H64" s="240">
        <f t="shared" si="0"/>
        <v>90984</v>
      </c>
      <c r="I64" s="241" t="s">
        <v>118</v>
      </c>
    </row>
    <row r="65" spans="1:9" x14ac:dyDescent="0.25">
      <c r="A65" s="232">
        <v>45108</v>
      </c>
      <c r="B65" s="237"/>
      <c r="C65" s="238"/>
      <c r="D65" s="239"/>
      <c r="E65" s="237">
        <v>20</v>
      </c>
      <c r="F65" s="242" t="s">
        <v>25</v>
      </c>
      <c r="G65" s="239" t="s">
        <v>464</v>
      </c>
      <c r="H65" s="240">
        <f t="shared" si="0"/>
        <v>90964</v>
      </c>
      <c r="I65" s="241" t="s">
        <v>775</v>
      </c>
    </row>
    <row r="66" spans="1:9" x14ac:dyDescent="0.25">
      <c r="A66" s="232">
        <v>45108</v>
      </c>
      <c r="B66" s="237"/>
      <c r="C66" s="238"/>
      <c r="D66" s="239"/>
      <c r="E66" s="237">
        <v>3000</v>
      </c>
      <c r="F66" s="242" t="s">
        <v>108</v>
      </c>
      <c r="G66" s="239" t="s">
        <v>938</v>
      </c>
      <c r="H66" s="240">
        <f t="shared" si="0"/>
        <v>87964</v>
      </c>
      <c r="I66" s="241"/>
    </row>
    <row r="67" spans="1:9" x14ac:dyDescent="0.25">
      <c r="A67" s="232">
        <v>45108</v>
      </c>
      <c r="B67" s="237"/>
      <c r="C67" s="238"/>
      <c r="D67" s="239"/>
      <c r="E67" s="237">
        <v>370</v>
      </c>
      <c r="F67" s="242" t="s">
        <v>776</v>
      </c>
      <c r="G67" s="239" t="s">
        <v>930</v>
      </c>
      <c r="H67" s="240">
        <f t="shared" si="0"/>
        <v>87594</v>
      </c>
      <c r="I67" s="241" t="s">
        <v>773</v>
      </c>
    </row>
    <row r="68" spans="1:9" x14ac:dyDescent="0.25">
      <c r="A68" s="232">
        <v>45108</v>
      </c>
      <c r="B68" s="237"/>
      <c r="C68" s="238"/>
      <c r="D68" s="239"/>
      <c r="E68" s="237">
        <v>380</v>
      </c>
      <c r="F68" s="242" t="s">
        <v>776</v>
      </c>
      <c r="G68" s="239" t="s">
        <v>930</v>
      </c>
      <c r="H68" s="240">
        <f t="shared" si="0"/>
        <v>87214</v>
      </c>
      <c r="I68" s="241" t="s">
        <v>773</v>
      </c>
    </row>
    <row r="69" spans="1:9" x14ac:dyDescent="0.25">
      <c r="A69" s="232">
        <v>45108</v>
      </c>
      <c r="B69" s="237"/>
      <c r="C69" s="238"/>
      <c r="D69" s="239"/>
      <c r="E69" s="237">
        <v>20</v>
      </c>
      <c r="F69" s="242" t="s">
        <v>25</v>
      </c>
      <c r="G69" s="239" t="s">
        <v>464</v>
      </c>
      <c r="H69" s="240">
        <f t="shared" si="0"/>
        <v>87194</v>
      </c>
      <c r="I69" s="241" t="s">
        <v>777</v>
      </c>
    </row>
    <row r="70" spans="1:9" x14ac:dyDescent="0.25">
      <c r="A70" s="232">
        <v>45108</v>
      </c>
      <c r="B70" s="237"/>
      <c r="C70" s="238"/>
      <c r="D70" s="239"/>
      <c r="E70" s="237">
        <v>200</v>
      </c>
      <c r="F70" s="242" t="s">
        <v>50</v>
      </c>
      <c r="G70" s="239" t="s">
        <v>931</v>
      </c>
      <c r="H70" s="240">
        <f t="shared" ref="H70:H133" si="1">H69+B70-E70</f>
        <v>86994</v>
      </c>
      <c r="I70" s="241"/>
    </row>
    <row r="71" spans="1:9" x14ac:dyDescent="0.25">
      <c r="A71" s="244">
        <v>45108</v>
      </c>
      <c r="B71" s="245"/>
      <c r="C71" s="246"/>
      <c r="D71" s="247"/>
      <c r="E71" s="245">
        <v>35</v>
      </c>
      <c r="F71" s="248" t="s">
        <v>447</v>
      </c>
      <c r="G71" s="247" t="s">
        <v>931</v>
      </c>
      <c r="H71" s="240">
        <f t="shared" si="1"/>
        <v>86959</v>
      </c>
      <c r="I71" s="241"/>
    </row>
    <row r="72" spans="1:9" x14ac:dyDescent="0.25">
      <c r="A72" s="249">
        <v>45109</v>
      </c>
      <c r="B72" s="237">
        <v>18185</v>
      </c>
      <c r="C72" s="238" t="s">
        <v>9</v>
      </c>
      <c r="D72" s="239" t="s">
        <v>763</v>
      </c>
      <c r="E72" s="237">
        <v>6740</v>
      </c>
      <c r="F72" s="242" t="s">
        <v>12</v>
      </c>
      <c r="G72" s="239" t="s">
        <v>974</v>
      </c>
      <c r="H72" s="240">
        <f t="shared" si="1"/>
        <v>98404</v>
      </c>
      <c r="I72" s="241" t="s">
        <v>778</v>
      </c>
    </row>
    <row r="73" spans="1:9" x14ac:dyDescent="0.25">
      <c r="A73" s="249">
        <v>45109</v>
      </c>
      <c r="B73" s="237">
        <v>1555</v>
      </c>
      <c r="C73" s="238" t="s">
        <v>28</v>
      </c>
      <c r="D73" s="239" t="s">
        <v>765</v>
      </c>
      <c r="E73" s="237">
        <v>75</v>
      </c>
      <c r="F73" s="242" t="s">
        <v>153</v>
      </c>
      <c r="G73" s="239" t="s">
        <v>945</v>
      </c>
      <c r="H73" s="240">
        <f t="shared" si="1"/>
        <v>99884</v>
      </c>
      <c r="I73" s="241"/>
    </row>
    <row r="74" spans="1:9" x14ac:dyDescent="0.25">
      <c r="A74" s="249">
        <v>45109</v>
      </c>
      <c r="B74" s="237">
        <v>10784</v>
      </c>
      <c r="C74" s="238" t="s">
        <v>80</v>
      </c>
      <c r="D74" s="239" t="s">
        <v>763</v>
      </c>
      <c r="E74" s="237">
        <v>500</v>
      </c>
      <c r="F74" s="242" t="s">
        <v>50</v>
      </c>
      <c r="G74" s="239" t="s">
        <v>931</v>
      </c>
      <c r="H74" s="240">
        <f t="shared" si="1"/>
        <v>110168</v>
      </c>
      <c r="I74" s="241"/>
    </row>
    <row r="75" spans="1:9" x14ac:dyDescent="0.25">
      <c r="A75" s="249">
        <v>45109</v>
      </c>
      <c r="B75" s="237">
        <v>1898</v>
      </c>
      <c r="C75" s="238" t="s">
        <v>81</v>
      </c>
      <c r="D75" s="239" t="s">
        <v>765</v>
      </c>
      <c r="E75" s="237">
        <v>95</v>
      </c>
      <c r="F75" s="242" t="s">
        <v>10</v>
      </c>
      <c r="G75" s="239" t="s">
        <v>930</v>
      </c>
      <c r="H75" s="240">
        <f t="shared" si="1"/>
        <v>111971</v>
      </c>
      <c r="I75" s="241"/>
    </row>
    <row r="76" spans="1:9" x14ac:dyDescent="0.25">
      <c r="A76" s="249">
        <v>45109</v>
      </c>
      <c r="B76" s="237">
        <v>405</v>
      </c>
      <c r="C76" s="238" t="s">
        <v>27</v>
      </c>
      <c r="D76" s="239" t="s">
        <v>772</v>
      </c>
      <c r="E76" s="237">
        <v>550</v>
      </c>
      <c r="F76" s="242" t="s">
        <v>56</v>
      </c>
      <c r="G76" s="239" t="s">
        <v>928</v>
      </c>
      <c r="H76" s="240">
        <f t="shared" si="1"/>
        <v>111826</v>
      </c>
      <c r="I76" s="241"/>
    </row>
    <row r="77" spans="1:9" x14ac:dyDescent="0.25">
      <c r="A77" s="249">
        <v>45109</v>
      </c>
      <c r="B77" s="237">
        <v>305</v>
      </c>
      <c r="C77" s="238" t="s">
        <v>162</v>
      </c>
      <c r="D77" s="239" t="s">
        <v>763</v>
      </c>
      <c r="E77" s="237">
        <v>7030</v>
      </c>
      <c r="F77" s="242" t="s">
        <v>148</v>
      </c>
      <c r="G77" s="239" t="s">
        <v>928</v>
      </c>
      <c r="H77" s="240">
        <f t="shared" si="1"/>
        <v>105101</v>
      </c>
      <c r="I77" s="241"/>
    </row>
    <row r="78" spans="1:9" x14ac:dyDescent="0.25">
      <c r="A78" s="249">
        <v>45109</v>
      </c>
      <c r="B78" s="237">
        <v>5</v>
      </c>
      <c r="C78" s="238" t="s">
        <v>163</v>
      </c>
      <c r="D78" s="239" t="s">
        <v>937</v>
      </c>
      <c r="E78" s="237">
        <v>1605</v>
      </c>
      <c r="F78" s="242" t="s">
        <v>58</v>
      </c>
      <c r="G78" s="239" t="s">
        <v>928</v>
      </c>
      <c r="H78" s="240">
        <f t="shared" si="1"/>
        <v>103501</v>
      </c>
      <c r="I78" s="241"/>
    </row>
    <row r="79" spans="1:9" x14ac:dyDescent="0.25">
      <c r="A79" s="249">
        <v>45109</v>
      </c>
      <c r="B79" s="237">
        <v>3030</v>
      </c>
      <c r="C79" s="238" t="s">
        <v>27</v>
      </c>
      <c r="D79" s="239" t="s">
        <v>772</v>
      </c>
      <c r="E79" s="237">
        <v>30</v>
      </c>
      <c r="F79" s="242" t="s">
        <v>149</v>
      </c>
      <c r="G79" s="239" t="s">
        <v>929</v>
      </c>
      <c r="H79" s="240">
        <f t="shared" si="1"/>
        <v>106501</v>
      </c>
      <c r="I79" s="241"/>
    </row>
    <row r="80" spans="1:9" x14ac:dyDescent="0.25">
      <c r="A80" s="249">
        <v>45109</v>
      </c>
      <c r="B80" s="237">
        <v>900</v>
      </c>
      <c r="C80" s="238" t="s">
        <v>42</v>
      </c>
      <c r="D80" s="239" t="s">
        <v>769</v>
      </c>
      <c r="E80" s="237">
        <v>4465</v>
      </c>
      <c r="F80" s="242" t="s">
        <v>505</v>
      </c>
      <c r="G80" s="239" t="s">
        <v>928</v>
      </c>
      <c r="H80" s="240">
        <f t="shared" si="1"/>
        <v>102936</v>
      </c>
      <c r="I80" s="241" t="s">
        <v>779</v>
      </c>
    </row>
    <row r="81" spans="1:9" x14ac:dyDescent="0.25">
      <c r="A81" s="249">
        <v>45109</v>
      </c>
      <c r="B81" s="237">
        <v>3000</v>
      </c>
      <c r="C81" s="238" t="s">
        <v>18</v>
      </c>
      <c r="D81" s="239" t="s">
        <v>768</v>
      </c>
      <c r="E81" s="237">
        <v>1390</v>
      </c>
      <c r="F81" s="242" t="s">
        <v>45</v>
      </c>
      <c r="G81" s="239" t="s">
        <v>928</v>
      </c>
      <c r="H81" s="240">
        <f t="shared" si="1"/>
        <v>104546</v>
      </c>
      <c r="I81" s="241"/>
    </row>
    <row r="82" spans="1:9" x14ac:dyDescent="0.25">
      <c r="A82" s="249">
        <v>45109</v>
      </c>
      <c r="B82" s="237">
        <v>325</v>
      </c>
      <c r="C82" s="238" t="s">
        <v>19</v>
      </c>
      <c r="D82" s="239" t="s">
        <v>763</v>
      </c>
      <c r="E82" s="237">
        <v>5490</v>
      </c>
      <c r="F82" s="242" t="s">
        <v>155</v>
      </c>
      <c r="G82" s="239" t="s">
        <v>928</v>
      </c>
      <c r="H82" s="240">
        <f t="shared" si="1"/>
        <v>99381</v>
      </c>
      <c r="I82" s="241"/>
    </row>
    <row r="83" spans="1:9" x14ac:dyDescent="0.25">
      <c r="A83" s="249">
        <v>45109</v>
      </c>
      <c r="B83" s="237">
        <v>22335</v>
      </c>
      <c r="C83" s="238" t="s">
        <v>60</v>
      </c>
      <c r="D83" s="239" t="s">
        <v>763</v>
      </c>
      <c r="E83" s="237">
        <v>60</v>
      </c>
      <c r="F83" s="242" t="s">
        <v>156</v>
      </c>
      <c r="G83" s="239" t="s">
        <v>929</v>
      </c>
      <c r="H83" s="240">
        <f t="shared" si="1"/>
        <v>121656</v>
      </c>
      <c r="I83" s="241"/>
    </row>
    <row r="84" spans="1:9" x14ac:dyDescent="0.25">
      <c r="A84" s="249">
        <v>45109</v>
      </c>
      <c r="B84" s="237">
        <v>2272</v>
      </c>
      <c r="C84" s="238" t="s">
        <v>62</v>
      </c>
      <c r="D84" s="239" t="s">
        <v>765</v>
      </c>
      <c r="E84" s="237">
        <v>7030</v>
      </c>
      <c r="F84" s="242" t="s">
        <v>76</v>
      </c>
      <c r="G84" s="239" t="s">
        <v>928</v>
      </c>
      <c r="H84" s="240">
        <f t="shared" si="1"/>
        <v>116898</v>
      </c>
      <c r="I84" s="241"/>
    </row>
    <row r="85" spans="1:9" x14ac:dyDescent="0.25">
      <c r="A85" s="249">
        <v>45109</v>
      </c>
      <c r="B85" s="237">
        <v>325</v>
      </c>
      <c r="C85" s="238" t="s">
        <v>24</v>
      </c>
      <c r="D85" s="239" t="s">
        <v>766</v>
      </c>
      <c r="E85" s="237">
        <v>273</v>
      </c>
      <c r="F85" s="242" t="s">
        <v>464</v>
      </c>
      <c r="G85" s="239" t="s">
        <v>464</v>
      </c>
      <c r="H85" s="240">
        <f t="shared" si="1"/>
        <v>116950</v>
      </c>
      <c r="I85" s="241"/>
    </row>
    <row r="86" spans="1:9" x14ac:dyDescent="0.25">
      <c r="A86" s="249">
        <v>45109</v>
      </c>
      <c r="B86" s="237">
        <v>15358</v>
      </c>
      <c r="C86" s="238" t="s">
        <v>36</v>
      </c>
      <c r="D86" s="239" t="s">
        <v>766</v>
      </c>
      <c r="E86" s="237">
        <v>233</v>
      </c>
      <c r="F86" s="242" t="s">
        <v>565</v>
      </c>
      <c r="G86" s="239" t="s">
        <v>928</v>
      </c>
      <c r="H86" s="240">
        <f t="shared" si="1"/>
        <v>132075</v>
      </c>
      <c r="I86" s="241" t="s">
        <v>780</v>
      </c>
    </row>
    <row r="87" spans="1:9" x14ac:dyDescent="0.25">
      <c r="A87" s="249">
        <v>45109</v>
      </c>
      <c r="B87" s="237">
        <v>680</v>
      </c>
      <c r="C87" s="238" t="s">
        <v>93</v>
      </c>
      <c r="D87" s="239" t="s">
        <v>768</v>
      </c>
      <c r="E87" s="237">
        <v>575</v>
      </c>
      <c r="F87" s="242" t="s">
        <v>11</v>
      </c>
      <c r="G87" s="239" t="s">
        <v>935</v>
      </c>
      <c r="H87" s="240">
        <f t="shared" si="1"/>
        <v>132180</v>
      </c>
      <c r="I87" s="241"/>
    </row>
    <row r="88" spans="1:9" x14ac:dyDescent="0.25">
      <c r="A88" s="249">
        <v>45109</v>
      </c>
      <c r="B88" s="237">
        <v>20535</v>
      </c>
      <c r="C88" s="238" t="s">
        <v>85</v>
      </c>
      <c r="D88" s="239" t="s">
        <v>766</v>
      </c>
      <c r="E88" s="237">
        <v>297</v>
      </c>
      <c r="F88" s="242" t="s">
        <v>8</v>
      </c>
      <c r="G88" s="239" t="s">
        <v>930</v>
      </c>
      <c r="H88" s="240">
        <f t="shared" si="1"/>
        <v>152418</v>
      </c>
      <c r="I88" s="241"/>
    </row>
    <row r="89" spans="1:9" x14ac:dyDescent="0.25">
      <c r="A89" s="249">
        <v>45109</v>
      </c>
      <c r="B89" s="237"/>
      <c r="C89" s="238"/>
      <c r="D89" s="239"/>
      <c r="E89" s="237">
        <v>1947</v>
      </c>
      <c r="F89" s="242" t="s">
        <v>79</v>
      </c>
      <c r="G89" s="239" t="s">
        <v>929</v>
      </c>
      <c r="H89" s="240">
        <f t="shared" si="1"/>
        <v>150471</v>
      </c>
      <c r="I89" s="241"/>
    </row>
    <row r="90" spans="1:9" x14ac:dyDescent="0.25">
      <c r="A90" s="249">
        <v>45109</v>
      </c>
      <c r="B90" s="237"/>
      <c r="C90" s="238"/>
      <c r="D90" s="239"/>
      <c r="E90" s="237">
        <v>400</v>
      </c>
      <c r="F90" s="242" t="s">
        <v>55</v>
      </c>
      <c r="G90" s="239" t="s">
        <v>929</v>
      </c>
      <c r="H90" s="240">
        <f t="shared" si="1"/>
        <v>150071</v>
      </c>
      <c r="I90" s="241"/>
    </row>
    <row r="91" spans="1:9" x14ac:dyDescent="0.25">
      <c r="A91" s="249">
        <v>45109</v>
      </c>
      <c r="B91" s="237"/>
      <c r="C91" s="238"/>
      <c r="D91" s="239"/>
      <c r="E91" s="237">
        <v>3000</v>
      </c>
      <c r="F91" s="242" t="s">
        <v>781</v>
      </c>
      <c r="G91" s="239" t="s">
        <v>928</v>
      </c>
      <c r="H91" s="240">
        <f t="shared" si="1"/>
        <v>147071</v>
      </c>
      <c r="I91" s="241" t="s">
        <v>782</v>
      </c>
    </row>
    <row r="92" spans="1:9" x14ac:dyDescent="0.25">
      <c r="A92" s="249">
        <v>45109</v>
      </c>
      <c r="B92" s="237"/>
      <c r="C92" s="238"/>
      <c r="D92" s="239"/>
      <c r="E92" s="237">
        <v>1370</v>
      </c>
      <c r="F92" s="242" t="s">
        <v>159</v>
      </c>
      <c r="G92" s="239" t="s">
        <v>930</v>
      </c>
      <c r="H92" s="240">
        <f t="shared" si="1"/>
        <v>145701</v>
      </c>
      <c r="I92" s="241"/>
    </row>
    <row r="93" spans="1:9" x14ac:dyDescent="0.25">
      <c r="A93" s="249">
        <v>45109</v>
      </c>
      <c r="B93" s="237"/>
      <c r="C93" s="238"/>
      <c r="D93" s="239"/>
      <c r="E93" s="237">
        <v>1035</v>
      </c>
      <c r="F93" s="242" t="s">
        <v>160</v>
      </c>
      <c r="G93" s="239" t="s">
        <v>929</v>
      </c>
      <c r="H93" s="240">
        <f t="shared" si="1"/>
        <v>144666</v>
      </c>
      <c r="I93" s="241"/>
    </row>
    <row r="94" spans="1:9" x14ac:dyDescent="0.25">
      <c r="A94" s="249">
        <v>45109</v>
      </c>
      <c r="B94" s="237"/>
      <c r="C94" s="238"/>
      <c r="D94" s="239"/>
      <c r="E94" s="237">
        <v>50</v>
      </c>
      <c r="F94" s="242" t="s">
        <v>13</v>
      </c>
      <c r="G94" s="239" t="s">
        <v>930</v>
      </c>
      <c r="H94" s="240">
        <f t="shared" si="1"/>
        <v>144616</v>
      </c>
      <c r="I94" s="241"/>
    </row>
    <row r="95" spans="1:9" x14ac:dyDescent="0.25">
      <c r="A95" s="249">
        <v>45109</v>
      </c>
      <c r="B95" s="237"/>
      <c r="C95" s="238"/>
      <c r="D95" s="239"/>
      <c r="E95" s="237">
        <v>120</v>
      </c>
      <c r="F95" s="242" t="s">
        <v>38</v>
      </c>
      <c r="G95" s="239" t="s">
        <v>930</v>
      </c>
      <c r="H95" s="240">
        <f t="shared" si="1"/>
        <v>144496</v>
      </c>
      <c r="I95" s="241"/>
    </row>
    <row r="96" spans="1:9" x14ac:dyDescent="0.25">
      <c r="A96" s="249">
        <v>45109</v>
      </c>
      <c r="B96" s="237"/>
      <c r="C96" s="238"/>
      <c r="D96" s="239"/>
      <c r="E96" s="237">
        <v>10880</v>
      </c>
      <c r="F96" s="242" t="s">
        <v>51</v>
      </c>
      <c r="G96" s="239" t="s">
        <v>928</v>
      </c>
      <c r="H96" s="240">
        <f t="shared" si="1"/>
        <v>133616</v>
      </c>
      <c r="I96" s="241"/>
    </row>
    <row r="97" spans="1:9" x14ac:dyDescent="0.25">
      <c r="A97" s="249">
        <v>45109</v>
      </c>
      <c r="B97" s="237"/>
      <c r="C97" s="238"/>
      <c r="D97" s="239"/>
      <c r="E97" s="237">
        <v>4140</v>
      </c>
      <c r="F97" s="242" t="s">
        <v>161</v>
      </c>
      <c r="G97" s="239" t="s">
        <v>928</v>
      </c>
      <c r="H97" s="240">
        <f t="shared" si="1"/>
        <v>129476</v>
      </c>
      <c r="I97" s="241"/>
    </row>
    <row r="98" spans="1:9" x14ac:dyDescent="0.25">
      <c r="A98" s="249">
        <v>45109</v>
      </c>
      <c r="B98" s="237"/>
      <c r="C98" s="238"/>
      <c r="D98" s="239"/>
      <c r="E98" s="237">
        <v>5425</v>
      </c>
      <c r="F98" s="242" t="s">
        <v>47</v>
      </c>
      <c r="G98" s="239" t="s">
        <v>928</v>
      </c>
      <c r="H98" s="240">
        <f t="shared" si="1"/>
        <v>124051</v>
      </c>
      <c r="I98" s="241"/>
    </row>
    <row r="99" spans="1:9" x14ac:dyDescent="0.25">
      <c r="A99" s="249">
        <v>45109</v>
      </c>
      <c r="B99" s="237"/>
      <c r="C99" s="238"/>
      <c r="D99" s="239"/>
      <c r="E99" s="237">
        <v>5210</v>
      </c>
      <c r="F99" s="242" t="s">
        <v>664</v>
      </c>
      <c r="G99" s="239" t="s">
        <v>928</v>
      </c>
      <c r="H99" s="240">
        <f t="shared" si="1"/>
        <v>118841</v>
      </c>
      <c r="I99" s="241" t="s">
        <v>245</v>
      </c>
    </row>
    <row r="100" spans="1:9" x14ac:dyDescent="0.25">
      <c r="A100" s="249">
        <v>45109</v>
      </c>
      <c r="B100" s="237"/>
      <c r="C100" s="238"/>
      <c r="D100" s="239"/>
      <c r="E100" s="237">
        <v>100</v>
      </c>
      <c r="F100" s="242" t="s">
        <v>165</v>
      </c>
      <c r="G100" s="239" t="s">
        <v>929</v>
      </c>
      <c r="H100" s="240">
        <f t="shared" si="1"/>
        <v>118741</v>
      </c>
      <c r="I100" s="241"/>
    </row>
    <row r="101" spans="1:9" x14ac:dyDescent="0.25">
      <c r="A101" s="249">
        <v>45109</v>
      </c>
      <c r="B101" s="237"/>
      <c r="C101" s="238"/>
      <c r="D101" s="239"/>
      <c r="E101" s="237">
        <v>2500</v>
      </c>
      <c r="F101" s="242" t="s">
        <v>166</v>
      </c>
      <c r="G101" s="239" t="s">
        <v>929</v>
      </c>
      <c r="H101" s="240">
        <f t="shared" si="1"/>
        <v>116241</v>
      </c>
      <c r="I101" s="241"/>
    </row>
    <row r="102" spans="1:9" x14ac:dyDescent="0.25">
      <c r="A102" s="249">
        <v>45109</v>
      </c>
      <c r="B102" s="237"/>
      <c r="C102" s="238"/>
      <c r="D102" s="239"/>
      <c r="E102" s="237">
        <v>5960</v>
      </c>
      <c r="F102" s="242" t="s">
        <v>46</v>
      </c>
      <c r="G102" s="239" t="s">
        <v>929</v>
      </c>
      <c r="H102" s="240">
        <f t="shared" si="1"/>
        <v>110281</v>
      </c>
      <c r="I102" s="241"/>
    </row>
    <row r="103" spans="1:9" x14ac:dyDescent="0.25">
      <c r="A103" s="249">
        <v>45109</v>
      </c>
      <c r="B103" s="237"/>
      <c r="C103" s="238"/>
      <c r="D103" s="239"/>
      <c r="E103" s="237">
        <v>8455</v>
      </c>
      <c r="F103" s="242" t="s">
        <v>16</v>
      </c>
      <c r="G103" s="239" t="s">
        <v>936</v>
      </c>
      <c r="H103" s="240">
        <f t="shared" si="1"/>
        <v>101826</v>
      </c>
      <c r="I103" s="241"/>
    </row>
    <row r="104" spans="1:9" x14ac:dyDescent="0.25">
      <c r="A104" s="249">
        <v>45109</v>
      </c>
      <c r="B104" s="237"/>
      <c r="C104" s="238"/>
      <c r="D104" s="239"/>
      <c r="E104" s="237">
        <v>4810</v>
      </c>
      <c r="F104" s="242" t="s">
        <v>783</v>
      </c>
      <c r="G104" s="239" t="s">
        <v>928</v>
      </c>
      <c r="H104" s="240">
        <f t="shared" si="1"/>
        <v>97016</v>
      </c>
      <c r="I104" s="241" t="s">
        <v>784</v>
      </c>
    </row>
    <row r="105" spans="1:9" x14ac:dyDescent="0.25">
      <c r="A105" s="249">
        <v>45109</v>
      </c>
      <c r="B105" s="237"/>
      <c r="C105" s="238"/>
      <c r="D105" s="239"/>
      <c r="E105" s="237">
        <v>10000</v>
      </c>
      <c r="F105" s="242" t="s">
        <v>182</v>
      </c>
      <c r="G105" s="239" t="s">
        <v>941</v>
      </c>
      <c r="H105" s="240">
        <f t="shared" si="1"/>
        <v>87016</v>
      </c>
      <c r="I105" s="241"/>
    </row>
    <row r="106" spans="1:9" x14ac:dyDescent="0.25">
      <c r="A106" s="249">
        <v>45109</v>
      </c>
      <c r="B106" s="237"/>
      <c r="C106" s="238"/>
      <c r="D106" s="239"/>
      <c r="E106" s="237">
        <v>2000</v>
      </c>
      <c r="F106" s="242" t="s">
        <v>785</v>
      </c>
      <c r="G106" s="239" t="s">
        <v>928</v>
      </c>
      <c r="H106" s="240">
        <f t="shared" si="1"/>
        <v>85016</v>
      </c>
      <c r="I106" s="241" t="s">
        <v>786</v>
      </c>
    </row>
    <row r="107" spans="1:9" x14ac:dyDescent="0.25">
      <c r="A107" s="249">
        <v>45109</v>
      </c>
      <c r="B107" s="237"/>
      <c r="C107" s="238"/>
      <c r="D107" s="239"/>
      <c r="E107" s="237">
        <v>1715</v>
      </c>
      <c r="F107" s="242" t="s">
        <v>14</v>
      </c>
      <c r="G107" s="239" t="s">
        <v>935</v>
      </c>
      <c r="H107" s="240">
        <f t="shared" si="1"/>
        <v>83301</v>
      </c>
      <c r="I107" s="241"/>
    </row>
    <row r="108" spans="1:9" x14ac:dyDescent="0.25">
      <c r="A108" s="249">
        <v>45109</v>
      </c>
      <c r="B108" s="237"/>
      <c r="C108" s="238"/>
      <c r="D108" s="239"/>
      <c r="E108" s="237">
        <v>145</v>
      </c>
      <c r="F108" s="242" t="s">
        <v>60</v>
      </c>
      <c r="G108" s="239" t="s">
        <v>930</v>
      </c>
      <c r="H108" s="240">
        <f t="shared" si="1"/>
        <v>83156</v>
      </c>
      <c r="I108" s="241"/>
    </row>
    <row r="109" spans="1:9" x14ac:dyDescent="0.25">
      <c r="A109" s="249">
        <v>45109</v>
      </c>
      <c r="B109" s="237"/>
      <c r="C109" s="238"/>
      <c r="D109" s="239"/>
      <c r="E109" s="237">
        <v>290</v>
      </c>
      <c r="F109" s="242" t="s">
        <v>29</v>
      </c>
      <c r="G109" s="239" t="s">
        <v>930</v>
      </c>
      <c r="H109" s="240">
        <f t="shared" si="1"/>
        <v>82866</v>
      </c>
      <c r="I109" s="241"/>
    </row>
    <row r="110" spans="1:9" x14ac:dyDescent="0.25">
      <c r="A110" s="249">
        <v>45109</v>
      </c>
      <c r="B110" s="237"/>
      <c r="C110" s="238"/>
      <c r="D110" s="239"/>
      <c r="E110" s="237">
        <v>670</v>
      </c>
      <c r="F110" s="242" t="s">
        <v>39</v>
      </c>
      <c r="G110" s="239" t="s">
        <v>930</v>
      </c>
      <c r="H110" s="240">
        <f t="shared" si="1"/>
        <v>82196</v>
      </c>
      <c r="I110" s="241"/>
    </row>
    <row r="111" spans="1:9" x14ac:dyDescent="0.25">
      <c r="A111" s="249">
        <v>45109</v>
      </c>
      <c r="B111" s="237"/>
      <c r="C111" s="238"/>
      <c r="D111" s="239"/>
      <c r="E111" s="237">
        <v>270</v>
      </c>
      <c r="F111" s="242" t="s">
        <v>41</v>
      </c>
      <c r="G111" s="239" t="s">
        <v>930</v>
      </c>
      <c r="H111" s="240">
        <f t="shared" si="1"/>
        <v>81926</v>
      </c>
      <c r="I111" s="241"/>
    </row>
    <row r="112" spans="1:9" x14ac:dyDescent="0.25">
      <c r="A112" s="249">
        <v>45109</v>
      </c>
      <c r="B112" s="237"/>
      <c r="C112" s="238"/>
      <c r="D112" s="239"/>
      <c r="E112" s="237">
        <v>495</v>
      </c>
      <c r="F112" s="242" t="s">
        <v>27</v>
      </c>
      <c r="G112" s="239" t="s">
        <v>943</v>
      </c>
      <c r="H112" s="240">
        <f t="shared" si="1"/>
        <v>81431</v>
      </c>
      <c r="I112" s="241"/>
    </row>
    <row r="113" spans="1:9" x14ac:dyDescent="0.25">
      <c r="A113" s="249">
        <v>45109</v>
      </c>
      <c r="B113" s="237"/>
      <c r="C113" s="238"/>
      <c r="D113" s="239"/>
      <c r="E113" s="237">
        <v>33</v>
      </c>
      <c r="F113" s="242" t="s">
        <v>73</v>
      </c>
      <c r="G113" s="239" t="s">
        <v>945</v>
      </c>
      <c r="H113" s="240">
        <f t="shared" si="1"/>
        <v>81398</v>
      </c>
      <c r="I113" s="241"/>
    </row>
    <row r="114" spans="1:9" x14ac:dyDescent="0.25">
      <c r="A114" s="249">
        <v>45109</v>
      </c>
      <c r="B114" s="237"/>
      <c r="C114" s="238"/>
      <c r="D114" s="239"/>
      <c r="E114" s="237">
        <v>75</v>
      </c>
      <c r="F114" s="242" t="s">
        <v>26</v>
      </c>
      <c r="G114" s="239" t="s">
        <v>930</v>
      </c>
      <c r="H114" s="240">
        <f t="shared" si="1"/>
        <v>81323</v>
      </c>
      <c r="I114" s="241"/>
    </row>
    <row r="115" spans="1:9" x14ac:dyDescent="0.25">
      <c r="A115" s="249">
        <v>45109</v>
      </c>
      <c r="B115" s="237"/>
      <c r="C115" s="238"/>
      <c r="D115" s="239"/>
      <c r="E115" s="237">
        <v>2918</v>
      </c>
      <c r="F115" s="242" t="s">
        <v>77</v>
      </c>
      <c r="G115" s="239" t="s">
        <v>928</v>
      </c>
      <c r="H115" s="240">
        <f t="shared" si="1"/>
        <v>78405</v>
      </c>
      <c r="I115" s="241"/>
    </row>
    <row r="116" spans="1:9" x14ac:dyDescent="0.25">
      <c r="A116" s="249">
        <v>45109</v>
      </c>
      <c r="B116" s="237"/>
      <c r="C116" s="238"/>
      <c r="D116" s="239"/>
      <c r="E116" s="237">
        <v>1720</v>
      </c>
      <c r="F116" s="242" t="s">
        <v>79</v>
      </c>
      <c r="G116" s="239" t="s">
        <v>929</v>
      </c>
      <c r="H116" s="240">
        <f t="shared" si="1"/>
        <v>76685</v>
      </c>
      <c r="I116" s="241"/>
    </row>
    <row r="117" spans="1:9" x14ac:dyDescent="0.25">
      <c r="A117" s="249">
        <v>45109</v>
      </c>
      <c r="B117" s="237"/>
      <c r="C117" s="238"/>
      <c r="D117" s="239"/>
      <c r="E117" s="237">
        <v>25</v>
      </c>
      <c r="F117" s="242" t="s">
        <v>184</v>
      </c>
      <c r="G117" s="239" t="s">
        <v>464</v>
      </c>
      <c r="H117" s="240">
        <f t="shared" si="1"/>
        <v>76660</v>
      </c>
      <c r="I117" s="241"/>
    </row>
    <row r="118" spans="1:9" x14ac:dyDescent="0.25">
      <c r="A118" s="249">
        <v>45109</v>
      </c>
      <c r="B118" s="237"/>
      <c r="C118" s="238"/>
      <c r="D118" s="239"/>
      <c r="E118" s="237">
        <v>3000</v>
      </c>
      <c r="F118" s="242" t="s">
        <v>183</v>
      </c>
      <c r="G118" s="239" t="s">
        <v>930</v>
      </c>
      <c r="H118" s="240">
        <f t="shared" si="1"/>
        <v>73660</v>
      </c>
      <c r="I118" s="241"/>
    </row>
    <row r="119" spans="1:9" x14ac:dyDescent="0.25">
      <c r="A119" s="249">
        <v>45109</v>
      </c>
      <c r="B119" s="237"/>
      <c r="C119" s="238"/>
      <c r="D119" s="239"/>
      <c r="E119" s="237">
        <v>500</v>
      </c>
      <c r="F119" s="242" t="s">
        <v>169</v>
      </c>
      <c r="G119" s="239" t="s">
        <v>464</v>
      </c>
      <c r="H119" s="240">
        <f t="shared" si="1"/>
        <v>73160</v>
      </c>
      <c r="I119" s="241"/>
    </row>
    <row r="120" spans="1:9" x14ac:dyDescent="0.25">
      <c r="A120" s="249">
        <v>45109</v>
      </c>
      <c r="B120" s="237"/>
      <c r="C120" s="238"/>
      <c r="D120" s="239"/>
      <c r="E120" s="237">
        <v>210</v>
      </c>
      <c r="F120" s="242" t="s">
        <v>170</v>
      </c>
      <c r="G120" s="239" t="s">
        <v>945</v>
      </c>
      <c r="H120" s="240">
        <f t="shared" si="1"/>
        <v>72950</v>
      </c>
      <c r="I120" s="241"/>
    </row>
    <row r="121" spans="1:9" x14ac:dyDescent="0.25">
      <c r="A121" s="249">
        <v>45109</v>
      </c>
      <c r="B121" s="237"/>
      <c r="C121" s="238"/>
      <c r="D121" s="239"/>
      <c r="E121" s="237">
        <v>110</v>
      </c>
      <c r="F121" s="242" t="s">
        <v>171</v>
      </c>
      <c r="G121" s="239" t="s">
        <v>930</v>
      </c>
      <c r="H121" s="240">
        <f t="shared" si="1"/>
        <v>72840</v>
      </c>
      <c r="I121" s="241"/>
    </row>
    <row r="122" spans="1:9" x14ac:dyDescent="0.25">
      <c r="A122" s="249">
        <v>45109</v>
      </c>
      <c r="B122" s="237"/>
      <c r="C122" s="238"/>
      <c r="D122" s="239"/>
      <c r="E122" s="237">
        <v>170</v>
      </c>
      <c r="F122" s="242" t="s">
        <v>172</v>
      </c>
      <c r="G122" s="239" t="s">
        <v>930</v>
      </c>
      <c r="H122" s="240">
        <f t="shared" si="1"/>
        <v>72670</v>
      </c>
      <c r="I122" s="241"/>
    </row>
    <row r="123" spans="1:9" x14ac:dyDescent="0.25">
      <c r="A123" s="249">
        <v>45109</v>
      </c>
      <c r="B123" s="237"/>
      <c r="C123" s="238"/>
      <c r="D123" s="239"/>
      <c r="E123" s="237">
        <v>65</v>
      </c>
      <c r="F123" s="242" t="s">
        <v>178</v>
      </c>
      <c r="G123" s="239" t="s">
        <v>930</v>
      </c>
      <c r="H123" s="240">
        <f t="shared" si="1"/>
        <v>72605</v>
      </c>
      <c r="I123" s="241"/>
    </row>
    <row r="124" spans="1:9" x14ac:dyDescent="0.25">
      <c r="A124" s="249">
        <v>45109</v>
      </c>
      <c r="B124" s="237"/>
      <c r="C124" s="238"/>
      <c r="D124" s="239"/>
      <c r="E124" s="237">
        <v>175</v>
      </c>
      <c r="F124" s="242" t="s">
        <v>173</v>
      </c>
      <c r="G124" s="239" t="s">
        <v>930</v>
      </c>
      <c r="H124" s="240">
        <f t="shared" si="1"/>
        <v>72430</v>
      </c>
      <c r="I124" s="241"/>
    </row>
    <row r="125" spans="1:9" x14ac:dyDescent="0.25">
      <c r="A125" s="249">
        <v>45109</v>
      </c>
      <c r="B125" s="237"/>
      <c r="C125" s="238"/>
      <c r="D125" s="239"/>
      <c r="E125" s="237">
        <v>50</v>
      </c>
      <c r="F125" s="242" t="s">
        <v>464</v>
      </c>
      <c r="G125" s="239" t="s">
        <v>464</v>
      </c>
      <c r="H125" s="240">
        <f t="shared" si="1"/>
        <v>72380</v>
      </c>
      <c r="I125" s="242" t="s">
        <v>174</v>
      </c>
    </row>
    <row r="126" spans="1:9" x14ac:dyDescent="0.25">
      <c r="A126" s="249">
        <v>45109</v>
      </c>
      <c r="B126" s="237"/>
      <c r="C126" s="238"/>
      <c r="D126" s="239"/>
      <c r="E126" s="237">
        <v>110</v>
      </c>
      <c r="F126" s="242" t="s">
        <v>464</v>
      </c>
      <c r="G126" s="239" t="s">
        <v>464</v>
      </c>
      <c r="H126" s="240">
        <f t="shared" si="1"/>
        <v>72270</v>
      </c>
      <c r="I126" s="242" t="s">
        <v>175</v>
      </c>
    </row>
    <row r="127" spans="1:9" x14ac:dyDescent="0.25">
      <c r="A127" s="249">
        <v>45109</v>
      </c>
      <c r="B127" s="237"/>
      <c r="C127" s="238"/>
      <c r="D127" s="239"/>
      <c r="E127" s="237">
        <v>25</v>
      </c>
      <c r="F127" s="242" t="s">
        <v>176</v>
      </c>
      <c r="G127" s="239" t="s">
        <v>464</v>
      </c>
      <c r="H127" s="240">
        <f t="shared" si="1"/>
        <v>72245</v>
      </c>
      <c r="I127" s="241"/>
    </row>
    <row r="128" spans="1:9" x14ac:dyDescent="0.25">
      <c r="A128" s="249">
        <v>45109</v>
      </c>
      <c r="B128" s="237"/>
      <c r="C128" s="238"/>
      <c r="D128" s="239"/>
      <c r="E128" s="237">
        <v>1080</v>
      </c>
      <c r="F128" s="242" t="s">
        <v>737</v>
      </c>
      <c r="G128" s="239" t="s">
        <v>928</v>
      </c>
      <c r="H128" s="240">
        <f t="shared" si="1"/>
        <v>71165</v>
      </c>
      <c r="I128" s="241" t="s">
        <v>787</v>
      </c>
    </row>
    <row r="129" spans="1:9" x14ac:dyDescent="0.25">
      <c r="A129" s="249">
        <v>45109</v>
      </c>
      <c r="B129" s="237"/>
      <c r="C129" s="238"/>
      <c r="D129" s="239"/>
      <c r="E129" s="237">
        <v>3000</v>
      </c>
      <c r="F129" s="242" t="s">
        <v>182</v>
      </c>
      <c r="G129" s="239" t="s">
        <v>941</v>
      </c>
      <c r="H129" s="240">
        <f t="shared" si="1"/>
        <v>68165</v>
      </c>
      <c r="I129" s="241"/>
    </row>
    <row r="130" spans="1:9" x14ac:dyDescent="0.25">
      <c r="A130" s="249">
        <v>45109</v>
      </c>
      <c r="B130" s="237"/>
      <c r="C130" s="238"/>
      <c r="D130" s="239"/>
      <c r="E130" s="237">
        <v>1000</v>
      </c>
      <c r="F130" s="242" t="s">
        <v>788</v>
      </c>
      <c r="G130" s="239" t="s">
        <v>928</v>
      </c>
      <c r="H130" s="240">
        <f t="shared" si="1"/>
        <v>67165</v>
      </c>
      <c r="I130" s="241" t="s">
        <v>789</v>
      </c>
    </row>
    <row r="131" spans="1:9" x14ac:dyDescent="0.25">
      <c r="A131" s="249">
        <v>45109</v>
      </c>
      <c r="B131" s="237"/>
      <c r="C131" s="238"/>
      <c r="D131" s="239"/>
      <c r="E131" s="237">
        <v>11000</v>
      </c>
      <c r="F131" s="242" t="s">
        <v>584</v>
      </c>
      <c r="G131" s="239" t="s">
        <v>936</v>
      </c>
      <c r="H131" s="240">
        <f t="shared" si="1"/>
        <v>56165</v>
      </c>
      <c r="I131" s="241"/>
    </row>
    <row r="132" spans="1:9" x14ac:dyDescent="0.25">
      <c r="A132" s="249">
        <v>45109</v>
      </c>
      <c r="B132" s="237"/>
      <c r="C132" s="238"/>
      <c r="D132" s="239"/>
      <c r="E132" s="237">
        <v>4140</v>
      </c>
      <c r="F132" s="242" t="s">
        <v>464</v>
      </c>
      <c r="G132" s="239" t="s">
        <v>464</v>
      </c>
      <c r="H132" s="240">
        <f t="shared" si="1"/>
        <v>52025</v>
      </c>
      <c r="I132" s="241" t="s">
        <v>188</v>
      </c>
    </row>
    <row r="133" spans="1:9" x14ac:dyDescent="0.25">
      <c r="A133" s="249">
        <v>45109</v>
      </c>
      <c r="B133" s="237"/>
      <c r="C133" s="238"/>
      <c r="D133" s="239"/>
      <c r="E133" s="237">
        <v>115</v>
      </c>
      <c r="F133" s="242" t="s">
        <v>19</v>
      </c>
      <c r="G133" s="239" t="s">
        <v>930</v>
      </c>
      <c r="H133" s="240">
        <f t="shared" si="1"/>
        <v>51910</v>
      </c>
      <c r="I133" s="241"/>
    </row>
    <row r="134" spans="1:9" x14ac:dyDescent="0.25">
      <c r="A134" s="249">
        <v>45109</v>
      </c>
      <c r="B134" s="237"/>
      <c r="C134" s="238"/>
      <c r="D134" s="239"/>
      <c r="E134" s="237">
        <v>95</v>
      </c>
      <c r="F134" s="242" t="s">
        <v>27</v>
      </c>
      <c r="G134" s="239" t="s">
        <v>943</v>
      </c>
      <c r="H134" s="240">
        <f t="shared" ref="H134:H197" si="2">H133+B134-E134</f>
        <v>51815</v>
      </c>
      <c r="I134" s="241"/>
    </row>
    <row r="135" spans="1:9" x14ac:dyDescent="0.25">
      <c r="A135" s="249">
        <v>45109</v>
      </c>
      <c r="B135" s="237"/>
      <c r="C135" s="238"/>
      <c r="D135" s="239"/>
      <c r="E135" s="237">
        <v>50</v>
      </c>
      <c r="F135" s="242" t="s">
        <v>464</v>
      </c>
      <c r="G135" s="239" t="s">
        <v>464</v>
      </c>
      <c r="H135" s="240">
        <f t="shared" si="2"/>
        <v>51765</v>
      </c>
      <c r="I135" s="241" t="s">
        <v>118</v>
      </c>
    </row>
    <row r="136" spans="1:9" x14ac:dyDescent="0.25">
      <c r="A136" s="249">
        <v>45109</v>
      </c>
      <c r="B136" s="237"/>
      <c r="C136" s="238"/>
      <c r="D136" s="239"/>
      <c r="E136" s="237">
        <v>100</v>
      </c>
      <c r="F136" s="242" t="s">
        <v>74</v>
      </c>
      <c r="G136" s="239" t="s">
        <v>931</v>
      </c>
      <c r="H136" s="240">
        <f t="shared" si="2"/>
        <v>51665</v>
      </c>
      <c r="I136" s="241" t="s">
        <v>790</v>
      </c>
    </row>
    <row r="137" spans="1:9" x14ac:dyDescent="0.25">
      <c r="A137" s="244">
        <v>45109</v>
      </c>
      <c r="B137" s="245"/>
      <c r="C137" s="246"/>
      <c r="D137" s="247"/>
      <c r="E137" s="245">
        <v>10000</v>
      </c>
      <c r="F137" s="303" t="s">
        <v>266</v>
      </c>
      <c r="G137" s="247" t="s">
        <v>928</v>
      </c>
      <c r="H137" s="240">
        <f t="shared" si="2"/>
        <v>41665</v>
      </c>
      <c r="I137" s="241" t="s">
        <v>791</v>
      </c>
    </row>
    <row r="138" spans="1:9" x14ac:dyDescent="0.25">
      <c r="A138" s="249">
        <v>45110</v>
      </c>
      <c r="B138" s="237">
        <v>13480</v>
      </c>
      <c r="C138" s="238" t="s">
        <v>9</v>
      </c>
      <c r="D138" s="239" t="s">
        <v>763</v>
      </c>
      <c r="E138" s="237">
        <v>980</v>
      </c>
      <c r="F138" s="242" t="s">
        <v>580</v>
      </c>
      <c r="G138" s="239" t="s">
        <v>928</v>
      </c>
      <c r="H138" s="240">
        <f t="shared" si="2"/>
        <v>54165</v>
      </c>
      <c r="I138" s="241"/>
    </row>
    <row r="139" spans="1:9" x14ac:dyDescent="0.25">
      <c r="A139" s="249">
        <v>45110</v>
      </c>
      <c r="B139" s="237">
        <v>875</v>
      </c>
      <c r="C139" s="238" t="s">
        <v>28</v>
      </c>
      <c r="D139" s="239" t="s">
        <v>765</v>
      </c>
      <c r="E139" s="237">
        <v>13360</v>
      </c>
      <c r="F139" s="242" t="s">
        <v>53</v>
      </c>
      <c r="G139" s="239" t="s">
        <v>928</v>
      </c>
      <c r="H139" s="240">
        <f t="shared" si="2"/>
        <v>41680</v>
      </c>
      <c r="I139" s="241"/>
    </row>
    <row r="140" spans="1:9" x14ac:dyDescent="0.25">
      <c r="A140" s="249">
        <v>45110</v>
      </c>
      <c r="B140" s="237">
        <v>6000</v>
      </c>
      <c r="C140" s="238" t="s">
        <v>25</v>
      </c>
      <c r="D140" s="239" t="s">
        <v>925</v>
      </c>
      <c r="E140" s="237">
        <v>265</v>
      </c>
      <c r="F140" s="242" t="s">
        <v>63</v>
      </c>
      <c r="G140" s="239" t="s">
        <v>928</v>
      </c>
      <c r="H140" s="240">
        <f t="shared" si="2"/>
        <v>47415</v>
      </c>
      <c r="I140" s="241"/>
    </row>
    <row r="141" spans="1:9" x14ac:dyDescent="0.25">
      <c r="A141" s="249">
        <v>45110</v>
      </c>
      <c r="B141" s="237">
        <v>8874</v>
      </c>
      <c r="C141" s="238" t="s">
        <v>80</v>
      </c>
      <c r="D141" s="239" t="s">
        <v>763</v>
      </c>
      <c r="E141" s="237">
        <v>3470</v>
      </c>
      <c r="F141" s="242" t="s">
        <v>336</v>
      </c>
      <c r="G141" s="239" t="s">
        <v>928</v>
      </c>
      <c r="H141" s="240">
        <f t="shared" si="2"/>
        <v>52819</v>
      </c>
      <c r="I141" s="241" t="s">
        <v>792</v>
      </c>
    </row>
    <row r="142" spans="1:9" x14ac:dyDescent="0.25">
      <c r="A142" s="249">
        <v>45110</v>
      </c>
      <c r="B142" s="237">
        <v>899</v>
      </c>
      <c r="C142" s="238" t="s">
        <v>81</v>
      </c>
      <c r="D142" s="239" t="s">
        <v>765</v>
      </c>
      <c r="E142" s="237">
        <v>55</v>
      </c>
      <c r="F142" s="242" t="s">
        <v>33</v>
      </c>
      <c r="G142" s="239" t="s">
        <v>464</v>
      </c>
      <c r="H142" s="240">
        <f t="shared" si="2"/>
        <v>53663</v>
      </c>
      <c r="I142" s="241"/>
    </row>
    <row r="143" spans="1:9" x14ac:dyDescent="0.25">
      <c r="A143" s="249">
        <v>45110</v>
      </c>
      <c r="B143" s="237">
        <v>11887</v>
      </c>
      <c r="C143" s="238" t="s">
        <v>85</v>
      </c>
      <c r="D143" s="239" t="s">
        <v>766</v>
      </c>
      <c r="E143" s="237">
        <v>100</v>
      </c>
      <c r="F143" s="242" t="s">
        <v>142</v>
      </c>
      <c r="G143" s="239" t="s">
        <v>464</v>
      </c>
      <c r="H143" s="240">
        <f t="shared" si="2"/>
        <v>65450</v>
      </c>
      <c r="I143" s="241"/>
    </row>
    <row r="144" spans="1:9" x14ac:dyDescent="0.25">
      <c r="A144" s="249">
        <v>45110</v>
      </c>
      <c r="B144" s="237">
        <v>20</v>
      </c>
      <c r="C144" s="238" t="s">
        <v>35</v>
      </c>
      <c r="D144" s="239" t="s">
        <v>937</v>
      </c>
      <c r="E144" s="237">
        <v>145</v>
      </c>
      <c r="F144" s="242" t="s">
        <v>10</v>
      </c>
      <c r="G144" s="239" t="s">
        <v>930</v>
      </c>
      <c r="H144" s="240">
        <f t="shared" si="2"/>
        <v>65325</v>
      </c>
      <c r="I144" s="241"/>
    </row>
    <row r="145" spans="1:9" x14ac:dyDescent="0.25">
      <c r="A145" s="249">
        <v>45110</v>
      </c>
      <c r="B145" s="237">
        <v>17079</v>
      </c>
      <c r="C145" s="238" t="s">
        <v>15</v>
      </c>
      <c r="D145" s="239" t="s">
        <v>766</v>
      </c>
      <c r="E145" s="237">
        <v>5280</v>
      </c>
      <c r="F145" s="242" t="s">
        <v>793</v>
      </c>
      <c r="G145" s="239" t="s">
        <v>928</v>
      </c>
      <c r="H145" s="240">
        <f t="shared" si="2"/>
        <v>77124</v>
      </c>
      <c r="I145" s="241" t="s">
        <v>191</v>
      </c>
    </row>
    <row r="146" spans="1:9" x14ac:dyDescent="0.25">
      <c r="A146" s="249">
        <v>45110</v>
      </c>
      <c r="B146" s="237">
        <v>855</v>
      </c>
      <c r="C146" s="238" t="s">
        <v>90</v>
      </c>
      <c r="D146" s="239" t="s">
        <v>768</v>
      </c>
      <c r="E146" s="237">
        <v>3300</v>
      </c>
      <c r="F146" s="242" t="s">
        <v>222</v>
      </c>
      <c r="G146" s="239" t="s">
        <v>928</v>
      </c>
      <c r="H146" s="240">
        <f t="shared" si="2"/>
        <v>74679</v>
      </c>
      <c r="I146" s="241"/>
    </row>
    <row r="147" spans="1:9" x14ac:dyDescent="0.25">
      <c r="A147" s="249">
        <v>45110</v>
      </c>
      <c r="B147" s="237">
        <v>25</v>
      </c>
      <c r="C147" s="238" t="s">
        <v>202</v>
      </c>
      <c r="D147" s="239" t="s">
        <v>937</v>
      </c>
      <c r="E147" s="237">
        <v>610</v>
      </c>
      <c r="F147" s="242" t="s">
        <v>34</v>
      </c>
      <c r="G147" s="239" t="s">
        <v>935</v>
      </c>
      <c r="H147" s="240">
        <f t="shared" si="2"/>
        <v>74094</v>
      </c>
      <c r="I147" s="241"/>
    </row>
    <row r="148" spans="1:9" x14ac:dyDescent="0.25">
      <c r="A148" s="249">
        <v>45110</v>
      </c>
      <c r="B148" s="237">
        <v>8672</v>
      </c>
      <c r="C148" s="238" t="s">
        <v>6</v>
      </c>
      <c r="D148" s="239" t="s">
        <v>766</v>
      </c>
      <c r="E148" s="237">
        <v>4498</v>
      </c>
      <c r="F148" s="242" t="s">
        <v>505</v>
      </c>
      <c r="G148" s="239" t="s">
        <v>928</v>
      </c>
      <c r="H148" s="240">
        <f t="shared" si="2"/>
        <v>78268</v>
      </c>
      <c r="I148" s="241" t="s">
        <v>794</v>
      </c>
    </row>
    <row r="149" spans="1:9" x14ac:dyDescent="0.25">
      <c r="A149" s="249">
        <v>45110</v>
      </c>
      <c r="B149" s="237">
        <v>635</v>
      </c>
      <c r="C149" s="238" t="s">
        <v>93</v>
      </c>
      <c r="D149" s="239" t="s">
        <v>768</v>
      </c>
      <c r="E149" s="237">
        <v>4100</v>
      </c>
      <c r="F149" s="242" t="s">
        <v>659</v>
      </c>
      <c r="G149" s="239" t="s">
        <v>928</v>
      </c>
      <c r="H149" s="240">
        <f t="shared" si="2"/>
        <v>74803</v>
      </c>
      <c r="I149" s="241"/>
    </row>
    <row r="150" spans="1:9" x14ac:dyDescent="0.25">
      <c r="A150" s="249">
        <v>45110</v>
      </c>
      <c r="B150" s="237">
        <v>15916</v>
      </c>
      <c r="C150" s="238" t="s">
        <v>88</v>
      </c>
      <c r="D150" s="239" t="s">
        <v>766</v>
      </c>
      <c r="E150" s="237">
        <v>3760</v>
      </c>
      <c r="F150" s="242" t="s">
        <v>192</v>
      </c>
      <c r="G150" s="239" t="s">
        <v>464</v>
      </c>
      <c r="H150" s="240">
        <f t="shared" si="2"/>
        <v>86959</v>
      </c>
      <c r="I150" s="241"/>
    </row>
    <row r="151" spans="1:9" x14ac:dyDescent="0.25">
      <c r="A151" s="249">
        <v>45110</v>
      </c>
      <c r="B151" s="237">
        <v>940</v>
      </c>
      <c r="C151" s="238" t="s">
        <v>747</v>
      </c>
      <c r="D151" s="239" t="s">
        <v>768</v>
      </c>
      <c r="E151" s="237">
        <v>1500</v>
      </c>
      <c r="F151" s="242" t="s">
        <v>220</v>
      </c>
      <c r="G151" s="239" t="s">
        <v>928</v>
      </c>
      <c r="H151" s="240">
        <f t="shared" si="2"/>
        <v>86399</v>
      </c>
      <c r="I151" s="241"/>
    </row>
    <row r="152" spans="1:9" x14ac:dyDescent="0.25">
      <c r="A152" s="249">
        <v>45110</v>
      </c>
      <c r="B152" s="237">
        <v>10000</v>
      </c>
      <c r="C152" s="238" t="s">
        <v>217</v>
      </c>
      <c r="D152" s="239" t="s">
        <v>766</v>
      </c>
      <c r="E152" s="237">
        <v>1160</v>
      </c>
      <c r="F152" s="242" t="s">
        <v>17</v>
      </c>
      <c r="G152" s="239" t="s">
        <v>928</v>
      </c>
      <c r="H152" s="240">
        <f t="shared" si="2"/>
        <v>95239</v>
      </c>
      <c r="I152" s="241"/>
    </row>
    <row r="153" spans="1:9" x14ac:dyDescent="0.25">
      <c r="A153" s="249">
        <v>45110</v>
      </c>
      <c r="B153" s="237">
        <v>1000</v>
      </c>
      <c r="C153" s="238" t="s">
        <v>38</v>
      </c>
      <c r="D153" s="239" t="s">
        <v>931</v>
      </c>
      <c r="E153" s="237">
        <v>140</v>
      </c>
      <c r="F153" s="242" t="s">
        <v>61</v>
      </c>
      <c r="G153" s="239" t="s">
        <v>928</v>
      </c>
      <c r="H153" s="240">
        <f t="shared" si="2"/>
        <v>96099</v>
      </c>
      <c r="I153" s="241"/>
    </row>
    <row r="154" spans="1:9" x14ac:dyDescent="0.25">
      <c r="A154" s="249">
        <v>45110</v>
      </c>
      <c r="B154" s="237">
        <v>505</v>
      </c>
      <c r="C154" s="238" t="s">
        <v>27</v>
      </c>
      <c r="D154" s="239" t="s">
        <v>772</v>
      </c>
      <c r="E154" s="237">
        <v>5</v>
      </c>
      <c r="F154" s="242" t="s">
        <v>13</v>
      </c>
      <c r="G154" s="239" t="s">
        <v>930</v>
      </c>
      <c r="H154" s="240">
        <f t="shared" si="2"/>
        <v>96599</v>
      </c>
      <c r="I154" s="241"/>
    </row>
    <row r="155" spans="1:9" x14ac:dyDescent="0.25">
      <c r="A155" s="249">
        <v>45110</v>
      </c>
      <c r="B155" s="237">
        <v>55</v>
      </c>
      <c r="C155" s="238" t="s">
        <v>227</v>
      </c>
      <c r="D155" s="239" t="s">
        <v>763</v>
      </c>
      <c r="E155" s="237">
        <v>1105</v>
      </c>
      <c r="F155" s="242" t="s">
        <v>66</v>
      </c>
      <c r="G155" s="239" t="s">
        <v>928</v>
      </c>
      <c r="H155" s="240">
        <f t="shared" si="2"/>
        <v>95549</v>
      </c>
      <c r="I155" s="241"/>
    </row>
    <row r="156" spans="1:9" x14ac:dyDescent="0.25">
      <c r="A156" s="249">
        <v>45110</v>
      </c>
      <c r="B156" s="237">
        <v>25910</v>
      </c>
      <c r="C156" s="238" t="s">
        <v>19</v>
      </c>
      <c r="D156" s="239" t="s">
        <v>763</v>
      </c>
      <c r="E156" s="237">
        <v>255</v>
      </c>
      <c r="F156" s="242" t="s">
        <v>73</v>
      </c>
      <c r="G156" s="239" t="s">
        <v>945</v>
      </c>
      <c r="H156" s="240">
        <f t="shared" si="2"/>
        <v>121204</v>
      </c>
      <c r="I156" s="241"/>
    </row>
    <row r="157" spans="1:9" x14ac:dyDescent="0.25">
      <c r="A157" s="249">
        <v>45110</v>
      </c>
      <c r="B157" s="237">
        <v>2635</v>
      </c>
      <c r="C157" s="238" t="s">
        <v>60</v>
      </c>
      <c r="D157" s="239" t="s">
        <v>763</v>
      </c>
      <c r="E157" s="237">
        <v>5224</v>
      </c>
      <c r="F157" s="242" t="s">
        <v>44</v>
      </c>
      <c r="G157" s="239" t="s">
        <v>928</v>
      </c>
      <c r="H157" s="240">
        <f t="shared" si="2"/>
        <v>118615</v>
      </c>
      <c r="I157" s="241"/>
    </row>
    <row r="158" spans="1:9" x14ac:dyDescent="0.25">
      <c r="A158" s="249">
        <v>45110</v>
      </c>
      <c r="B158" s="237">
        <v>1783</v>
      </c>
      <c r="C158" s="238" t="s">
        <v>233</v>
      </c>
      <c r="D158" s="239" t="s">
        <v>765</v>
      </c>
      <c r="E158" s="237">
        <v>255</v>
      </c>
      <c r="F158" s="242" t="s">
        <v>8</v>
      </c>
      <c r="G158" s="239" t="s">
        <v>930</v>
      </c>
      <c r="H158" s="240">
        <f t="shared" si="2"/>
        <v>120143</v>
      </c>
      <c r="I158" s="241"/>
    </row>
    <row r="159" spans="1:9" x14ac:dyDescent="0.25">
      <c r="A159" s="249">
        <v>45110</v>
      </c>
      <c r="B159" s="237">
        <v>15997</v>
      </c>
      <c r="C159" s="238" t="s">
        <v>241</v>
      </c>
      <c r="D159" s="239" t="s">
        <v>766</v>
      </c>
      <c r="E159" s="237">
        <v>1</v>
      </c>
      <c r="F159" s="242" t="s">
        <v>194</v>
      </c>
      <c r="G159" s="239" t="s">
        <v>464</v>
      </c>
      <c r="H159" s="240">
        <f t="shared" si="2"/>
        <v>136139</v>
      </c>
      <c r="I159" s="241"/>
    </row>
    <row r="160" spans="1:9" x14ac:dyDescent="0.25">
      <c r="A160" s="249">
        <v>45110</v>
      </c>
      <c r="B160" s="237">
        <v>14867</v>
      </c>
      <c r="C160" s="238" t="s">
        <v>249</v>
      </c>
      <c r="D160" s="239" t="s">
        <v>766</v>
      </c>
      <c r="E160" s="237">
        <v>16</v>
      </c>
      <c r="F160" s="242" t="s">
        <v>73</v>
      </c>
      <c r="G160" s="239" t="s">
        <v>945</v>
      </c>
      <c r="H160" s="240">
        <f t="shared" si="2"/>
        <v>150990</v>
      </c>
      <c r="I160" s="241"/>
    </row>
    <row r="161" spans="1:9" x14ac:dyDescent="0.25">
      <c r="A161" s="249">
        <v>45110</v>
      </c>
      <c r="B161" s="237">
        <v>253</v>
      </c>
      <c r="C161" s="238" t="s">
        <v>250</v>
      </c>
      <c r="D161" s="239" t="s">
        <v>768</v>
      </c>
      <c r="E161" s="237">
        <v>500</v>
      </c>
      <c r="F161" s="242" t="s">
        <v>464</v>
      </c>
      <c r="G161" s="239" t="s">
        <v>464</v>
      </c>
      <c r="H161" s="240">
        <f t="shared" si="2"/>
        <v>150743</v>
      </c>
      <c r="I161" s="241"/>
    </row>
    <row r="162" spans="1:9" x14ac:dyDescent="0.25">
      <c r="A162" s="249">
        <v>45110</v>
      </c>
      <c r="B162" s="237">
        <v>15975</v>
      </c>
      <c r="C162" s="238" t="s">
        <v>251</v>
      </c>
      <c r="D162" s="239" t="s">
        <v>766</v>
      </c>
      <c r="E162" s="237">
        <v>135</v>
      </c>
      <c r="F162" s="242" t="s">
        <v>73</v>
      </c>
      <c r="G162" s="239" t="s">
        <v>945</v>
      </c>
      <c r="H162" s="240">
        <f t="shared" si="2"/>
        <v>166583</v>
      </c>
      <c r="I162" s="241"/>
    </row>
    <row r="163" spans="1:9" x14ac:dyDescent="0.25">
      <c r="A163" s="249">
        <v>45110</v>
      </c>
      <c r="B163" s="237">
        <v>920</v>
      </c>
      <c r="C163" s="238" t="s">
        <v>747</v>
      </c>
      <c r="D163" s="239" t="s">
        <v>768</v>
      </c>
      <c r="E163" s="237">
        <v>210</v>
      </c>
      <c r="F163" s="242" t="s">
        <v>464</v>
      </c>
      <c r="G163" s="239" t="s">
        <v>464</v>
      </c>
      <c r="H163" s="240">
        <f t="shared" si="2"/>
        <v>167293</v>
      </c>
      <c r="I163" s="241"/>
    </row>
    <row r="164" spans="1:9" x14ac:dyDescent="0.25">
      <c r="A164" s="249">
        <v>45110</v>
      </c>
      <c r="B164" s="237">
        <v>8005</v>
      </c>
      <c r="C164" s="238" t="s">
        <v>257</v>
      </c>
      <c r="D164" s="239" t="s">
        <v>766</v>
      </c>
      <c r="E164" s="237">
        <v>350</v>
      </c>
      <c r="F164" s="242" t="s">
        <v>83</v>
      </c>
      <c r="G164" s="239" t="s">
        <v>935</v>
      </c>
      <c r="H164" s="240">
        <f t="shared" si="2"/>
        <v>174948</v>
      </c>
      <c r="I164" s="241"/>
    </row>
    <row r="165" spans="1:9" x14ac:dyDescent="0.25">
      <c r="A165" s="249">
        <v>45110</v>
      </c>
      <c r="B165" s="237">
        <v>945</v>
      </c>
      <c r="C165" s="238" t="s">
        <v>258</v>
      </c>
      <c r="D165" s="239" t="s">
        <v>768</v>
      </c>
      <c r="E165" s="237">
        <v>100</v>
      </c>
      <c r="F165" s="242" t="s">
        <v>464</v>
      </c>
      <c r="G165" s="239" t="s">
        <v>464</v>
      </c>
      <c r="H165" s="240">
        <f t="shared" si="2"/>
        <v>175793</v>
      </c>
      <c r="I165" s="241"/>
    </row>
    <row r="166" spans="1:9" x14ac:dyDescent="0.25">
      <c r="A166" s="249">
        <v>45110</v>
      </c>
      <c r="B166" s="237"/>
      <c r="C166" s="238"/>
      <c r="D166" s="239"/>
      <c r="E166" s="237">
        <v>4555</v>
      </c>
      <c r="F166" s="242" t="s">
        <v>199</v>
      </c>
      <c r="G166" s="239" t="s">
        <v>928</v>
      </c>
      <c r="H166" s="240">
        <f t="shared" si="2"/>
        <v>171238</v>
      </c>
      <c r="I166" s="241"/>
    </row>
    <row r="167" spans="1:9" x14ac:dyDescent="0.25">
      <c r="A167" s="249">
        <v>45110</v>
      </c>
      <c r="B167" s="237"/>
      <c r="C167" s="238"/>
      <c r="D167" s="239"/>
      <c r="E167" s="237">
        <v>130</v>
      </c>
      <c r="F167" s="242" t="s">
        <v>197</v>
      </c>
      <c r="G167" s="239" t="s">
        <v>930</v>
      </c>
      <c r="H167" s="240">
        <f t="shared" si="2"/>
        <v>171108</v>
      </c>
      <c r="I167" s="241"/>
    </row>
    <row r="168" spans="1:9" x14ac:dyDescent="0.25">
      <c r="A168" s="249">
        <v>45110</v>
      </c>
      <c r="B168" s="237"/>
      <c r="C168" s="238"/>
      <c r="D168" s="239"/>
      <c r="E168" s="237">
        <v>1609</v>
      </c>
      <c r="F168" s="242" t="s">
        <v>198</v>
      </c>
      <c r="G168" s="239" t="s">
        <v>928</v>
      </c>
      <c r="H168" s="240">
        <f t="shared" si="2"/>
        <v>169499</v>
      </c>
      <c r="I168" s="241"/>
    </row>
    <row r="169" spans="1:9" x14ac:dyDescent="0.25">
      <c r="A169" s="249">
        <v>45110</v>
      </c>
      <c r="B169" s="237"/>
      <c r="C169" s="238"/>
      <c r="D169" s="239"/>
      <c r="E169" s="237">
        <v>155</v>
      </c>
      <c r="F169" s="242" t="s">
        <v>92</v>
      </c>
      <c r="G169" s="239" t="s">
        <v>930</v>
      </c>
      <c r="H169" s="240">
        <f t="shared" si="2"/>
        <v>169344</v>
      </c>
      <c r="I169" s="241"/>
    </row>
    <row r="170" spans="1:9" x14ac:dyDescent="0.25">
      <c r="A170" s="249">
        <v>45110</v>
      </c>
      <c r="B170" s="237"/>
      <c r="C170" s="238"/>
      <c r="D170" s="239"/>
      <c r="E170" s="237">
        <v>1520</v>
      </c>
      <c r="F170" s="242" t="s">
        <v>12</v>
      </c>
      <c r="G170" s="239" t="s">
        <v>974</v>
      </c>
      <c r="H170" s="240">
        <f t="shared" si="2"/>
        <v>167824</v>
      </c>
      <c r="I170" s="241"/>
    </row>
    <row r="171" spans="1:9" x14ac:dyDescent="0.25">
      <c r="A171" s="249">
        <v>45110</v>
      </c>
      <c r="B171" s="237"/>
      <c r="C171" s="238"/>
      <c r="D171" s="239"/>
      <c r="E171" s="237">
        <v>120</v>
      </c>
      <c r="F171" s="242" t="s">
        <v>38</v>
      </c>
      <c r="G171" s="239" t="s">
        <v>930</v>
      </c>
      <c r="H171" s="240">
        <f t="shared" si="2"/>
        <v>167704</v>
      </c>
      <c r="I171" s="241"/>
    </row>
    <row r="172" spans="1:9" x14ac:dyDescent="0.25">
      <c r="A172" s="249">
        <v>45110</v>
      </c>
      <c r="B172" s="237"/>
      <c r="C172" s="238"/>
      <c r="D172" s="239"/>
      <c r="E172" s="237">
        <v>50</v>
      </c>
      <c r="F172" s="242" t="s">
        <v>13</v>
      </c>
      <c r="G172" s="239" t="s">
        <v>930</v>
      </c>
      <c r="H172" s="240">
        <f t="shared" si="2"/>
        <v>167654</v>
      </c>
      <c r="I172" s="241"/>
    </row>
    <row r="173" spans="1:9" x14ac:dyDescent="0.25">
      <c r="A173" s="249">
        <v>45110</v>
      </c>
      <c r="B173" s="237"/>
      <c r="C173" s="238"/>
      <c r="D173" s="239"/>
      <c r="E173" s="237">
        <v>1800</v>
      </c>
      <c r="F173" s="242" t="s">
        <v>200</v>
      </c>
      <c r="G173" s="239" t="s">
        <v>928</v>
      </c>
      <c r="H173" s="240">
        <f t="shared" si="2"/>
        <v>165854</v>
      </c>
      <c r="I173" s="241"/>
    </row>
    <row r="174" spans="1:9" x14ac:dyDescent="0.25">
      <c r="A174" s="249">
        <v>45110</v>
      </c>
      <c r="B174" s="237"/>
      <c r="C174" s="238"/>
      <c r="D174" s="239"/>
      <c r="E174" s="237">
        <v>2000</v>
      </c>
      <c r="F174" s="242" t="s">
        <v>795</v>
      </c>
      <c r="G174" s="239" t="s">
        <v>928</v>
      </c>
      <c r="H174" s="240">
        <f t="shared" si="2"/>
        <v>163854</v>
      </c>
      <c r="I174" s="241" t="s">
        <v>796</v>
      </c>
    </row>
    <row r="175" spans="1:9" x14ac:dyDescent="0.25">
      <c r="A175" s="249">
        <v>45110</v>
      </c>
      <c r="B175" s="237"/>
      <c r="C175" s="238"/>
      <c r="D175" s="239"/>
      <c r="E175" s="237">
        <v>30</v>
      </c>
      <c r="F175" s="242" t="s">
        <v>204</v>
      </c>
      <c r="G175" s="239" t="s">
        <v>464</v>
      </c>
      <c r="H175" s="240">
        <f t="shared" si="2"/>
        <v>163824</v>
      </c>
      <c r="I175" s="241"/>
    </row>
    <row r="176" spans="1:9" x14ac:dyDescent="0.25">
      <c r="A176" s="249">
        <v>45110</v>
      </c>
      <c r="B176" s="237"/>
      <c r="C176" s="238"/>
      <c r="D176" s="239"/>
      <c r="E176" s="237">
        <v>22</v>
      </c>
      <c r="F176" s="242" t="s">
        <v>205</v>
      </c>
      <c r="G176" s="239" t="s">
        <v>945</v>
      </c>
      <c r="H176" s="240">
        <f t="shared" si="2"/>
        <v>163802</v>
      </c>
      <c r="I176" s="241"/>
    </row>
    <row r="177" spans="1:9" x14ac:dyDescent="0.25">
      <c r="A177" s="249">
        <v>45110</v>
      </c>
      <c r="B177" s="237"/>
      <c r="C177" s="238"/>
      <c r="D177" s="239"/>
      <c r="E177" s="237">
        <v>175</v>
      </c>
      <c r="F177" s="242" t="s">
        <v>797</v>
      </c>
      <c r="G177" s="239" t="s">
        <v>930</v>
      </c>
      <c r="H177" s="240">
        <f t="shared" si="2"/>
        <v>163627</v>
      </c>
      <c r="I177" s="241" t="s">
        <v>798</v>
      </c>
    </row>
    <row r="178" spans="1:9" x14ac:dyDescent="0.25">
      <c r="A178" s="249">
        <v>45110</v>
      </c>
      <c r="B178" s="237"/>
      <c r="C178" s="238"/>
      <c r="D178" s="239"/>
      <c r="E178" s="237">
        <v>1000</v>
      </c>
      <c r="F178" s="242" t="s">
        <v>207</v>
      </c>
      <c r="G178" s="239" t="s">
        <v>464</v>
      </c>
      <c r="H178" s="240">
        <f t="shared" si="2"/>
        <v>162627</v>
      </c>
      <c r="I178" s="241"/>
    </row>
    <row r="179" spans="1:9" x14ac:dyDescent="0.25">
      <c r="A179" s="249">
        <v>45110</v>
      </c>
      <c r="B179" s="237"/>
      <c r="C179" s="238"/>
      <c r="D179" s="239"/>
      <c r="E179" s="237">
        <v>132</v>
      </c>
      <c r="F179" s="242" t="s">
        <v>208</v>
      </c>
      <c r="G179" s="239" t="s">
        <v>945</v>
      </c>
      <c r="H179" s="240">
        <f t="shared" si="2"/>
        <v>162495</v>
      </c>
      <c r="I179" s="241"/>
    </row>
    <row r="180" spans="1:9" x14ac:dyDescent="0.25">
      <c r="A180" s="249">
        <v>45110</v>
      </c>
      <c r="B180" s="237"/>
      <c r="C180" s="238"/>
      <c r="D180" s="239"/>
      <c r="E180" s="237">
        <v>240</v>
      </c>
      <c r="F180" s="242" t="s">
        <v>209</v>
      </c>
      <c r="G180" s="239" t="s">
        <v>935</v>
      </c>
      <c r="H180" s="240">
        <f t="shared" si="2"/>
        <v>162255</v>
      </c>
      <c r="I180" s="241"/>
    </row>
    <row r="181" spans="1:9" x14ac:dyDescent="0.25">
      <c r="A181" s="249">
        <v>45110</v>
      </c>
      <c r="B181" s="237"/>
      <c r="C181" s="238"/>
      <c r="D181" s="239"/>
      <c r="E181" s="237">
        <v>110</v>
      </c>
      <c r="F181" s="242" t="s">
        <v>9</v>
      </c>
      <c r="G181" s="239" t="s">
        <v>930</v>
      </c>
      <c r="H181" s="240">
        <f t="shared" si="2"/>
        <v>162145</v>
      </c>
      <c r="I181" s="241"/>
    </row>
    <row r="182" spans="1:9" x14ac:dyDescent="0.25">
      <c r="A182" s="249">
        <v>45110</v>
      </c>
      <c r="B182" s="237"/>
      <c r="C182" s="238"/>
      <c r="D182" s="239"/>
      <c r="E182" s="237">
        <v>105</v>
      </c>
      <c r="F182" s="242" t="s">
        <v>210</v>
      </c>
      <c r="G182" s="239" t="s">
        <v>930</v>
      </c>
      <c r="H182" s="240">
        <f t="shared" si="2"/>
        <v>162040</v>
      </c>
      <c r="I182" s="241"/>
    </row>
    <row r="183" spans="1:9" x14ac:dyDescent="0.25">
      <c r="A183" s="249">
        <v>45110</v>
      </c>
      <c r="B183" s="237"/>
      <c r="C183" s="238"/>
      <c r="D183" s="239"/>
      <c r="E183" s="237">
        <v>200</v>
      </c>
      <c r="F183" s="242" t="s">
        <v>86</v>
      </c>
      <c r="G183" s="239" t="s">
        <v>930</v>
      </c>
      <c r="H183" s="240">
        <f t="shared" si="2"/>
        <v>161840</v>
      </c>
      <c r="I183" s="241"/>
    </row>
    <row r="184" spans="1:9" x14ac:dyDescent="0.25">
      <c r="A184" s="249">
        <v>45110</v>
      </c>
      <c r="B184" s="237"/>
      <c r="C184" s="238"/>
      <c r="D184" s="239"/>
      <c r="E184" s="237">
        <v>2000</v>
      </c>
      <c r="F184" s="242" t="s">
        <v>88</v>
      </c>
      <c r="G184" s="239" t="s">
        <v>930</v>
      </c>
      <c r="H184" s="240">
        <f t="shared" si="2"/>
        <v>159840</v>
      </c>
      <c r="I184" s="241"/>
    </row>
    <row r="185" spans="1:9" x14ac:dyDescent="0.25">
      <c r="A185" s="249">
        <v>45110</v>
      </c>
      <c r="B185" s="237"/>
      <c r="C185" s="238"/>
      <c r="D185" s="239"/>
      <c r="E185" s="237">
        <v>6000</v>
      </c>
      <c r="F185" s="242" t="s">
        <v>211</v>
      </c>
      <c r="G185" s="239" t="s">
        <v>930</v>
      </c>
      <c r="H185" s="240">
        <f t="shared" si="2"/>
        <v>153840</v>
      </c>
      <c r="I185" s="241"/>
    </row>
    <row r="186" spans="1:9" x14ac:dyDescent="0.25">
      <c r="A186" s="249">
        <v>45110</v>
      </c>
      <c r="B186" s="237"/>
      <c r="C186" s="238"/>
      <c r="D186" s="239"/>
      <c r="E186" s="237">
        <v>30</v>
      </c>
      <c r="F186" s="242" t="s">
        <v>212</v>
      </c>
      <c r="G186" s="239" t="s">
        <v>464</v>
      </c>
      <c r="H186" s="240">
        <f t="shared" si="2"/>
        <v>153810</v>
      </c>
      <c r="I186" s="241"/>
    </row>
    <row r="187" spans="1:9" x14ac:dyDescent="0.25">
      <c r="A187" s="249">
        <v>45110</v>
      </c>
      <c r="B187" s="237"/>
      <c r="C187" s="238"/>
      <c r="D187" s="239"/>
      <c r="E187" s="237">
        <v>50</v>
      </c>
      <c r="F187" s="242" t="s">
        <v>799</v>
      </c>
      <c r="G187" s="239" t="s">
        <v>930</v>
      </c>
      <c r="H187" s="240">
        <f t="shared" si="2"/>
        <v>153760</v>
      </c>
      <c r="I187" s="241" t="s">
        <v>800</v>
      </c>
    </row>
    <row r="188" spans="1:9" x14ac:dyDescent="0.25">
      <c r="A188" s="249">
        <v>45110</v>
      </c>
      <c r="B188" s="237"/>
      <c r="C188" s="238"/>
      <c r="D188" s="239"/>
      <c r="E188" s="237">
        <v>235</v>
      </c>
      <c r="F188" s="242" t="s">
        <v>7</v>
      </c>
      <c r="G188" s="239" t="s">
        <v>930</v>
      </c>
      <c r="H188" s="240">
        <f t="shared" si="2"/>
        <v>153525</v>
      </c>
      <c r="I188" s="241"/>
    </row>
    <row r="189" spans="1:9" x14ac:dyDescent="0.25">
      <c r="A189" s="249">
        <v>45110</v>
      </c>
      <c r="B189" s="237"/>
      <c r="C189" s="238"/>
      <c r="D189" s="239"/>
      <c r="E189" s="237">
        <v>125</v>
      </c>
      <c r="F189" s="242" t="s">
        <v>89</v>
      </c>
      <c r="G189" s="239" t="s">
        <v>930</v>
      </c>
      <c r="H189" s="240">
        <f t="shared" si="2"/>
        <v>153400</v>
      </c>
      <c r="I189" s="241"/>
    </row>
    <row r="190" spans="1:9" x14ac:dyDescent="0.25">
      <c r="A190" s="249">
        <v>45110</v>
      </c>
      <c r="B190" s="237"/>
      <c r="C190" s="238"/>
      <c r="D190" s="239"/>
      <c r="E190" s="237">
        <v>590</v>
      </c>
      <c r="F190" s="242" t="s">
        <v>214</v>
      </c>
      <c r="G190" s="239" t="s">
        <v>928</v>
      </c>
      <c r="H190" s="240">
        <f t="shared" si="2"/>
        <v>152810</v>
      </c>
      <c r="I190" s="241"/>
    </row>
    <row r="191" spans="1:9" x14ac:dyDescent="0.25">
      <c r="A191" s="249">
        <v>45110</v>
      </c>
      <c r="B191" s="237"/>
      <c r="C191" s="238"/>
      <c r="D191" s="239"/>
      <c r="E191" s="237">
        <v>577</v>
      </c>
      <c r="F191" s="242" t="s">
        <v>45</v>
      </c>
      <c r="G191" s="239" t="s">
        <v>928</v>
      </c>
      <c r="H191" s="240">
        <f t="shared" si="2"/>
        <v>152233</v>
      </c>
      <c r="I191" s="241"/>
    </row>
    <row r="192" spans="1:9" x14ac:dyDescent="0.25">
      <c r="A192" s="249">
        <v>45110</v>
      </c>
      <c r="B192" s="237"/>
      <c r="C192" s="238"/>
      <c r="D192" s="239"/>
      <c r="E192" s="237">
        <v>645</v>
      </c>
      <c r="F192" s="242" t="s">
        <v>58</v>
      </c>
      <c r="G192" s="239" t="s">
        <v>928</v>
      </c>
      <c r="H192" s="240">
        <f t="shared" si="2"/>
        <v>151588</v>
      </c>
      <c r="I192" s="241"/>
    </row>
    <row r="193" spans="1:9" x14ac:dyDescent="0.25">
      <c r="A193" s="249">
        <v>45110</v>
      </c>
      <c r="B193" s="237"/>
      <c r="C193" s="238"/>
      <c r="D193" s="239"/>
      <c r="E193" s="237">
        <v>380</v>
      </c>
      <c r="F193" s="242" t="s">
        <v>215</v>
      </c>
      <c r="G193" s="239" t="s">
        <v>935</v>
      </c>
      <c r="H193" s="240">
        <f t="shared" si="2"/>
        <v>151208</v>
      </c>
      <c r="I193" s="241"/>
    </row>
    <row r="194" spans="1:9" x14ac:dyDescent="0.25">
      <c r="A194" s="249">
        <v>45110</v>
      </c>
      <c r="B194" s="237"/>
      <c r="C194" s="238"/>
      <c r="D194" s="239"/>
      <c r="E194" s="237">
        <v>10000</v>
      </c>
      <c r="F194" s="242" t="s">
        <v>594</v>
      </c>
      <c r="G194" s="239" t="s">
        <v>928</v>
      </c>
      <c r="H194" s="240">
        <f t="shared" si="2"/>
        <v>141208</v>
      </c>
      <c r="I194" s="241" t="s">
        <v>801</v>
      </c>
    </row>
    <row r="195" spans="1:9" x14ac:dyDescent="0.25">
      <c r="A195" s="249">
        <v>45110</v>
      </c>
      <c r="B195" s="237"/>
      <c r="C195" s="238"/>
      <c r="D195" s="239"/>
      <c r="E195" s="237">
        <v>4585</v>
      </c>
      <c r="F195" s="242" t="s">
        <v>364</v>
      </c>
      <c r="G195" s="239" t="s">
        <v>928</v>
      </c>
      <c r="H195" s="240">
        <f t="shared" si="2"/>
        <v>136623</v>
      </c>
      <c r="I195" s="241" t="s">
        <v>789</v>
      </c>
    </row>
    <row r="196" spans="1:9" x14ac:dyDescent="0.25">
      <c r="A196" s="249">
        <v>45110</v>
      </c>
      <c r="B196" s="237"/>
      <c r="C196" s="238"/>
      <c r="D196" s="239"/>
      <c r="E196" s="237">
        <v>280</v>
      </c>
      <c r="F196" s="242" t="s">
        <v>29</v>
      </c>
      <c r="G196" s="239" t="s">
        <v>930</v>
      </c>
      <c r="H196" s="240">
        <f t="shared" si="2"/>
        <v>136343</v>
      </c>
      <c r="I196" s="241"/>
    </row>
    <row r="197" spans="1:9" x14ac:dyDescent="0.25">
      <c r="A197" s="249">
        <v>45110</v>
      </c>
      <c r="B197" s="237"/>
      <c r="C197" s="238"/>
      <c r="D197" s="239"/>
      <c r="E197" s="237">
        <v>85</v>
      </c>
      <c r="F197" s="242" t="s">
        <v>223</v>
      </c>
      <c r="G197" s="239" t="s">
        <v>930</v>
      </c>
      <c r="H197" s="240">
        <f t="shared" si="2"/>
        <v>136258</v>
      </c>
      <c r="I197" s="241"/>
    </row>
    <row r="198" spans="1:9" x14ac:dyDescent="0.25">
      <c r="A198" s="249">
        <v>45110</v>
      </c>
      <c r="B198" s="237"/>
      <c r="C198" s="238"/>
      <c r="D198" s="239"/>
      <c r="E198" s="237">
        <v>100</v>
      </c>
      <c r="F198" s="242" t="s">
        <v>224</v>
      </c>
      <c r="G198" s="239" t="s">
        <v>464</v>
      </c>
      <c r="H198" s="240">
        <f t="shared" ref="H198:H261" si="3">H197+B198-E198</f>
        <v>136158</v>
      </c>
      <c r="I198" s="241"/>
    </row>
    <row r="199" spans="1:9" x14ac:dyDescent="0.25">
      <c r="A199" s="249">
        <v>45110</v>
      </c>
      <c r="B199" s="237"/>
      <c r="C199" s="238"/>
      <c r="D199" s="239"/>
      <c r="E199" s="237">
        <v>60</v>
      </c>
      <c r="F199" s="242" t="s">
        <v>225</v>
      </c>
      <c r="G199" s="239" t="s">
        <v>929</v>
      </c>
      <c r="H199" s="240">
        <f t="shared" si="3"/>
        <v>136098</v>
      </c>
      <c r="I199" s="241"/>
    </row>
    <row r="200" spans="1:9" x14ac:dyDescent="0.25">
      <c r="A200" s="249">
        <v>45110</v>
      </c>
      <c r="B200" s="237"/>
      <c r="C200" s="238"/>
      <c r="D200" s="239"/>
      <c r="E200" s="237">
        <v>1690</v>
      </c>
      <c r="F200" s="242" t="s">
        <v>14</v>
      </c>
      <c r="G200" s="239" t="s">
        <v>935</v>
      </c>
      <c r="H200" s="240">
        <f t="shared" si="3"/>
        <v>134408</v>
      </c>
      <c r="I200" s="241"/>
    </row>
    <row r="201" spans="1:9" x14ac:dyDescent="0.25">
      <c r="A201" s="249">
        <v>45110</v>
      </c>
      <c r="B201" s="237"/>
      <c r="C201" s="238"/>
      <c r="D201" s="239"/>
      <c r="E201" s="237">
        <v>6550</v>
      </c>
      <c r="F201" s="242" t="s">
        <v>228</v>
      </c>
      <c r="G201" s="239" t="s">
        <v>928</v>
      </c>
      <c r="H201" s="240">
        <f t="shared" si="3"/>
        <v>127858</v>
      </c>
      <c r="I201" s="241"/>
    </row>
    <row r="202" spans="1:9" x14ac:dyDescent="0.25">
      <c r="A202" s="249">
        <v>45110</v>
      </c>
      <c r="B202" s="237"/>
      <c r="C202" s="238"/>
      <c r="D202" s="239"/>
      <c r="E202" s="237">
        <v>100</v>
      </c>
      <c r="F202" s="242" t="s">
        <v>464</v>
      </c>
      <c r="G202" s="239" t="s">
        <v>464</v>
      </c>
      <c r="H202" s="240">
        <f t="shared" si="3"/>
        <v>127758</v>
      </c>
      <c r="I202" s="241" t="s">
        <v>229</v>
      </c>
    </row>
    <row r="203" spans="1:9" x14ac:dyDescent="0.25">
      <c r="A203" s="249">
        <v>45110</v>
      </c>
      <c r="B203" s="237"/>
      <c r="C203" s="238"/>
      <c r="D203" s="239"/>
      <c r="E203" s="237">
        <v>1925</v>
      </c>
      <c r="F203" s="242" t="s">
        <v>230</v>
      </c>
      <c r="G203" s="239" t="s">
        <v>928</v>
      </c>
      <c r="H203" s="240">
        <f t="shared" si="3"/>
        <v>125833</v>
      </c>
      <c r="I203" s="241" t="s">
        <v>802</v>
      </c>
    </row>
    <row r="204" spans="1:9" x14ac:dyDescent="0.25">
      <c r="A204" s="249">
        <v>45110</v>
      </c>
      <c r="B204" s="237"/>
      <c r="C204" s="238"/>
      <c r="D204" s="239"/>
      <c r="E204" s="237">
        <v>50</v>
      </c>
      <c r="F204" s="242" t="s">
        <v>127</v>
      </c>
      <c r="G204" s="239" t="s">
        <v>938</v>
      </c>
      <c r="H204" s="240">
        <f t="shared" si="3"/>
        <v>125783</v>
      </c>
      <c r="I204" s="241"/>
    </row>
    <row r="205" spans="1:9" x14ac:dyDescent="0.25">
      <c r="A205" s="249">
        <v>45110</v>
      </c>
      <c r="B205" s="237"/>
      <c r="C205" s="238"/>
      <c r="D205" s="239"/>
      <c r="E205" s="237">
        <v>450</v>
      </c>
      <c r="F205" s="242" t="s">
        <v>231</v>
      </c>
      <c r="G205" s="239" t="s">
        <v>464</v>
      </c>
      <c r="H205" s="240">
        <f t="shared" si="3"/>
        <v>125333</v>
      </c>
      <c r="I205" s="241"/>
    </row>
    <row r="206" spans="1:9" x14ac:dyDescent="0.25">
      <c r="A206" s="249">
        <v>45110</v>
      </c>
      <c r="B206" s="237"/>
      <c r="C206" s="238"/>
      <c r="D206" s="239"/>
      <c r="E206" s="237">
        <v>75</v>
      </c>
      <c r="F206" s="242" t="s">
        <v>26</v>
      </c>
      <c r="G206" s="239" t="s">
        <v>930</v>
      </c>
      <c r="H206" s="240">
        <f t="shared" si="3"/>
        <v>125258</v>
      </c>
      <c r="I206" s="241"/>
    </row>
    <row r="207" spans="1:9" x14ac:dyDescent="0.25">
      <c r="A207" s="249">
        <v>45110</v>
      </c>
      <c r="B207" s="237"/>
      <c r="C207" s="238"/>
      <c r="D207" s="239"/>
      <c r="E207" s="237">
        <v>125</v>
      </c>
      <c r="F207" s="242" t="s">
        <v>60</v>
      </c>
      <c r="G207" s="239" t="s">
        <v>930</v>
      </c>
      <c r="H207" s="240">
        <f t="shared" si="3"/>
        <v>125133</v>
      </c>
      <c r="I207" s="241"/>
    </row>
    <row r="208" spans="1:9" x14ac:dyDescent="0.25">
      <c r="A208" s="249">
        <v>45110</v>
      </c>
      <c r="B208" s="237"/>
      <c r="C208" s="238"/>
      <c r="D208" s="239"/>
      <c r="E208" s="237">
        <v>135</v>
      </c>
      <c r="F208" s="242" t="s">
        <v>19</v>
      </c>
      <c r="G208" s="239" t="s">
        <v>930</v>
      </c>
      <c r="H208" s="240">
        <f t="shared" si="3"/>
        <v>124998</v>
      </c>
      <c r="I208" s="241"/>
    </row>
    <row r="209" spans="1:9" x14ac:dyDescent="0.25">
      <c r="A209" s="249">
        <v>45110</v>
      </c>
      <c r="B209" s="237"/>
      <c r="C209" s="238"/>
      <c r="D209" s="239"/>
      <c r="E209" s="237">
        <v>4853</v>
      </c>
      <c r="F209" s="242" t="s">
        <v>236</v>
      </c>
      <c r="G209" s="239" t="s">
        <v>928</v>
      </c>
      <c r="H209" s="240">
        <f t="shared" si="3"/>
        <v>120145</v>
      </c>
      <c r="I209" s="241"/>
    </row>
    <row r="210" spans="1:9" x14ac:dyDescent="0.25">
      <c r="A210" s="249">
        <v>45110</v>
      </c>
      <c r="B210" s="237"/>
      <c r="C210" s="238"/>
      <c r="D210" s="239"/>
      <c r="E210" s="237">
        <v>60</v>
      </c>
      <c r="F210" s="242" t="s">
        <v>237</v>
      </c>
      <c r="G210" s="239" t="s">
        <v>935</v>
      </c>
      <c r="H210" s="240">
        <f t="shared" si="3"/>
        <v>120085</v>
      </c>
      <c r="I210" s="241"/>
    </row>
    <row r="211" spans="1:9" x14ac:dyDescent="0.25">
      <c r="A211" s="249">
        <v>45110</v>
      </c>
      <c r="B211" s="237"/>
      <c r="C211" s="238"/>
      <c r="D211" s="239"/>
      <c r="E211" s="237">
        <v>100</v>
      </c>
      <c r="F211" s="242" t="s">
        <v>87</v>
      </c>
      <c r="G211" s="239" t="s">
        <v>930</v>
      </c>
      <c r="H211" s="240">
        <f t="shared" si="3"/>
        <v>119985</v>
      </c>
      <c r="I211" s="241"/>
    </row>
    <row r="212" spans="1:9" x14ac:dyDescent="0.25">
      <c r="A212" s="249">
        <v>45110</v>
      </c>
      <c r="B212" s="237"/>
      <c r="C212" s="238"/>
      <c r="D212" s="239"/>
      <c r="E212" s="237">
        <v>115</v>
      </c>
      <c r="F212" s="242" t="s">
        <v>240</v>
      </c>
      <c r="G212" s="239" t="s">
        <v>930</v>
      </c>
      <c r="H212" s="240">
        <f t="shared" si="3"/>
        <v>119870</v>
      </c>
      <c r="I212" s="241"/>
    </row>
    <row r="213" spans="1:9" x14ac:dyDescent="0.25">
      <c r="A213" s="249">
        <v>45110</v>
      </c>
      <c r="B213" s="237"/>
      <c r="C213" s="238"/>
      <c r="D213" s="239"/>
      <c r="E213" s="237">
        <v>10</v>
      </c>
      <c r="F213" s="242" t="s">
        <v>239</v>
      </c>
      <c r="G213" s="239" t="s">
        <v>930</v>
      </c>
      <c r="H213" s="240">
        <f t="shared" si="3"/>
        <v>119860</v>
      </c>
      <c r="I213" s="241"/>
    </row>
    <row r="214" spans="1:9" x14ac:dyDescent="0.25">
      <c r="A214" s="249">
        <v>45110</v>
      </c>
      <c r="B214" s="237"/>
      <c r="C214" s="238"/>
      <c r="D214" s="239"/>
      <c r="E214" s="237">
        <v>33</v>
      </c>
      <c r="F214" s="242" t="s">
        <v>238</v>
      </c>
      <c r="G214" s="239" t="s">
        <v>464</v>
      </c>
      <c r="H214" s="240">
        <f t="shared" si="3"/>
        <v>119827</v>
      </c>
      <c r="I214" s="241"/>
    </row>
    <row r="215" spans="1:9" x14ac:dyDescent="0.25">
      <c r="A215" s="249">
        <v>45110</v>
      </c>
      <c r="B215" s="237"/>
      <c r="C215" s="238"/>
      <c r="D215" s="239"/>
      <c r="E215" s="237">
        <v>1500</v>
      </c>
      <c r="F215" s="242" t="s">
        <v>803</v>
      </c>
      <c r="G215" s="239" t="s">
        <v>928</v>
      </c>
      <c r="H215" s="240">
        <f t="shared" si="3"/>
        <v>118327</v>
      </c>
      <c r="I215" s="241" t="s">
        <v>787</v>
      </c>
    </row>
    <row r="216" spans="1:9" x14ac:dyDescent="0.25">
      <c r="A216" s="249">
        <v>45110</v>
      </c>
      <c r="B216" s="237"/>
      <c r="C216" s="238"/>
      <c r="D216" s="239"/>
      <c r="E216" s="237">
        <v>60</v>
      </c>
      <c r="F216" s="242" t="s">
        <v>242</v>
      </c>
      <c r="G216" s="239" t="s">
        <v>945</v>
      </c>
      <c r="H216" s="240">
        <f t="shared" si="3"/>
        <v>118267</v>
      </c>
      <c r="I216" s="241"/>
    </row>
    <row r="217" spans="1:9" x14ac:dyDescent="0.25">
      <c r="A217" s="249">
        <v>45110</v>
      </c>
      <c r="B217" s="237"/>
      <c r="C217" s="238"/>
      <c r="D217" s="239"/>
      <c r="E217" s="237">
        <v>350</v>
      </c>
      <c r="F217" s="242" t="s">
        <v>243</v>
      </c>
      <c r="G217" s="239" t="s">
        <v>929</v>
      </c>
      <c r="H217" s="240">
        <f t="shared" si="3"/>
        <v>117917</v>
      </c>
      <c r="I217" s="241"/>
    </row>
    <row r="218" spans="1:9" x14ac:dyDescent="0.25">
      <c r="A218" s="249">
        <v>45110</v>
      </c>
      <c r="B218" s="237"/>
      <c r="C218" s="238"/>
      <c r="D218" s="239"/>
      <c r="E218" s="237">
        <v>612</v>
      </c>
      <c r="F218" s="242" t="s">
        <v>245</v>
      </c>
      <c r="G218" s="239" t="s">
        <v>928</v>
      </c>
      <c r="H218" s="240">
        <f t="shared" si="3"/>
        <v>117305</v>
      </c>
      <c r="I218" s="241"/>
    </row>
    <row r="219" spans="1:9" x14ac:dyDescent="0.25">
      <c r="A219" s="249">
        <v>45110</v>
      </c>
      <c r="B219" s="237"/>
      <c r="C219" s="238"/>
      <c r="D219" s="239"/>
      <c r="E219" s="237">
        <v>800</v>
      </c>
      <c r="F219" s="242" t="s">
        <v>246</v>
      </c>
      <c r="G219" s="239" t="s">
        <v>464</v>
      </c>
      <c r="H219" s="240">
        <f t="shared" si="3"/>
        <v>116505</v>
      </c>
      <c r="I219" s="241"/>
    </row>
    <row r="220" spans="1:9" x14ac:dyDescent="0.25">
      <c r="A220" s="249">
        <v>45110</v>
      </c>
      <c r="B220" s="237"/>
      <c r="C220" s="238"/>
      <c r="D220" s="239"/>
      <c r="E220" s="237">
        <v>65</v>
      </c>
      <c r="F220" s="242" t="s">
        <v>247</v>
      </c>
      <c r="G220" s="239" t="s">
        <v>930</v>
      </c>
      <c r="H220" s="240">
        <f t="shared" si="3"/>
        <v>116440</v>
      </c>
      <c r="I220" s="241"/>
    </row>
    <row r="221" spans="1:9" x14ac:dyDescent="0.25">
      <c r="A221" s="249">
        <v>45110</v>
      </c>
      <c r="B221" s="237"/>
      <c r="C221" s="238"/>
      <c r="D221" s="239"/>
      <c r="E221" s="237">
        <v>80</v>
      </c>
      <c r="F221" s="242" t="s">
        <v>248</v>
      </c>
      <c r="G221" s="239" t="s">
        <v>930</v>
      </c>
      <c r="H221" s="240">
        <f t="shared" si="3"/>
        <v>116360</v>
      </c>
      <c r="I221" s="241"/>
    </row>
    <row r="222" spans="1:9" x14ac:dyDescent="0.25">
      <c r="A222" s="249">
        <v>45110</v>
      </c>
      <c r="B222" s="237"/>
      <c r="C222" s="238"/>
      <c r="D222" s="239"/>
      <c r="E222" s="237">
        <v>155</v>
      </c>
      <c r="F222" s="242" t="s">
        <v>107</v>
      </c>
      <c r="G222" s="239" t="s">
        <v>930</v>
      </c>
      <c r="H222" s="240">
        <f t="shared" si="3"/>
        <v>116205</v>
      </c>
      <c r="I222" s="241"/>
    </row>
    <row r="223" spans="1:9" x14ac:dyDescent="0.25">
      <c r="A223" s="249">
        <v>45110</v>
      </c>
      <c r="B223" s="237"/>
      <c r="C223" s="238"/>
      <c r="D223" s="239"/>
      <c r="E223" s="237">
        <v>225</v>
      </c>
      <c r="F223" s="242" t="s">
        <v>210</v>
      </c>
      <c r="G223" s="239" t="s">
        <v>930</v>
      </c>
      <c r="H223" s="240">
        <f t="shared" si="3"/>
        <v>115980</v>
      </c>
      <c r="I223" s="241"/>
    </row>
    <row r="224" spans="1:9" x14ac:dyDescent="0.25">
      <c r="A224" s="249">
        <v>45110</v>
      </c>
      <c r="B224" s="237"/>
      <c r="C224" s="238"/>
      <c r="D224" s="239"/>
      <c r="E224" s="237">
        <v>100</v>
      </c>
      <c r="F224" s="242" t="s">
        <v>9</v>
      </c>
      <c r="G224" s="239" t="s">
        <v>930</v>
      </c>
      <c r="H224" s="240">
        <f t="shared" si="3"/>
        <v>115880</v>
      </c>
      <c r="I224" s="241"/>
    </row>
    <row r="225" spans="1:9" x14ac:dyDescent="0.25">
      <c r="A225" s="249">
        <v>45110</v>
      </c>
      <c r="B225" s="237"/>
      <c r="C225" s="238"/>
      <c r="D225" s="239"/>
      <c r="E225" s="237">
        <v>170</v>
      </c>
      <c r="F225" s="242" t="s">
        <v>86</v>
      </c>
      <c r="G225" s="239" t="s">
        <v>930</v>
      </c>
      <c r="H225" s="240">
        <f t="shared" si="3"/>
        <v>115710</v>
      </c>
      <c r="I225" s="241"/>
    </row>
    <row r="226" spans="1:9" x14ac:dyDescent="0.25">
      <c r="A226" s="249">
        <v>45110</v>
      </c>
      <c r="B226" s="237"/>
      <c r="C226" s="238"/>
      <c r="D226" s="239"/>
      <c r="E226" s="237">
        <v>10000</v>
      </c>
      <c r="F226" s="242" t="s">
        <v>127</v>
      </c>
      <c r="G226" s="239" t="s">
        <v>938</v>
      </c>
      <c r="H226" s="240">
        <f t="shared" si="3"/>
        <v>105710</v>
      </c>
      <c r="I226" s="241"/>
    </row>
    <row r="227" spans="1:9" x14ac:dyDescent="0.25">
      <c r="A227" s="249">
        <v>45110</v>
      </c>
      <c r="B227" s="237"/>
      <c r="C227" s="238"/>
      <c r="D227" s="239"/>
      <c r="E227" s="237">
        <v>957</v>
      </c>
      <c r="F227" s="242" t="s">
        <v>252</v>
      </c>
      <c r="G227" s="239" t="s">
        <v>928</v>
      </c>
      <c r="H227" s="240">
        <f t="shared" si="3"/>
        <v>104753</v>
      </c>
      <c r="I227" s="241"/>
    </row>
    <row r="228" spans="1:9" x14ac:dyDescent="0.25">
      <c r="A228" s="249">
        <v>45110</v>
      </c>
      <c r="B228" s="237"/>
      <c r="C228" s="238"/>
      <c r="D228" s="239"/>
      <c r="E228" s="237">
        <v>100</v>
      </c>
      <c r="F228" s="242" t="s">
        <v>89</v>
      </c>
      <c r="G228" s="239" t="s">
        <v>930</v>
      </c>
      <c r="H228" s="240">
        <f t="shared" si="3"/>
        <v>104653</v>
      </c>
      <c r="I228" s="241"/>
    </row>
    <row r="229" spans="1:9" x14ac:dyDescent="0.25">
      <c r="A229" s="249">
        <v>45110</v>
      </c>
      <c r="B229" s="237"/>
      <c r="C229" s="238"/>
      <c r="D229" s="239"/>
      <c r="E229" s="237">
        <v>3515</v>
      </c>
      <c r="F229" s="242" t="s">
        <v>253</v>
      </c>
      <c r="G229" s="239" t="s">
        <v>928</v>
      </c>
      <c r="H229" s="240">
        <f t="shared" si="3"/>
        <v>101138</v>
      </c>
      <c r="I229" s="241"/>
    </row>
    <row r="230" spans="1:9" x14ac:dyDescent="0.25">
      <c r="A230" s="249">
        <v>45110</v>
      </c>
      <c r="B230" s="237"/>
      <c r="C230" s="238"/>
      <c r="D230" s="239"/>
      <c r="E230" s="237">
        <v>435</v>
      </c>
      <c r="F230" s="242" t="s">
        <v>215</v>
      </c>
      <c r="G230" s="239" t="s">
        <v>935</v>
      </c>
      <c r="H230" s="240">
        <f t="shared" si="3"/>
        <v>100703</v>
      </c>
      <c r="I230" s="241"/>
    </row>
    <row r="231" spans="1:9" x14ac:dyDescent="0.25">
      <c r="A231" s="249">
        <v>45110</v>
      </c>
      <c r="B231" s="237"/>
      <c r="C231" s="238"/>
      <c r="D231" s="239"/>
      <c r="E231" s="237">
        <v>420</v>
      </c>
      <c r="F231" s="242" t="s">
        <v>34</v>
      </c>
      <c r="G231" s="239" t="s">
        <v>935</v>
      </c>
      <c r="H231" s="240">
        <f t="shared" si="3"/>
        <v>100283</v>
      </c>
      <c r="I231" s="241"/>
    </row>
    <row r="232" spans="1:9" x14ac:dyDescent="0.25">
      <c r="A232" s="249">
        <v>45110</v>
      </c>
      <c r="B232" s="237"/>
      <c r="C232" s="238"/>
      <c r="D232" s="239"/>
      <c r="E232" s="237">
        <v>120</v>
      </c>
      <c r="F232" s="242" t="s">
        <v>255</v>
      </c>
      <c r="G232" s="239" t="s">
        <v>930</v>
      </c>
      <c r="H232" s="240">
        <f t="shared" si="3"/>
        <v>100163</v>
      </c>
      <c r="I232" s="241"/>
    </row>
    <row r="233" spans="1:9" x14ac:dyDescent="0.25">
      <c r="A233" s="249">
        <v>45110</v>
      </c>
      <c r="B233" s="237"/>
      <c r="C233" s="238"/>
      <c r="D233" s="239"/>
      <c r="E233" s="237">
        <v>305</v>
      </c>
      <c r="F233" s="242" t="s">
        <v>7</v>
      </c>
      <c r="G233" s="239" t="s">
        <v>930</v>
      </c>
      <c r="H233" s="240">
        <f t="shared" si="3"/>
        <v>99858</v>
      </c>
      <c r="I233" s="241"/>
    </row>
    <row r="234" spans="1:9" x14ac:dyDescent="0.25">
      <c r="A234" s="249">
        <v>45110</v>
      </c>
      <c r="B234" s="237"/>
      <c r="C234" s="238"/>
      <c r="D234" s="239"/>
      <c r="E234" s="237">
        <v>210</v>
      </c>
      <c r="F234" s="242" t="s">
        <v>56</v>
      </c>
      <c r="G234" s="239" t="s">
        <v>928</v>
      </c>
      <c r="H234" s="240">
        <f t="shared" si="3"/>
        <v>99648</v>
      </c>
      <c r="I234" s="241"/>
    </row>
    <row r="235" spans="1:9" x14ac:dyDescent="0.25">
      <c r="A235" s="249">
        <v>45110</v>
      </c>
      <c r="B235" s="237"/>
      <c r="C235" s="238"/>
      <c r="D235" s="239"/>
      <c r="E235" s="237">
        <v>30</v>
      </c>
      <c r="F235" s="242" t="s">
        <v>32</v>
      </c>
      <c r="G235" s="239" t="s">
        <v>930</v>
      </c>
      <c r="H235" s="240">
        <f t="shared" si="3"/>
        <v>99618</v>
      </c>
      <c r="I235" s="241" t="s">
        <v>24</v>
      </c>
    </row>
    <row r="236" spans="1:9" x14ac:dyDescent="0.25">
      <c r="A236" s="249">
        <v>45110</v>
      </c>
      <c r="B236" s="237"/>
      <c r="C236" s="238"/>
      <c r="D236" s="239"/>
      <c r="E236" s="237">
        <v>1930</v>
      </c>
      <c r="F236" s="242" t="s">
        <v>37</v>
      </c>
      <c r="G236" s="239" t="s">
        <v>928</v>
      </c>
      <c r="H236" s="240">
        <f t="shared" si="3"/>
        <v>97688</v>
      </c>
      <c r="I236" s="241"/>
    </row>
    <row r="237" spans="1:9" x14ac:dyDescent="0.25">
      <c r="A237" s="249">
        <v>45110</v>
      </c>
      <c r="B237" s="237"/>
      <c r="C237" s="238"/>
      <c r="D237" s="239"/>
      <c r="E237" s="237">
        <v>80</v>
      </c>
      <c r="F237" s="242" t="s">
        <v>260</v>
      </c>
      <c r="G237" s="239" t="s">
        <v>930</v>
      </c>
      <c r="H237" s="240">
        <f t="shared" si="3"/>
        <v>97608</v>
      </c>
      <c r="I237" s="241"/>
    </row>
    <row r="238" spans="1:9" x14ac:dyDescent="0.25">
      <c r="A238" s="249">
        <v>45110</v>
      </c>
      <c r="B238" s="237"/>
      <c r="C238" s="238"/>
      <c r="D238" s="239"/>
      <c r="E238" s="237">
        <v>820</v>
      </c>
      <c r="F238" s="242" t="s">
        <v>804</v>
      </c>
      <c r="G238" s="239" t="s">
        <v>928</v>
      </c>
      <c r="H238" s="240">
        <f t="shared" si="3"/>
        <v>96788</v>
      </c>
      <c r="I238" s="241" t="s">
        <v>805</v>
      </c>
    </row>
    <row r="239" spans="1:9" x14ac:dyDescent="0.25">
      <c r="A239" s="249">
        <v>45110</v>
      </c>
      <c r="B239" s="237"/>
      <c r="C239" s="238"/>
      <c r="D239" s="239"/>
      <c r="E239" s="237">
        <v>125</v>
      </c>
      <c r="F239" s="242" t="s">
        <v>60</v>
      </c>
      <c r="G239" s="239" t="s">
        <v>930</v>
      </c>
      <c r="H239" s="240">
        <f t="shared" si="3"/>
        <v>96663</v>
      </c>
      <c r="I239" s="241"/>
    </row>
    <row r="240" spans="1:9" x14ac:dyDescent="0.25">
      <c r="A240" s="249">
        <v>45110</v>
      </c>
      <c r="B240" s="237"/>
      <c r="C240" s="238"/>
      <c r="D240" s="239"/>
      <c r="E240" s="237">
        <v>10000</v>
      </c>
      <c r="F240" s="242" t="s">
        <v>127</v>
      </c>
      <c r="G240" s="239" t="s">
        <v>938</v>
      </c>
      <c r="H240" s="240">
        <f t="shared" si="3"/>
        <v>86663</v>
      </c>
      <c r="I240" s="241" t="s">
        <v>790</v>
      </c>
    </row>
    <row r="241" spans="1:9" x14ac:dyDescent="0.25">
      <c r="A241" s="249">
        <v>45110</v>
      </c>
      <c r="B241" s="237"/>
      <c r="C241" s="238"/>
      <c r="D241" s="239"/>
      <c r="E241" s="237">
        <v>15</v>
      </c>
      <c r="F241" s="242" t="s">
        <v>234</v>
      </c>
      <c r="G241" s="239" t="s">
        <v>930</v>
      </c>
      <c r="H241" s="240">
        <f t="shared" si="3"/>
        <v>86648</v>
      </c>
      <c r="I241" s="241"/>
    </row>
    <row r="242" spans="1:9" x14ac:dyDescent="0.25">
      <c r="A242" s="249">
        <v>45110</v>
      </c>
      <c r="B242" s="237"/>
      <c r="C242" s="238"/>
      <c r="D242" s="239"/>
      <c r="E242" s="237">
        <v>9000</v>
      </c>
      <c r="F242" s="242" t="s">
        <v>27</v>
      </c>
      <c r="G242" s="239" t="s">
        <v>943</v>
      </c>
      <c r="H242" s="240">
        <f t="shared" si="3"/>
        <v>77648</v>
      </c>
      <c r="I242" s="241"/>
    </row>
    <row r="243" spans="1:9" x14ac:dyDescent="0.25">
      <c r="A243" s="249">
        <v>45110</v>
      </c>
      <c r="B243" s="237"/>
      <c r="C243" s="238"/>
      <c r="D243" s="239"/>
      <c r="E243" s="237">
        <v>2220</v>
      </c>
      <c r="F243" s="242" t="s">
        <v>74</v>
      </c>
      <c r="G243" s="239" t="s">
        <v>464</v>
      </c>
      <c r="H243" s="240">
        <f t="shared" si="3"/>
        <v>75428</v>
      </c>
      <c r="I243" s="241" t="s">
        <v>806</v>
      </c>
    </row>
    <row r="244" spans="1:9" x14ac:dyDescent="0.25">
      <c r="A244" s="249">
        <v>45110</v>
      </c>
      <c r="B244" s="237"/>
      <c r="C244" s="238"/>
      <c r="D244" s="239"/>
      <c r="E244" s="237">
        <v>345</v>
      </c>
      <c r="F244" s="242" t="s">
        <v>27</v>
      </c>
      <c r="G244" s="239" t="s">
        <v>943</v>
      </c>
      <c r="H244" s="240">
        <f t="shared" si="3"/>
        <v>75083</v>
      </c>
      <c r="I244" s="241"/>
    </row>
    <row r="245" spans="1:9" x14ac:dyDescent="0.25">
      <c r="A245" s="249">
        <v>45110</v>
      </c>
      <c r="B245" s="237"/>
      <c r="C245" s="238"/>
      <c r="D245" s="239"/>
      <c r="E245" s="237">
        <v>495</v>
      </c>
      <c r="F245" s="242" t="s">
        <v>27</v>
      </c>
      <c r="G245" s="239" t="s">
        <v>943</v>
      </c>
      <c r="H245" s="240">
        <f t="shared" si="3"/>
        <v>74588</v>
      </c>
      <c r="I245" s="241"/>
    </row>
    <row r="246" spans="1:9" x14ac:dyDescent="0.25">
      <c r="A246" s="249">
        <v>45110</v>
      </c>
      <c r="B246" s="237"/>
      <c r="C246" s="238"/>
      <c r="D246" s="239"/>
      <c r="E246" s="237">
        <v>195</v>
      </c>
      <c r="F246" s="242" t="s">
        <v>27</v>
      </c>
      <c r="G246" s="239" t="s">
        <v>943</v>
      </c>
      <c r="H246" s="240">
        <f t="shared" si="3"/>
        <v>74393</v>
      </c>
      <c r="I246" s="241"/>
    </row>
    <row r="247" spans="1:9" x14ac:dyDescent="0.25">
      <c r="A247" s="249">
        <v>45110</v>
      </c>
      <c r="B247" s="237"/>
      <c r="C247" s="238"/>
      <c r="D247" s="239"/>
      <c r="E247" s="237">
        <v>5300</v>
      </c>
      <c r="F247" s="242" t="s">
        <v>74</v>
      </c>
      <c r="G247" s="239" t="s">
        <v>464</v>
      </c>
      <c r="H247" s="240">
        <f t="shared" si="3"/>
        <v>69093</v>
      </c>
      <c r="I247" s="241" t="s">
        <v>807</v>
      </c>
    </row>
    <row r="248" spans="1:9" x14ac:dyDescent="0.25">
      <c r="A248" s="249">
        <v>45110</v>
      </c>
      <c r="B248" s="237"/>
      <c r="C248" s="238"/>
      <c r="D248" s="239"/>
      <c r="E248" s="237">
        <v>15</v>
      </c>
      <c r="F248" s="242" t="s">
        <v>127</v>
      </c>
      <c r="G248" s="239" t="s">
        <v>938</v>
      </c>
      <c r="H248" s="240">
        <f t="shared" si="3"/>
        <v>69078</v>
      </c>
      <c r="I248" s="241" t="s">
        <v>412</v>
      </c>
    </row>
    <row r="249" spans="1:9" x14ac:dyDescent="0.25">
      <c r="A249" s="249">
        <v>45110</v>
      </c>
      <c r="B249" s="237"/>
      <c r="C249" s="238"/>
      <c r="D249" s="239"/>
      <c r="E249" s="237">
        <v>245</v>
      </c>
      <c r="F249" s="242" t="s">
        <v>27</v>
      </c>
      <c r="G249" s="239" t="s">
        <v>943</v>
      </c>
      <c r="H249" s="240">
        <f t="shared" si="3"/>
        <v>68833</v>
      </c>
      <c r="I249" s="241"/>
    </row>
    <row r="250" spans="1:9" x14ac:dyDescent="0.25">
      <c r="A250" s="244">
        <v>45110</v>
      </c>
      <c r="B250" s="245"/>
      <c r="C250" s="246"/>
      <c r="D250" s="247"/>
      <c r="E250" s="245">
        <v>315</v>
      </c>
      <c r="F250" s="248" t="s">
        <v>74</v>
      </c>
      <c r="G250" s="247" t="s">
        <v>931</v>
      </c>
      <c r="H250" s="240">
        <f t="shared" si="3"/>
        <v>68518</v>
      </c>
      <c r="I250" s="241" t="s">
        <v>790</v>
      </c>
    </row>
    <row r="251" spans="1:9" x14ac:dyDescent="0.25">
      <c r="A251" s="249">
        <v>45111</v>
      </c>
      <c r="B251" s="237">
        <v>16638</v>
      </c>
      <c r="C251" s="238" t="s">
        <v>9</v>
      </c>
      <c r="D251" s="239" t="s">
        <v>763</v>
      </c>
      <c r="E251" s="237">
        <v>2645</v>
      </c>
      <c r="F251" s="242" t="s">
        <v>12</v>
      </c>
      <c r="G251" s="239" t="s">
        <v>974</v>
      </c>
      <c r="H251" s="240">
        <f t="shared" si="3"/>
        <v>82511</v>
      </c>
      <c r="I251" s="241"/>
    </row>
    <row r="252" spans="1:9" x14ac:dyDescent="0.25">
      <c r="A252" s="249">
        <v>45111</v>
      </c>
      <c r="B252" s="237">
        <v>1078</v>
      </c>
      <c r="C252" s="238" t="s">
        <v>28</v>
      </c>
      <c r="D252" s="239" t="s">
        <v>765</v>
      </c>
      <c r="E252" s="237">
        <v>40</v>
      </c>
      <c r="F252" s="242" t="s">
        <v>464</v>
      </c>
      <c r="G252" s="239" t="s">
        <v>464</v>
      </c>
      <c r="H252" s="240">
        <f t="shared" si="3"/>
        <v>83549</v>
      </c>
      <c r="I252" s="242" t="s">
        <v>262</v>
      </c>
    </row>
    <row r="253" spans="1:9" x14ac:dyDescent="0.25">
      <c r="A253" s="249">
        <v>45111</v>
      </c>
      <c r="B253" s="237">
        <v>14237</v>
      </c>
      <c r="C253" s="238" t="s">
        <v>80</v>
      </c>
      <c r="D253" s="239" t="s">
        <v>763</v>
      </c>
      <c r="E253" s="237">
        <v>1960</v>
      </c>
      <c r="F253" s="242" t="s">
        <v>263</v>
      </c>
      <c r="G253" s="239" t="s">
        <v>928</v>
      </c>
      <c r="H253" s="240">
        <f t="shared" si="3"/>
        <v>95826</v>
      </c>
      <c r="I253" s="241"/>
    </row>
    <row r="254" spans="1:9" x14ac:dyDescent="0.25">
      <c r="A254" s="249">
        <v>45111</v>
      </c>
      <c r="B254" s="237">
        <v>932</v>
      </c>
      <c r="C254" s="238" t="s">
        <v>81</v>
      </c>
      <c r="D254" s="239" t="s">
        <v>765</v>
      </c>
      <c r="E254" s="237">
        <v>400</v>
      </c>
      <c r="F254" s="242" t="s">
        <v>78</v>
      </c>
      <c r="G254" s="239" t="s">
        <v>931</v>
      </c>
      <c r="H254" s="240">
        <f t="shared" si="3"/>
        <v>96358</v>
      </c>
      <c r="I254" s="241"/>
    </row>
    <row r="255" spans="1:9" x14ac:dyDescent="0.25">
      <c r="A255" s="249">
        <v>45111</v>
      </c>
      <c r="B255" s="237">
        <v>3500</v>
      </c>
      <c r="C255" s="261" t="s">
        <v>273</v>
      </c>
      <c r="D255" s="239" t="s">
        <v>772</v>
      </c>
      <c r="E255" s="237">
        <v>50</v>
      </c>
      <c r="F255" s="242" t="s">
        <v>464</v>
      </c>
      <c r="G255" s="239" t="s">
        <v>464</v>
      </c>
      <c r="H255" s="240">
        <f t="shared" si="3"/>
        <v>99808</v>
      </c>
      <c r="I255" s="242" t="s">
        <v>33</v>
      </c>
    </row>
    <row r="256" spans="1:9" x14ac:dyDescent="0.25">
      <c r="A256" s="249">
        <v>45111</v>
      </c>
      <c r="B256" s="250"/>
      <c r="C256" s="251" t="s">
        <v>274</v>
      </c>
      <c r="D256" s="239"/>
      <c r="E256" s="237">
        <v>8500</v>
      </c>
      <c r="F256" s="242" t="s">
        <v>266</v>
      </c>
      <c r="G256" s="239" t="s">
        <v>931</v>
      </c>
      <c r="H256" s="240">
        <f t="shared" si="3"/>
        <v>91308</v>
      </c>
      <c r="I256" s="241"/>
    </row>
    <row r="257" spans="1:9" x14ac:dyDescent="0.25">
      <c r="A257" s="249">
        <v>45111</v>
      </c>
      <c r="B257" s="237">
        <v>10</v>
      </c>
      <c r="C257" s="238" t="s">
        <v>277</v>
      </c>
      <c r="D257" s="239"/>
      <c r="E257" s="237">
        <v>85</v>
      </c>
      <c r="F257" s="242" t="s">
        <v>73</v>
      </c>
      <c r="G257" s="239" t="s">
        <v>945</v>
      </c>
      <c r="H257" s="240">
        <f t="shared" si="3"/>
        <v>91233</v>
      </c>
      <c r="I257" s="241"/>
    </row>
    <row r="258" spans="1:9" x14ac:dyDescent="0.25">
      <c r="A258" s="249">
        <v>45111</v>
      </c>
      <c r="B258" s="237">
        <v>60</v>
      </c>
      <c r="C258" s="238" t="s">
        <v>279</v>
      </c>
      <c r="D258" s="239"/>
      <c r="E258" s="237">
        <v>85</v>
      </c>
      <c r="F258" s="242" t="s">
        <v>10</v>
      </c>
      <c r="G258" s="239" t="s">
        <v>930</v>
      </c>
      <c r="H258" s="240">
        <f t="shared" si="3"/>
        <v>91208</v>
      </c>
      <c r="I258" s="241"/>
    </row>
    <row r="259" spans="1:9" x14ac:dyDescent="0.25">
      <c r="A259" s="249">
        <v>45111</v>
      </c>
      <c r="B259" s="237">
        <v>6303</v>
      </c>
      <c r="C259" s="238" t="s">
        <v>6</v>
      </c>
      <c r="D259" s="239" t="s">
        <v>766</v>
      </c>
      <c r="E259" s="237">
        <v>140</v>
      </c>
      <c r="F259" s="242" t="s">
        <v>265</v>
      </c>
      <c r="G259" s="239" t="s">
        <v>935</v>
      </c>
      <c r="H259" s="240">
        <f t="shared" si="3"/>
        <v>97371</v>
      </c>
      <c r="I259" s="241"/>
    </row>
    <row r="260" spans="1:9" x14ac:dyDescent="0.25">
      <c r="A260" s="249">
        <v>45111</v>
      </c>
      <c r="B260" s="237">
        <v>437</v>
      </c>
      <c r="C260" s="238" t="s">
        <v>93</v>
      </c>
      <c r="D260" s="239" t="s">
        <v>768</v>
      </c>
      <c r="E260" s="237">
        <v>2443</v>
      </c>
      <c r="F260" s="242" t="s">
        <v>808</v>
      </c>
      <c r="G260" s="239" t="s">
        <v>928</v>
      </c>
      <c r="H260" s="240">
        <f t="shared" si="3"/>
        <v>95365</v>
      </c>
      <c r="I260" s="241" t="s">
        <v>809</v>
      </c>
    </row>
    <row r="261" spans="1:9" x14ac:dyDescent="0.25">
      <c r="A261" s="249">
        <v>45111</v>
      </c>
      <c r="B261" s="237">
        <v>13373</v>
      </c>
      <c r="C261" s="238" t="s">
        <v>88</v>
      </c>
      <c r="D261" s="239" t="s">
        <v>766</v>
      </c>
      <c r="E261" s="237">
        <v>1515</v>
      </c>
      <c r="F261" s="242" t="s">
        <v>268</v>
      </c>
      <c r="G261" s="239" t="s">
        <v>928</v>
      </c>
      <c r="H261" s="240">
        <f t="shared" si="3"/>
        <v>107223</v>
      </c>
      <c r="I261" s="241"/>
    </row>
    <row r="262" spans="1:9" x14ac:dyDescent="0.25">
      <c r="A262" s="249">
        <v>45111</v>
      </c>
      <c r="B262" s="237">
        <v>365</v>
      </c>
      <c r="C262" s="238" t="s">
        <v>747</v>
      </c>
      <c r="D262" s="239" t="s">
        <v>768</v>
      </c>
      <c r="E262" s="237">
        <v>720</v>
      </c>
      <c r="F262" s="242" t="s">
        <v>269</v>
      </c>
      <c r="G262" s="239" t="s">
        <v>929</v>
      </c>
      <c r="H262" s="240">
        <f t="shared" ref="H262:H325" si="4">H261+B262-E262</f>
        <v>106868</v>
      </c>
      <c r="I262" s="241"/>
    </row>
    <row r="263" spans="1:9" x14ac:dyDescent="0.25">
      <c r="A263" s="249">
        <v>45111</v>
      </c>
      <c r="B263" s="237">
        <v>15122</v>
      </c>
      <c r="C263" s="238" t="s">
        <v>19</v>
      </c>
      <c r="D263" s="239" t="s">
        <v>763</v>
      </c>
      <c r="E263" s="237">
        <v>283</v>
      </c>
      <c r="F263" s="242" t="s">
        <v>37</v>
      </c>
      <c r="G263" s="239" t="s">
        <v>928</v>
      </c>
      <c r="H263" s="240">
        <f t="shared" si="4"/>
        <v>121707</v>
      </c>
      <c r="I263" s="241"/>
    </row>
    <row r="264" spans="1:9" x14ac:dyDescent="0.25">
      <c r="A264" s="249">
        <v>45111</v>
      </c>
      <c r="B264" s="237">
        <v>1040</v>
      </c>
      <c r="C264" s="238" t="s">
        <v>27</v>
      </c>
      <c r="D264" s="239" t="s">
        <v>772</v>
      </c>
      <c r="E264" s="237">
        <v>4420</v>
      </c>
      <c r="F264" s="242" t="s">
        <v>270</v>
      </c>
      <c r="G264" s="239" t="s">
        <v>928</v>
      </c>
      <c r="H264" s="240">
        <f t="shared" si="4"/>
        <v>118327</v>
      </c>
      <c r="I264" s="241"/>
    </row>
    <row r="265" spans="1:9" x14ac:dyDescent="0.25">
      <c r="A265" s="249">
        <v>45111</v>
      </c>
      <c r="B265" s="237">
        <v>9160</v>
      </c>
      <c r="C265" s="238" t="s">
        <v>305</v>
      </c>
      <c r="D265" s="239" t="s">
        <v>763</v>
      </c>
      <c r="E265" s="237">
        <v>8</v>
      </c>
      <c r="F265" s="242" t="s">
        <v>464</v>
      </c>
      <c r="G265" s="239" t="s">
        <v>464</v>
      </c>
      <c r="H265" s="240">
        <f t="shared" si="4"/>
        <v>127479</v>
      </c>
      <c r="I265" s="242" t="s">
        <v>272</v>
      </c>
    </row>
    <row r="266" spans="1:9" x14ac:dyDescent="0.25">
      <c r="A266" s="249">
        <v>45111</v>
      </c>
      <c r="B266" s="237">
        <v>1583</v>
      </c>
      <c r="C266" s="238" t="s">
        <v>233</v>
      </c>
      <c r="D266" s="239" t="s">
        <v>765</v>
      </c>
      <c r="E266" s="237">
        <v>450</v>
      </c>
      <c r="F266" s="242" t="s">
        <v>34</v>
      </c>
      <c r="G266" s="239" t="s">
        <v>935</v>
      </c>
      <c r="H266" s="240">
        <f t="shared" si="4"/>
        <v>128612</v>
      </c>
      <c r="I266" s="241"/>
    </row>
    <row r="267" spans="1:9" x14ac:dyDescent="0.25">
      <c r="A267" s="249">
        <v>45111</v>
      </c>
      <c r="B267" s="237"/>
      <c r="C267" s="238"/>
      <c r="D267" s="239"/>
      <c r="E267" s="237">
        <v>270</v>
      </c>
      <c r="F267" s="242" t="s">
        <v>8</v>
      </c>
      <c r="G267" s="239" t="s">
        <v>930</v>
      </c>
      <c r="H267" s="240">
        <f t="shared" si="4"/>
        <v>128342</v>
      </c>
      <c r="I267" s="241"/>
    </row>
    <row r="268" spans="1:9" x14ac:dyDescent="0.25">
      <c r="A268" s="249">
        <v>45111</v>
      </c>
      <c r="B268" s="237"/>
      <c r="C268" s="238"/>
      <c r="D268" s="239"/>
      <c r="E268" s="237">
        <v>44</v>
      </c>
      <c r="F268" s="242" t="s">
        <v>73</v>
      </c>
      <c r="G268" s="239" t="s">
        <v>945</v>
      </c>
      <c r="H268" s="240">
        <f t="shared" si="4"/>
        <v>128298</v>
      </c>
      <c r="I268" s="241"/>
    </row>
    <row r="269" spans="1:9" x14ac:dyDescent="0.25">
      <c r="A269" s="249">
        <v>45111</v>
      </c>
      <c r="B269" s="237"/>
      <c r="C269" s="238"/>
      <c r="D269" s="239"/>
      <c r="E269" s="237">
        <v>1925</v>
      </c>
      <c r="F269" s="242" t="s">
        <v>275</v>
      </c>
      <c r="G269" s="239" t="s">
        <v>928</v>
      </c>
      <c r="H269" s="240">
        <f t="shared" si="4"/>
        <v>126373</v>
      </c>
      <c r="I269" s="241"/>
    </row>
    <row r="270" spans="1:9" x14ac:dyDescent="0.25">
      <c r="A270" s="249">
        <v>45111</v>
      </c>
      <c r="B270" s="237"/>
      <c r="C270" s="238"/>
      <c r="D270" s="239"/>
      <c r="E270" s="237">
        <v>1120</v>
      </c>
      <c r="F270" s="242" t="s">
        <v>737</v>
      </c>
      <c r="G270" s="239" t="s">
        <v>928</v>
      </c>
      <c r="H270" s="240">
        <f t="shared" si="4"/>
        <v>125253</v>
      </c>
      <c r="I270" s="241" t="s">
        <v>810</v>
      </c>
    </row>
    <row r="271" spans="1:9" x14ac:dyDescent="0.25">
      <c r="A271" s="249">
        <v>45111</v>
      </c>
      <c r="B271" s="237"/>
      <c r="C271" s="238"/>
      <c r="D271" s="239"/>
      <c r="E271" s="237">
        <v>120</v>
      </c>
      <c r="F271" s="242" t="s">
        <v>38</v>
      </c>
      <c r="G271" s="239" t="s">
        <v>930</v>
      </c>
      <c r="H271" s="240">
        <f t="shared" si="4"/>
        <v>125133</v>
      </c>
      <c r="I271" s="241"/>
    </row>
    <row r="272" spans="1:9" x14ac:dyDescent="0.25">
      <c r="A272" s="249">
        <v>45111</v>
      </c>
      <c r="B272" s="237"/>
      <c r="C272" s="238"/>
      <c r="D272" s="239"/>
      <c r="E272" s="237">
        <v>50</v>
      </c>
      <c r="F272" s="242" t="s">
        <v>13</v>
      </c>
      <c r="G272" s="239" t="s">
        <v>930</v>
      </c>
      <c r="H272" s="240">
        <f t="shared" si="4"/>
        <v>125083</v>
      </c>
      <c r="I272" s="241"/>
    </row>
    <row r="273" spans="1:9" x14ac:dyDescent="0.25">
      <c r="A273" s="249">
        <v>45111</v>
      </c>
      <c r="B273" s="237"/>
      <c r="C273" s="238"/>
      <c r="D273" s="239"/>
      <c r="E273" s="237">
        <v>400</v>
      </c>
      <c r="F273" s="242" t="s">
        <v>278</v>
      </c>
      <c r="G273" s="239" t="s">
        <v>935</v>
      </c>
      <c r="H273" s="240">
        <f t="shared" si="4"/>
        <v>124683</v>
      </c>
      <c r="I273" s="241"/>
    </row>
    <row r="274" spans="1:9" x14ac:dyDescent="0.25">
      <c r="A274" s="249">
        <v>45111</v>
      </c>
      <c r="B274" s="237"/>
      <c r="C274" s="238"/>
      <c r="D274" s="239"/>
      <c r="E274" s="237">
        <v>4090</v>
      </c>
      <c r="F274" s="242" t="s">
        <v>230</v>
      </c>
      <c r="G274" s="239" t="s">
        <v>928</v>
      </c>
      <c r="H274" s="240">
        <f t="shared" si="4"/>
        <v>120593</v>
      </c>
      <c r="I274" s="241" t="s">
        <v>811</v>
      </c>
    </row>
    <row r="275" spans="1:9" x14ac:dyDescent="0.25">
      <c r="A275" s="249">
        <v>45111</v>
      </c>
      <c r="B275" s="237"/>
      <c r="C275" s="238"/>
      <c r="D275" s="239"/>
      <c r="E275" s="237">
        <v>4650</v>
      </c>
      <c r="F275" s="242" t="s">
        <v>281</v>
      </c>
      <c r="G275" s="239" t="s">
        <v>929</v>
      </c>
      <c r="H275" s="240">
        <f t="shared" si="4"/>
        <v>115943</v>
      </c>
      <c r="I275" s="241"/>
    </row>
    <row r="276" spans="1:9" x14ac:dyDescent="0.25">
      <c r="A276" s="249">
        <v>45111</v>
      </c>
      <c r="B276" s="237"/>
      <c r="C276" s="238"/>
      <c r="D276" s="239"/>
      <c r="E276" s="237">
        <v>680</v>
      </c>
      <c r="F276" s="242" t="s">
        <v>282</v>
      </c>
      <c r="G276" s="239" t="s">
        <v>929</v>
      </c>
      <c r="H276" s="240">
        <f t="shared" si="4"/>
        <v>115263</v>
      </c>
      <c r="I276" s="241"/>
    </row>
    <row r="277" spans="1:9" x14ac:dyDescent="0.25">
      <c r="A277" s="249">
        <v>45111</v>
      </c>
      <c r="B277" s="237"/>
      <c r="C277" s="238"/>
      <c r="D277" s="239"/>
      <c r="E277" s="237">
        <v>350</v>
      </c>
      <c r="F277" s="242" t="s">
        <v>464</v>
      </c>
      <c r="G277" s="239" t="s">
        <v>464</v>
      </c>
      <c r="H277" s="240">
        <f t="shared" si="4"/>
        <v>114913</v>
      </c>
      <c r="I277" s="241" t="s">
        <v>283</v>
      </c>
    </row>
    <row r="278" spans="1:9" x14ac:dyDescent="0.25">
      <c r="A278" s="249">
        <v>45111</v>
      </c>
      <c r="B278" s="237"/>
      <c r="C278" s="238"/>
      <c r="D278" s="239"/>
      <c r="E278" s="237">
        <v>115</v>
      </c>
      <c r="F278" s="242" t="s">
        <v>284</v>
      </c>
      <c r="G278" s="239" t="s">
        <v>930</v>
      </c>
      <c r="H278" s="240">
        <f t="shared" si="4"/>
        <v>114798</v>
      </c>
      <c r="I278" s="241"/>
    </row>
    <row r="279" spans="1:9" x14ac:dyDescent="0.25">
      <c r="A279" s="249">
        <v>45111</v>
      </c>
      <c r="B279" s="237"/>
      <c r="C279" s="238"/>
      <c r="D279" s="239"/>
      <c r="E279" s="237">
        <v>290</v>
      </c>
      <c r="F279" s="242" t="s">
        <v>7</v>
      </c>
      <c r="G279" s="239" t="s">
        <v>930</v>
      </c>
      <c r="H279" s="240">
        <f t="shared" si="4"/>
        <v>114508</v>
      </c>
      <c r="I279" s="241"/>
    </row>
    <row r="280" spans="1:9" x14ac:dyDescent="0.25">
      <c r="A280" s="249">
        <v>45111</v>
      </c>
      <c r="B280" s="237"/>
      <c r="C280" s="238"/>
      <c r="D280" s="239"/>
      <c r="E280" s="237">
        <v>2298</v>
      </c>
      <c r="F280" s="242" t="s">
        <v>285</v>
      </c>
      <c r="G280" s="239" t="s">
        <v>928</v>
      </c>
      <c r="H280" s="240">
        <f t="shared" si="4"/>
        <v>112210</v>
      </c>
      <c r="I280" s="241"/>
    </row>
    <row r="281" spans="1:9" x14ac:dyDescent="0.25">
      <c r="A281" s="249">
        <v>45111</v>
      </c>
      <c r="B281" s="237"/>
      <c r="C281" s="238"/>
      <c r="D281" s="239"/>
      <c r="E281" s="237">
        <v>270</v>
      </c>
      <c r="F281" s="242" t="s">
        <v>86</v>
      </c>
      <c r="G281" s="239" t="s">
        <v>930</v>
      </c>
      <c r="H281" s="240">
        <f t="shared" si="4"/>
        <v>111940</v>
      </c>
      <c r="I281" s="241"/>
    </row>
    <row r="282" spans="1:9" x14ac:dyDescent="0.25">
      <c r="A282" s="249">
        <v>45111</v>
      </c>
      <c r="B282" s="237"/>
      <c r="C282" s="238"/>
      <c r="D282" s="239"/>
      <c r="E282" s="237">
        <v>2640</v>
      </c>
      <c r="F282" s="242" t="s">
        <v>47</v>
      </c>
      <c r="G282" s="239" t="s">
        <v>928</v>
      </c>
      <c r="H282" s="240">
        <f t="shared" si="4"/>
        <v>109300</v>
      </c>
      <c r="I282" s="241" t="s">
        <v>812</v>
      </c>
    </row>
    <row r="283" spans="1:9" x14ac:dyDescent="0.25">
      <c r="A283" s="249">
        <v>45111</v>
      </c>
      <c r="B283" s="237"/>
      <c r="C283" s="238"/>
      <c r="D283" s="239"/>
      <c r="E283" s="237">
        <v>180</v>
      </c>
      <c r="F283" s="242" t="s">
        <v>210</v>
      </c>
      <c r="G283" s="239" t="s">
        <v>930</v>
      </c>
      <c r="H283" s="240">
        <f t="shared" si="4"/>
        <v>109120</v>
      </c>
      <c r="I283" s="241"/>
    </row>
    <row r="284" spans="1:9" x14ac:dyDescent="0.25">
      <c r="A284" s="249">
        <v>45111</v>
      </c>
      <c r="B284" s="237"/>
      <c r="C284" s="238"/>
      <c r="D284" s="239"/>
      <c r="E284" s="237">
        <v>100</v>
      </c>
      <c r="F284" s="242" t="s">
        <v>9</v>
      </c>
      <c r="G284" s="239" t="s">
        <v>930</v>
      </c>
      <c r="H284" s="240">
        <f t="shared" si="4"/>
        <v>109020</v>
      </c>
      <c r="I284" s="241"/>
    </row>
    <row r="285" spans="1:9" x14ac:dyDescent="0.25">
      <c r="A285" s="249">
        <v>45111</v>
      </c>
      <c r="B285" s="237"/>
      <c r="C285" s="238"/>
      <c r="D285" s="239"/>
      <c r="E285" s="237">
        <v>100</v>
      </c>
      <c r="F285" s="242" t="s">
        <v>288</v>
      </c>
      <c r="G285" s="239" t="s">
        <v>464</v>
      </c>
      <c r="H285" s="240">
        <f t="shared" si="4"/>
        <v>108920</v>
      </c>
      <c r="I285" s="241"/>
    </row>
    <row r="286" spans="1:9" x14ac:dyDescent="0.25">
      <c r="A286" s="249">
        <v>45111</v>
      </c>
      <c r="B286" s="237"/>
      <c r="C286" s="238"/>
      <c r="D286" s="239"/>
      <c r="E286" s="237">
        <v>8</v>
      </c>
      <c r="F286" s="242" t="s">
        <v>212</v>
      </c>
      <c r="G286" s="239" t="s">
        <v>464</v>
      </c>
      <c r="H286" s="240">
        <f t="shared" si="4"/>
        <v>108912</v>
      </c>
      <c r="I286" s="241"/>
    </row>
    <row r="287" spans="1:9" x14ac:dyDescent="0.25">
      <c r="A287" s="249">
        <v>45111</v>
      </c>
      <c r="B287" s="237"/>
      <c r="C287" s="238"/>
      <c r="D287" s="239"/>
      <c r="E287" s="237">
        <v>130</v>
      </c>
      <c r="F287" s="242" t="s">
        <v>34</v>
      </c>
      <c r="G287" s="239" t="s">
        <v>935</v>
      </c>
      <c r="H287" s="240">
        <f t="shared" si="4"/>
        <v>108782</v>
      </c>
      <c r="I287" s="241"/>
    </row>
    <row r="288" spans="1:9" x14ac:dyDescent="0.25">
      <c r="A288" s="249">
        <v>45111</v>
      </c>
      <c r="B288" s="237"/>
      <c r="C288" s="238"/>
      <c r="D288" s="239"/>
      <c r="E288" s="237">
        <v>2120</v>
      </c>
      <c r="F288" s="242" t="s">
        <v>289</v>
      </c>
      <c r="G288" s="239" t="s">
        <v>928</v>
      </c>
      <c r="H288" s="240">
        <f t="shared" si="4"/>
        <v>106662</v>
      </c>
      <c r="I288" s="241"/>
    </row>
    <row r="289" spans="1:9" x14ac:dyDescent="0.25">
      <c r="A289" s="249">
        <v>45111</v>
      </c>
      <c r="B289" s="237"/>
      <c r="C289" s="238"/>
      <c r="D289" s="239"/>
      <c r="E289" s="237">
        <v>500</v>
      </c>
      <c r="F289" s="242" t="s">
        <v>255</v>
      </c>
      <c r="G289" s="239" t="s">
        <v>930</v>
      </c>
      <c r="H289" s="240">
        <f t="shared" si="4"/>
        <v>106162</v>
      </c>
      <c r="I289" s="241"/>
    </row>
    <row r="290" spans="1:9" x14ac:dyDescent="0.25">
      <c r="A290" s="249">
        <v>45111</v>
      </c>
      <c r="B290" s="237"/>
      <c r="C290" s="238"/>
      <c r="D290" s="239"/>
      <c r="E290" s="237">
        <v>80</v>
      </c>
      <c r="F290" s="242" t="s">
        <v>290</v>
      </c>
      <c r="G290" s="239" t="s">
        <v>935</v>
      </c>
      <c r="H290" s="240">
        <f t="shared" si="4"/>
        <v>106082</v>
      </c>
      <c r="I290" s="241"/>
    </row>
    <row r="291" spans="1:9" x14ac:dyDescent="0.25">
      <c r="A291" s="249">
        <v>45111</v>
      </c>
      <c r="B291" s="237"/>
      <c r="C291" s="238"/>
      <c r="D291" s="239"/>
      <c r="E291" s="237">
        <v>5000</v>
      </c>
      <c r="F291" s="242" t="s">
        <v>43</v>
      </c>
      <c r="G291" s="239" t="s">
        <v>941</v>
      </c>
      <c r="H291" s="240">
        <f t="shared" si="4"/>
        <v>101082</v>
      </c>
      <c r="I291" s="241"/>
    </row>
    <row r="292" spans="1:9" x14ac:dyDescent="0.25">
      <c r="A292" s="249">
        <v>45111</v>
      </c>
      <c r="B292" s="237"/>
      <c r="C292" s="238"/>
      <c r="D292" s="239"/>
      <c r="E292" s="237">
        <v>340</v>
      </c>
      <c r="F292" s="242" t="s">
        <v>291</v>
      </c>
      <c r="G292" s="239" t="s">
        <v>930</v>
      </c>
      <c r="H292" s="240">
        <f t="shared" si="4"/>
        <v>100742</v>
      </c>
      <c r="I292" s="241"/>
    </row>
    <row r="293" spans="1:9" x14ac:dyDescent="0.25">
      <c r="A293" s="249">
        <v>45111</v>
      </c>
      <c r="B293" s="237"/>
      <c r="C293" s="238"/>
      <c r="D293" s="239"/>
      <c r="E293" s="237">
        <v>14995</v>
      </c>
      <c r="F293" s="242" t="s">
        <v>16</v>
      </c>
      <c r="G293" s="239" t="s">
        <v>936</v>
      </c>
      <c r="H293" s="240">
        <f t="shared" si="4"/>
        <v>85747</v>
      </c>
      <c r="I293" s="241"/>
    </row>
    <row r="294" spans="1:9" x14ac:dyDescent="0.25">
      <c r="A294" s="249">
        <v>45111</v>
      </c>
      <c r="B294" s="237"/>
      <c r="C294" s="238"/>
      <c r="D294" s="239"/>
      <c r="E294" s="237">
        <v>6940</v>
      </c>
      <c r="F294" s="242" t="s">
        <v>292</v>
      </c>
      <c r="G294" s="239" t="s">
        <v>928</v>
      </c>
      <c r="H294" s="240">
        <f t="shared" si="4"/>
        <v>78807</v>
      </c>
      <c r="I294" s="241"/>
    </row>
    <row r="295" spans="1:9" x14ac:dyDescent="0.25">
      <c r="A295" s="249">
        <v>45111</v>
      </c>
      <c r="B295" s="237"/>
      <c r="C295" s="238"/>
      <c r="D295" s="239"/>
      <c r="E295" s="237">
        <v>2080</v>
      </c>
      <c r="F295" s="242" t="s">
        <v>785</v>
      </c>
      <c r="G295" s="239" t="s">
        <v>928</v>
      </c>
      <c r="H295" s="240">
        <f t="shared" si="4"/>
        <v>76727</v>
      </c>
      <c r="I295" s="241" t="s">
        <v>813</v>
      </c>
    </row>
    <row r="296" spans="1:9" x14ac:dyDescent="0.25">
      <c r="A296" s="249">
        <v>45111</v>
      </c>
      <c r="B296" s="237"/>
      <c r="C296" s="238"/>
      <c r="D296" s="239"/>
      <c r="E296" s="237">
        <v>1410</v>
      </c>
      <c r="F296" s="242" t="s">
        <v>294</v>
      </c>
      <c r="G296" s="239" t="s">
        <v>928</v>
      </c>
      <c r="H296" s="240">
        <f t="shared" si="4"/>
        <v>75317</v>
      </c>
      <c r="I296" s="241"/>
    </row>
    <row r="297" spans="1:9" x14ac:dyDescent="0.25">
      <c r="A297" s="249">
        <v>45111</v>
      </c>
      <c r="B297" s="237"/>
      <c r="C297" s="238"/>
      <c r="D297" s="239"/>
      <c r="E297" s="237">
        <v>2650</v>
      </c>
      <c r="F297" s="242" t="s">
        <v>17</v>
      </c>
      <c r="G297" s="239" t="s">
        <v>928</v>
      </c>
      <c r="H297" s="240">
        <f t="shared" si="4"/>
        <v>72667</v>
      </c>
      <c r="I297" s="241"/>
    </row>
    <row r="298" spans="1:9" x14ac:dyDescent="0.25">
      <c r="A298" s="249">
        <v>45111</v>
      </c>
      <c r="B298" s="237"/>
      <c r="C298" s="238"/>
      <c r="D298" s="239"/>
      <c r="E298" s="237">
        <v>200</v>
      </c>
      <c r="F298" s="242" t="s">
        <v>295</v>
      </c>
      <c r="G298" s="239" t="s">
        <v>464</v>
      </c>
      <c r="H298" s="240">
        <f t="shared" si="4"/>
        <v>72467</v>
      </c>
      <c r="I298" s="241"/>
    </row>
    <row r="299" spans="1:9" x14ac:dyDescent="0.25">
      <c r="A299" s="249">
        <v>45111</v>
      </c>
      <c r="B299" s="237"/>
      <c r="C299" s="238"/>
      <c r="D299" s="239"/>
      <c r="E299" s="237">
        <v>7200</v>
      </c>
      <c r="F299" s="242" t="s">
        <v>814</v>
      </c>
      <c r="G299" s="239" t="s">
        <v>928</v>
      </c>
      <c r="H299" s="240">
        <f t="shared" si="4"/>
        <v>65267</v>
      </c>
      <c r="I299" s="241" t="s">
        <v>815</v>
      </c>
    </row>
    <row r="300" spans="1:9" x14ac:dyDescent="0.25">
      <c r="A300" s="249">
        <v>45111</v>
      </c>
      <c r="B300" s="237"/>
      <c r="C300" s="238"/>
      <c r="D300" s="239"/>
      <c r="E300" s="237">
        <v>85</v>
      </c>
      <c r="F300" s="242" t="s">
        <v>223</v>
      </c>
      <c r="G300" s="239" t="s">
        <v>930</v>
      </c>
      <c r="H300" s="240">
        <f t="shared" si="4"/>
        <v>65182</v>
      </c>
      <c r="I300" s="241"/>
    </row>
    <row r="301" spans="1:9" x14ac:dyDescent="0.25">
      <c r="A301" s="249">
        <v>45111</v>
      </c>
      <c r="B301" s="237"/>
      <c r="C301" s="238"/>
      <c r="D301" s="239"/>
      <c r="E301" s="237">
        <v>4000</v>
      </c>
      <c r="F301" s="242" t="s">
        <v>816</v>
      </c>
      <c r="G301" s="239" t="s">
        <v>928</v>
      </c>
      <c r="H301" s="240">
        <f t="shared" si="4"/>
        <v>61182</v>
      </c>
      <c r="I301" s="241" t="s">
        <v>817</v>
      </c>
    </row>
    <row r="302" spans="1:9" x14ac:dyDescent="0.25">
      <c r="A302" s="249">
        <v>45111</v>
      </c>
      <c r="B302" s="237"/>
      <c r="C302" s="238"/>
      <c r="D302" s="239"/>
      <c r="E302" s="237">
        <v>250</v>
      </c>
      <c r="F302" s="242" t="s">
        <v>301</v>
      </c>
      <c r="G302" s="239" t="s">
        <v>928</v>
      </c>
      <c r="H302" s="240">
        <f t="shared" si="4"/>
        <v>60932</v>
      </c>
      <c r="I302" s="241"/>
    </row>
    <row r="303" spans="1:9" x14ac:dyDescent="0.25">
      <c r="A303" s="249">
        <v>45111</v>
      </c>
      <c r="B303" s="237"/>
      <c r="C303" s="238"/>
      <c r="D303" s="239"/>
      <c r="E303" s="237">
        <v>145</v>
      </c>
      <c r="F303" s="242" t="s">
        <v>302</v>
      </c>
      <c r="G303" s="239" t="s">
        <v>928</v>
      </c>
      <c r="H303" s="240">
        <f t="shared" si="4"/>
        <v>60787</v>
      </c>
      <c r="I303" s="241"/>
    </row>
    <row r="304" spans="1:9" x14ac:dyDescent="0.25">
      <c r="A304" s="249">
        <v>45111</v>
      </c>
      <c r="B304" s="237"/>
      <c r="C304" s="238"/>
      <c r="D304" s="239"/>
      <c r="E304" s="237">
        <v>95</v>
      </c>
      <c r="F304" s="242" t="s">
        <v>27</v>
      </c>
      <c r="G304" s="239" t="s">
        <v>943</v>
      </c>
      <c r="H304" s="240">
        <f t="shared" si="4"/>
        <v>60692</v>
      </c>
      <c r="I304" s="241"/>
    </row>
    <row r="305" spans="1:9" x14ac:dyDescent="0.25">
      <c r="A305" s="249">
        <v>45111</v>
      </c>
      <c r="B305" s="237"/>
      <c r="C305" s="238"/>
      <c r="D305" s="239"/>
      <c r="E305" s="237">
        <v>2090</v>
      </c>
      <c r="F305" s="242" t="s">
        <v>14</v>
      </c>
      <c r="G305" s="239" t="s">
        <v>935</v>
      </c>
      <c r="H305" s="240">
        <f t="shared" si="4"/>
        <v>58602</v>
      </c>
      <c r="I305" s="241"/>
    </row>
    <row r="306" spans="1:9" x14ac:dyDescent="0.25">
      <c r="A306" s="249">
        <v>45111</v>
      </c>
      <c r="B306" s="237"/>
      <c r="C306" s="238"/>
      <c r="D306" s="239"/>
      <c r="E306" s="237">
        <v>206</v>
      </c>
      <c r="F306" s="242" t="s">
        <v>464</v>
      </c>
      <c r="G306" s="239" t="s">
        <v>464</v>
      </c>
      <c r="H306" s="240">
        <f t="shared" si="4"/>
        <v>58396</v>
      </c>
      <c r="I306" s="242" t="s">
        <v>307</v>
      </c>
    </row>
    <row r="307" spans="1:9" x14ac:dyDescent="0.25">
      <c r="A307" s="249">
        <v>45111</v>
      </c>
      <c r="B307" s="237"/>
      <c r="C307" s="238"/>
      <c r="D307" s="239"/>
      <c r="E307" s="237">
        <v>10000</v>
      </c>
      <c r="F307" s="242" t="s">
        <v>818</v>
      </c>
      <c r="G307" s="239" t="s">
        <v>928</v>
      </c>
      <c r="H307" s="240">
        <f t="shared" si="4"/>
        <v>48396</v>
      </c>
      <c r="I307" s="241" t="s">
        <v>819</v>
      </c>
    </row>
    <row r="308" spans="1:9" x14ac:dyDescent="0.25">
      <c r="A308" s="249">
        <v>45111</v>
      </c>
      <c r="B308" s="237"/>
      <c r="C308" s="238"/>
      <c r="D308" s="239"/>
      <c r="E308" s="237">
        <v>75</v>
      </c>
      <c r="F308" s="242" t="s">
        <v>26</v>
      </c>
      <c r="G308" s="239" t="s">
        <v>930</v>
      </c>
      <c r="H308" s="240">
        <f t="shared" si="4"/>
        <v>48321</v>
      </c>
      <c r="I308" s="241"/>
    </row>
    <row r="309" spans="1:9" x14ac:dyDescent="0.25">
      <c r="A309" s="249">
        <v>45111</v>
      </c>
      <c r="B309" s="237"/>
      <c r="C309" s="238"/>
      <c r="D309" s="239"/>
      <c r="E309" s="237">
        <v>244</v>
      </c>
      <c r="F309" s="242" t="s">
        <v>820</v>
      </c>
      <c r="G309" s="239" t="s">
        <v>931</v>
      </c>
      <c r="H309" s="240">
        <f t="shared" si="4"/>
        <v>48077</v>
      </c>
      <c r="I309" s="241" t="s">
        <v>412</v>
      </c>
    </row>
    <row r="310" spans="1:9" x14ac:dyDescent="0.25">
      <c r="A310" s="249">
        <v>45111</v>
      </c>
      <c r="B310" s="237"/>
      <c r="C310" s="238"/>
      <c r="D310" s="239"/>
      <c r="E310" s="237">
        <v>500</v>
      </c>
      <c r="F310" s="242" t="s">
        <v>821</v>
      </c>
      <c r="G310" s="239" t="s">
        <v>930</v>
      </c>
      <c r="H310" s="240">
        <f t="shared" si="4"/>
        <v>47577</v>
      </c>
      <c r="I310" s="241" t="s">
        <v>822</v>
      </c>
    </row>
    <row r="311" spans="1:9" x14ac:dyDescent="0.25">
      <c r="A311" s="249">
        <v>45111</v>
      </c>
      <c r="B311" s="237"/>
      <c r="C311" s="238"/>
      <c r="D311" s="239"/>
      <c r="E311" s="237">
        <v>300</v>
      </c>
      <c r="F311" s="242" t="s">
        <v>296</v>
      </c>
      <c r="G311" s="239" t="s">
        <v>464</v>
      </c>
      <c r="H311" s="240">
        <f t="shared" si="4"/>
        <v>47277</v>
      </c>
      <c r="I311" s="241"/>
    </row>
    <row r="312" spans="1:9" x14ac:dyDescent="0.25">
      <c r="A312" s="249">
        <v>45111</v>
      </c>
      <c r="B312" s="237"/>
      <c r="C312" s="238"/>
      <c r="D312" s="239"/>
      <c r="E312" s="237">
        <v>9500</v>
      </c>
      <c r="F312" s="242" t="s">
        <v>127</v>
      </c>
      <c r="G312" s="239" t="s">
        <v>938</v>
      </c>
      <c r="H312" s="240">
        <f t="shared" si="4"/>
        <v>37777</v>
      </c>
      <c r="I312" s="241" t="s">
        <v>823</v>
      </c>
    </row>
    <row r="313" spans="1:9" x14ac:dyDescent="0.25">
      <c r="A313" s="249">
        <v>45111</v>
      </c>
      <c r="B313" s="237"/>
      <c r="C313" s="238"/>
      <c r="D313" s="239"/>
      <c r="E313" s="237">
        <v>400</v>
      </c>
      <c r="F313" s="242" t="s">
        <v>296</v>
      </c>
      <c r="G313" s="239" t="s">
        <v>464</v>
      </c>
      <c r="H313" s="240">
        <f t="shared" si="4"/>
        <v>37377</v>
      </c>
      <c r="I313" s="241"/>
    </row>
    <row r="314" spans="1:9" x14ac:dyDescent="0.25">
      <c r="A314" s="249">
        <v>45111</v>
      </c>
      <c r="B314" s="237"/>
      <c r="C314" s="238"/>
      <c r="D314" s="239"/>
      <c r="E314" s="237">
        <v>345</v>
      </c>
      <c r="F314" s="242" t="s">
        <v>27</v>
      </c>
      <c r="G314" s="239" t="s">
        <v>943</v>
      </c>
      <c r="H314" s="240">
        <f t="shared" si="4"/>
        <v>37032</v>
      </c>
      <c r="I314" s="241"/>
    </row>
    <row r="315" spans="1:9" x14ac:dyDescent="0.25">
      <c r="A315" s="244">
        <v>45111</v>
      </c>
      <c r="B315" s="245"/>
      <c r="C315" s="246"/>
      <c r="D315" s="247"/>
      <c r="E315" s="245">
        <v>990</v>
      </c>
      <c r="F315" s="248" t="s">
        <v>27</v>
      </c>
      <c r="G315" s="247" t="s">
        <v>943</v>
      </c>
      <c r="H315" s="240">
        <f t="shared" si="4"/>
        <v>36042</v>
      </c>
      <c r="I315" s="241"/>
    </row>
    <row r="316" spans="1:9" x14ac:dyDescent="0.25">
      <c r="A316" s="249">
        <v>45112</v>
      </c>
      <c r="B316" s="237">
        <v>25000</v>
      </c>
      <c r="C316" s="238" t="s">
        <v>358</v>
      </c>
      <c r="D316" s="239" t="s">
        <v>938</v>
      </c>
      <c r="E316" s="237">
        <v>145</v>
      </c>
      <c r="F316" s="242" t="s">
        <v>19</v>
      </c>
      <c r="G316" s="239" t="s">
        <v>930</v>
      </c>
      <c r="H316" s="240">
        <f t="shared" si="4"/>
        <v>60897</v>
      </c>
      <c r="I316" s="241"/>
    </row>
    <row r="317" spans="1:9" x14ac:dyDescent="0.25">
      <c r="A317" s="249">
        <v>45112</v>
      </c>
      <c r="B317" s="237">
        <v>15880</v>
      </c>
      <c r="C317" s="238" t="s">
        <v>9</v>
      </c>
      <c r="D317" s="239" t="s">
        <v>763</v>
      </c>
      <c r="E317" s="237">
        <v>120</v>
      </c>
      <c r="F317" s="242" t="s">
        <v>310</v>
      </c>
      <c r="G317" s="239" t="s">
        <v>930</v>
      </c>
      <c r="H317" s="240">
        <f t="shared" si="4"/>
        <v>76657</v>
      </c>
      <c r="I317" s="241"/>
    </row>
    <row r="318" spans="1:9" x14ac:dyDescent="0.25">
      <c r="A318" s="249">
        <v>45112</v>
      </c>
      <c r="B318" s="237">
        <v>1226</v>
      </c>
      <c r="C318" s="238" t="s">
        <v>28</v>
      </c>
      <c r="D318" s="239" t="s">
        <v>765</v>
      </c>
      <c r="E318" s="237">
        <v>70</v>
      </c>
      <c r="F318" s="242" t="s">
        <v>27</v>
      </c>
      <c r="G318" s="239" t="s">
        <v>943</v>
      </c>
      <c r="H318" s="240">
        <f t="shared" si="4"/>
        <v>77813</v>
      </c>
      <c r="I318" s="241"/>
    </row>
    <row r="319" spans="1:9" x14ac:dyDescent="0.25">
      <c r="A319" s="249">
        <v>45112</v>
      </c>
      <c r="B319" s="237">
        <v>205</v>
      </c>
      <c r="C319" s="238" t="s">
        <v>27</v>
      </c>
      <c r="D319" s="239" t="s">
        <v>772</v>
      </c>
      <c r="E319" s="237">
        <v>130</v>
      </c>
      <c r="F319" s="242" t="s">
        <v>464</v>
      </c>
      <c r="G319" s="239" t="s">
        <v>464</v>
      </c>
      <c r="H319" s="240">
        <f t="shared" si="4"/>
        <v>77888</v>
      </c>
      <c r="I319" s="241"/>
    </row>
    <row r="320" spans="1:9" x14ac:dyDescent="0.25">
      <c r="A320" s="249">
        <v>45112</v>
      </c>
      <c r="B320" s="237">
        <v>9807</v>
      </c>
      <c r="C320" s="238" t="s">
        <v>323</v>
      </c>
      <c r="D320" s="239" t="s">
        <v>766</v>
      </c>
      <c r="E320" s="237">
        <v>205</v>
      </c>
      <c r="F320" s="242" t="s">
        <v>776</v>
      </c>
      <c r="G320" s="239" t="s">
        <v>929</v>
      </c>
      <c r="H320" s="240">
        <f t="shared" si="4"/>
        <v>87490</v>
      </c>
      <c r="I320" s="242" t="s">
        <v>33</v>
      </c>
    </row>
    <row r="321" spans="1:9" x14ac:dyDescent="0.25">
      <c r="A321" s="249">
        <v>45112</v>
      </c>
      <c r="B321" s="237">
        <v>12130</v>
      </c>
      <c r="C321" s="238" t="s">
        <v>322</v>
      </c>
      <c r="D321" s="239" t="s">
        <v>766</v>
      </c>
      <c r="E321" s="237">
        <v>70</v>
      </c>
      <c r="F321" s="242" t="s">
        <v>10</v>
      </c>
      <c r="G321" s="239" t="s">
        <v>930</v>
      </c>
      <c r="H321" s="240">
        <f t="shared" si="4"/>
        <v>99550</v>
      </c>
      <c r="I321" s="241" t="s">
        <v>773</v>
      </c>
    </row>
    <row r="322" spans="1:9" x14ac:dyDescent="0.25">
      <c r="A322" s="249">
        <v>45112</v>
      </c>
      <c r="B322" s="237">
        <v>405</v>
      </c>
      <c r="C322" s="238" t="s">
        <v>922</v>
      </c>
      <c r="D322" s="239" t="s">
        <v>768</v>
      </c>
      <c r="E322" s="237">
        <v>5940</v>
      </c>
      <c r="F322" s="242" t="s">
        <v>781</v>
      </c>
      <c r="G322" s="239" t="s">
        <v>928</v>
      </c>
      <c r="H322" s="240">
        <f t="shared" si="4"/>
        <v>94015</v>
      </c>
      <c r="I322" s="241"/>
    </row>
    <row r="323" spans="1:9" x14ac:dyDescent="0.25">
      <c r="A323" s="249">
        <v>45112</v>
      </c>
      <c r="B323" s="237">
        <v>1515</v>
      </c>
      <c r="C323" s="238" t="s">
        <v>27</v>
      </c>
      <c r="D323" s="239" t="s">
        <v>772</v>
      </c>
      <c r="E323" s="237">
        <v>410</v>
      </c>
      <c r="F323" s="242" t="s">
        <v>312</v>
      </c>
      <c r="G323" s="239" t="s">
        <v>935</v>
      </c>
      <c r="H323" s="240">
        <f t="shared" si="4"/>
        <v>95120</v>
      </c>
      <c r="I323" s="241" t="s">
        <v>796</v>
      </c>
    </row>
    <row r="324" spans="1:9" x14ac:dyDescent="0.25">
      <c r="A324" s="249">
        <v>45112</v>
      </c>
      <c r="B324" s="237">
        <v>13997</v>
      </c>
      <c r="C324" s="238" t="s">
        <v>80</v>
      </c>
      <c r="D324" s="239" t="s">
        <v>763</v>
      </c>
      <c r="E324" s="237">
        <v>860</v>
      </c>
      <c r="F324" s="242" t="s">
        <v>58</v>
      </c>
      <c r="G324" s="239" t="s">
        <v>928</v>
      </c>
      <c r="H324" s="240">
        <f t="shared" si="4"/>
        <v>108257</v>
      </c>
      <c r="I324" s="241"/>
    </row>
    <row r="325" spans="1:9" x14ac:dyDescent="0.25">
      <c r="A325" s="249">
        <v>45112</v>
      </c>
      <c r="B325" s="237">
        <v>1702</v>
      </c>
      <c r="C325" s="238" t="s">
        <v>81</v>
      </c>
      <c r="D325" s="239" t="s">
        <v>765</v>
      </c>
      <c r="E325" s="237">
        <v>830</v>
      </c>
      <c r="F325" s="242" t="s">
        <v>313</v>
      </c>
      <c r="G325" s="239" t="s">
        <v>928</v>
      </c>
      <c r="H325" s="240">
        <f t="shared" si="4"/>
        <v>109129</v>
      </c>
      <c r="I325" s="241"/>
    </row>
    <row r="326" spans="1:9" x14ac:dyDescent="0.25">
      <c r="A326" s="249">
        <v>45112</v>
      </c>
      <c r="B326" s="237">
        <v>580</v>
      </c>
      <c r="C326" s="238" t="s">
        <v>27</v>
      </c>
      <c r="D326" s="239" t="s">
        <v>772</v>
      </c>
      <c r="E326" s="237">
        <v>2520</v>
      </c>
      <c r="F326" s="242" t="s">
        <v>314</v>
      </c>
      <c r="G326" s="239" t="s">
        <v>928</v>
      </c>
      <c r="H326" s="240">
        <f t="shared" ref="H326:H389" si="5">H325+B326-E326</f>
        <v>107189</v>
      </c>
      <c r="I326" s="241"/>
    </row>
    <row r="327" spans="1:9" x14ac:dyDescent="0.25">
      <c r="A327" s="249">
        <v>45112</v>
      </c>
      <c r="B327" s="237">
        <v>14925</v>
      </c>
      <c r="C327" s="238" t="s">
        <v>343</v>
      </c>
      <c r="D327" s="239" t="s">
        <v>766</v>
      </c>
      <c r="E327" s="237">
        <v>10</v>
      </c>
      <c r="F327" s="242" t="s">
        <v>316</v>
      </c>
      <c r="G327" s="239" t="s">
        <v>464</v>
      </c>
      <c r="H327" s="240">
        <f t="shared" si="5"/>
        <v>122104</v>
      </c>
      <c r="I327" s="241"/>
    </row>
    <row r="328" spans="1:9" x14ac:dyDescent="0.25">
      <c r="A328" s="249">
        <v>45112</v>
      </c>
      <c r="B328" s="237">
        <v>310</v>
      </c>
      <c r="C328" s="238" t="s">
        <v>747</v>
      </c>
      <c r="D328" s="239" t="s">
        <v>768</v>
      </c>
      <c r="E328" s="237">
        <v>965</v>
      </c>
      <c r="F328" s="242" t="s">
        <v>68</v>
      </c>
      <c r="G328" s="239" t="s">
        <v>928</v>
      </c>
      <c r="H328" s="240">
        <f t="shared" si="5"/>
        <v>121449</v>
      </c>
      <c r="I328" s="241"/>
    </row>
    <row r="329" spans="1:9" x14ac:dyDescent="0.25">
      <c r="A329" s="249">
        <v>45112</v>
      </c>
      <c r="B329" s="237">
        <v>205</v>
      </c>
      <c r="C329" s="238" t="s">
        <v>27</v>
      </c>
      <c r="D329" s="239" t="s">
        <v>772</v>
      </c>
      <c r="E329" s="237">
        <v>2115</v>
      </c>
      <c r="F329" s="242" t="s">
        <v>17</v>
      </c>
      <c r="G329" s="239" t="s">
        <v>928</v>
      </c>
      <c r="H329" s="240">
        <f t="shared" si="5"/>
        <v>119539</v>
      </c>
      <c r="I329" s="241"/>
    </row>
    <row r="330" spans="1:9" x14ac:dyDescent="0.25">
      <c r="A330" s="249">
        <v>45112</v>
      </c>
      <c r="B330" s="237">
        <v>9100</v>
      </c>
      <c r="C330" s="238" t="s">
        <v>6</v>
      </c>
      <c r="D330" s="239" t="s">
        <v>766</v>
      </c>
      <c r="E330" s="237">
        <v>970</v>
      </c>
      <c r="F330" s="242" t="s">
        <v>317</v>
      </c>
      <c r="G330" s="239" t="s">
        <v>928</v>
      </c>
      <c r="H330" s="240">
        <f t="shared" si="5"/>
        <v>127669</v>
      </c>
      <c r="I330" s="241"/>
    </row>
    <row r="331" spans="1:9" x14ac:dyDescent="0.25">
      <c r="A331" s="249">
        <v>45112</v>
      </c>
      <c r="B331" s="237">
        <v>640</v>
      </c>
      <c r="C331" s="238" t="s">
        <v>93</v>
      </c>
      <c r="D331" s="239" t="s">
        <v>768</v>
      </c>
      <c r="E331" s="237">
        <v>2215</v>
      </c>
      <c r="F331" s="242" t="s">
        <v>320</v>
      </c>
      <c r="G331" s="239" t="s">
        <v>928</v>
      </c>
      <c r="H331" s="240">
        <f t="shared" si="5"/>
        <v>126094</v>
      </c>
      <c r="I331" s="241"/>
    </row>
    <row r="332" spans="1:9" x14ac:dyDescent="0.25">
      <c r="A332" s="249">
        <v>45112</v>
      </c>
      <c r="B332" s="237">
        <v>15</v>
      </c>
      <c r="C332" s="238" t="s">
        <v>348</v>
      </c>
      <c r="D332" s="239" t="s">
        <v>772</v>
      </c>
      <c r="E332" s="237">
        <v>7</v>
      </c>
      <c r="F332" s="243" t="s">
        <v>319</v>
      </c>
      <c r="G332" s="239" t="s">
        <v>464</v>
      </c>
      <c r="H332" s="240">
        <f t="shared" si="5"/>
        <v>126102</v>
      </c>
      <c r="I332" s="241"/>
    </row>
    <row r="333" spans="1:9" x14ac:dyDescent="0.25">
      <c r="A333" s="249">
        <v>45112</v>
      </c>
      <c r="B333" s="237">
        <v>14745</v>
      </c>
      <c r="C333" s="238" t="s">
        <v>349</v>
      </c>
      <c r="D333" s="239" t="s">
        <v>763</v>
      </c>
      <c r="E333" s="237">
        <v>6000</v>
      </c>
      <c r="F333" s="242" t="s">
        <v>505</v>
      </c>
      <c r="G333" s="239" t="s">
        <v>928</v>
      </c>
      <c r="H333" s="240">
        <f t="shared" si="5"/>
        <v>134847</v>
      </c>
      <c r="I333" s="241"/>
    </row>
    <row r="334" spans="1:9" x14ac:dyDescent="0.25">
      <c r="A334" s="249">
        <v>45112</v>
      </c>
      <c r="B334" s="237">
        <v>8897</v>
      </c>
      <c r="C334" s="238" t="s">
        <v>362</v>
      </c>
      <c r="D334" s="239" t="s">
        <v>763</v>
      </c>
      <c r="E334" s="237">
        <v>2830</v>
      </c>
      <c r="F334" s="242" t="s">
        <v>12</v>
      </c>
      <c r="G334" s="239" t="s">
        <v>974</v>
      </c>
      <c r="H334" s="240">
        <f t="shared" si="5"/>
        <v>140914</v>
      </c>
      <c r="I334" s="241" t="s">
        <v>824</v>
      </c>
    </row>
    <row r="335" spans="1:9" x14ac:dyDescent="0.25">
      <c r="A335" s="249">
        <v>45112</v>
      </c>
      <c r="B335" s="237">
        <v>705</v>
      </c>
      <c r="C335" s="238" t="s">
        <v>27</v>
      </c>
      <c r="D335" s="239" t="s">
        <v>772</v>
      </c>
      <c r="E335" s="237">
        <v>3200</v>
      </c>
      <c r="F335" s="242" t="s">
        <v>66</v>
      </c>
      <c r="G335" s="239" t="s">
        <v>928</v>
      </c>
      <c r="H335" s="240">
        <f t="shared" si="5"/>
        <v>138419</v>
      </c>
      <c r="I335" s="241"/>
    </row>
    <row r="336" spans="1:9" x14ac:dyDescent="0.25">
      <c r="A336" s="249">
        <v>45112</v>
      </c>
      <c r="B336" s="237">
        <v>100</v>
      </c>
      <c r="C336" s="238" t="s">
        <v>351</v>
      </c>
      <c r="D336" s="239" t="s">
        <v>937</v>
      </c>
      <c r="E336" s="237">
        <v>50</v>
      </c>
      <c r="F336" s="242" t="s">
        <v>822</v>
      </c>
      <c r="G336" s="239" t="s">
        <v>931</v>
      </c>
      <c r="H336" s="240">
        <f t="shared" si="5"/>
        <v>138469</v>
      </c>
      <c r="I336" s="241"/>
    </row>
    <row r="337" spans="1:9" x14ac:dyDescent="0.25">
      <c r="A337" s="249">
        <v>45112</v>
      </c>
      <c r="B337" s="237">
        <v>15772</v>
      </c>
      <c r="C337" s="238" t="s">
        <v>15</v>
      </c>
      <c r="D337" s="239" t="s">
        <v>766</v>
      </c>
      <c r="E337" s="237">
        <v>100</v>
      </c>
      <c r="F337" s="242" t="s">
        <v>195</v>
      </c>
      <c r="G337" s="239" t="s">
        <v>930</v>
      </c>
      <c r="H337" s="240">
        <f t="shared" si="5"/>
        <v>154141</v>
      </c>
      <c r="I337" s="241" t="s">
        <v>825</v>
      </c>
    </row>
    <row r="338" spans="1:9" x14ac:dyDescent="0.25">
      <c r="A338" s="249">
        <v>45112</v>
      </c>
      <c r="B338" s="237">
        <v>354</v>
      </c>
      <c r="C338" s="238" t="s">
        <v>90</v>
      </c>
      <c r="D338" s="239" t="s">
        <v>768</v>
      </c>
      <c r="E338" s="237">
        <v>900</v>
      </c>
      <c r="F338" s="242" t="s">
        <v>325</v>
      </c>
      <c r="G338" s="239" t="s">
        <v>464</v>
      </c>
      <c r="H338" s="240">
        <f t="shared" si="5"/>
        <v>153595</v>
      </c>
      <c r="I338" s="241"/>
    </row>
    <row r="339" spans="1:9" x14ac:dyDescent="0.25">
      <c r="A339" s="249">
        <v>45112</v>
      </c>
      <c r="B339" s="237">
        <v>2220</v>
      </c>
      <c r="C339" s="238" t="s">
        <v>374</v>
      </c>
      <c r="D339" s="239" t="s">
        <v>765</v>
      </c>
      <c r="E339" s="237">
        <v>4500</v>
      </c>
      <c r="F339" s="242" t="s">
        <v>326</v>
      </c>
      <c r="G339" s="239" t="s">
        <v>928</v>
      </c>
      <c r="H339" s="240">
        <f t="shared" si="5"/>
        <v>151315</v>
      </c>
      <c r="I339" s="241"/>
    </row>
    <row r="340" spans="1:9" x14ac:dyDescent="0.25">
      <c r="A340" s="249">
        <v>45112</v>
      </c>
      <c r="B340" s="237">
        <v>50</v>
      </c>
      <c r="C340" s="261" t="s">
        <v>375</v>
      </c>
      <c r="D340" s="239"/>
      <c r="E340" s="237">
        <v>175</v>
      </c>
      <c r="F340" s="242" t="s">
        <v>498</v>
      </c>
      <c r="G340" s="239" t="s">
        <v>930</v>
      </c>
      <c r="H340" s="240">
        <f t="shared" si="5"/>
        <v>151190</v>
      </c>
      <c r="I340" s="241"/>
    </row>
    <row r="341" spans="1:9" x14ac:dyDescent="0.25">
      <c r="A341" s="249">
        <v>45112</v>
      </c>
      <c r="B341" s="237">
        <v>20</v>
      </c>
      <c r="C341" s="238" t="s">
        <v>35</v>
      </c>
      <c r="D341" s="239" t="s">
        <v>937</v>
      </c>
      <c r="E341" s="237">
        <v>115</v>
      </c>
      <c r="F341" s="242" t="s">
        <v>32</v>
      </c>
      <c r="G341" s="239" t="s">
        <v>930</v>
      </c>
      <c r="H341" s="240">
        <f t="shared" si="5"/>
        <v>151095</v>
      </c>
      <c r="I341" s="241" t="s">
        <v>347</v>
      </c>
    </row>
    <row r="342" spans="1:9" x14ac:dyDescent="0.25">
      <c r="A342" s="249">
        <v>45112</v>
      </c>
      <c r="B342" s="237">
        <v>11995</v>
      </c>
      <c r="C342" s="238" t="s">
        <v>85</v>
      </c>
      <c r="D342" s="239" t="s">
        <v>766</v>
      </c>
      <c r="E342" s="237">
        <v>155</v>
      </c>
      <c r="F342" s="242" t="s">
        <v>92</v>
      </c>
      <c r="G342" s="239" t="s">
        <v>930</v>
      </c>
      <c r="H342" s="240">
        <f t="shared" si="5"/>
        <v>162935</v>
      </c>
      <c r="I342" s="241" t="s">
        <v>347</v>
      </c>
    </row>
    <row r="343" spans="1:9" x14ac:dyDescent="0.25">
      <c r="A343" s="249">
        <v>45112</v>
      </c>
      <c r="B343" s="237">
        <v>245</v>
      </c>
      <c r="C343" s="261" t="s">
        <v>391</v>
      </c>
      <c r="D343" s="239"/>
      <c r="E343" s="237">
        <v>350</v>
      </c>
      <c r="F343" s="242" t="s">
        <v>329</v>
      </c>
      <c r="G343" s="239" t="s">
        <v>930</v>
      </c>
      <c r="H343" s="240">
        <f t="shared" si="5"/>
        <v>162830</v>
      </c>
      <c r="I343" s="241"/>
    </row>
    <row r="344" spans="1:9" x14ac:dyDescent="0.25">
      <c r="A344" s="249">
        <v>45112</v>
      </c>
      <c r="B344" s="237"/>
      <c r="C344" s="238"/>
      <c r="D344" s="239"/>
      <c r="E344" s="237">
        <v>1500</v>
      </c>
      <c r="F344" s="242" t="s">
        <v>826</v>
      </c>
      <c r="G344" s="239" t="s">
        <v>928</v>
      </c>
      <c r="H344" s="240">
        <f t="shared" si="5"/>
        <v>161330</v>
      </c>
      <c r="I344" s="241"/>
    </row>
    <row r="345" spans="1:9" x14ac:dyDescent="0.25">
      <c r="A345" s="249">
        <v>45112</v>
      </c>
      <c r="B345" s="237"/>
      <c r="C345" s="238"/>
      <c r="D345" s="239"/>
      <c r="E345" s="237">
        <v>1400</v>
      </c>
      <c r="F345" s="242" t="s">
        <v>79</v>
      </c>
      <c r="G345" s="239" t="s">
        <v>929</v>
      </c>
      <c r="H345" s="240">
        <f t="shared" si="5"/>
        <v>159930</v>
      </c>
      <c r="I345" s="241" t="s">
        <v>827</v>
      </c>
    </row>
    <row r="346" spans="1:9" x14ac:dyDescent="0.25">
      <c r="A346" s="249">
        <v>45112</v>
      </c>
      <c r="B346" s="237"/>
      <c r="C346" s="238"/>
      <c r="D346" s="239"/>
      <c r="E346" s="237">
        <v>1687</v>
      </c>
      <c r="F346" s="242" t="s">
        <v>505</v>
      </c>
      <c r="G346" s="239" t="s">
        <v>928</v>
      </c>
      <c r="H346" s="240">
        <f t="shared" si="5"/>
        <v>158243</v>
      </c>
      <c r="I346" s="241" t="s">
        <v>828</v>
      </c>
    </row>
    <row r="347" spans="1:9" x14ac:dyDescent="0.25">
      <c r="A347" s="249">
        <v>45112</v>
      </c>
      <c r="B347" s="237"/>
      <c r="C347" s="238"/>
      <c r="D347" s="239"/>
      <c r="E347" s="237">
        <v>500</v>
      </c>
      <c r="F347" s="242" t="s">
        <v>220</v>
      </c>
      <c r="G347" s="239" t="s">
        <v>928</v>
      </c>
      <c r="H347" s="240">
        <f t="shared" si="5"/>
        <v>157743</v>
      </c>
      <c r="I347" s="241" t="s">
        <v>794</v>
      </c>
    </row>
    <row r="348" spans="1:9" x14ac:dyDescent="0.25">
      <c r="A348" s="249">
        <v>45112</v>
      </c>
      <c r="B348" s="237"/>
      <c r="C348" s="238"/>
      <c r="D348" s="239"/>
      <c r="E348" s="237">
        <v>68</v>
      </c>
      <c r="F348" s="242" t="s">
        <v>335</v>
      </c>
      <c r="G348" s="239" t="s">
        <v>945</v>
      </c>
      <c r="H348" s="240">
        <f t="shared" si="5"/>
        <v>157675</v>
      </c>
      <c r="I348" s="241" t="s">
        <v>829</v>
      </c>
    </row>
    <row r="349" spans="1:9" x14ac:dyDescent="0.25">
      <c r="A349" s="249">
        <v>45112</v>
      </c>
      <c r="B349" s="237"/>
      <c r="C349" s="238"/>
      <c r="D349" s="239"/>
      <c r="E349" s="237">
        <v>784</v>
      </c>
      <c r="F349" s="242" t="s">
        <v>505</v>
      </c>
      <c r="G349" s="239" t="s">
        <v>928</v>
      </c>
      <c r="H349" s="240">
        <f t="shared" si="5"/>
        <v>156891</v>
      </c>
      <c r="I349" s="241"/>
    </row>
    <row r="350" spans="1:9" x14ac:dyDescent="0.25">
      <c r="A350" s="249">
        <v>45112</v>
      </c>
      <c r="B350" s="237"/>
      <c r="C350" s="238"/>
      <c r="D350" s="239"/>
      <c r="E350" s="237">
        <v>690</v>
      </c>
      <c r="F350" s="242" t="s">
        <v>56</v>
      </c>
      <c r="G350" s="239" t="s">
        <v>928</v>
      </c>
      <c r="H350" s="240">
        <f t="shared" si="5"/>
        <v>156201</v>
      </c>
      <c r="I350" s="241" t="s">
        <v>828</v>
      </c>
    </row>
    <row r="351" spans="1:9" x14ac:dyDescent="0.25">
      <c r="A351" s="249">
        <v>45112</v>
      </c>
      <c r="B351" s="237"/>
      <c r="C351" s="238"/>
      <c r="D351" s="239"/>
      <c r="E351" s="237">
        <v>8070</v>
      </c>
      <c r="F351" s="242" t="s">
        <v>336</v>
      </c>
      <c r="G351" s="239" t="s">
        <v>928</v>
      </c>
      <c r="H351" s="240">
        <f t="shared" si="5"/>
        <v>148131</v>
      </c>
      <c r="I351" s="241" t="s">
        <v>830</v>
      </c>
    </row>
    <row r="352" spans="1:9" x14ac:dyDescent="0.25">
      <c r="A352" s="249">
        <v>45112</v>
      </c>
      <c r="B352" s="237"/>
      <c r="C352" s="238"/>
      <c r="D352" s="239"/>
      <c r="E352" s="237">
        <v>120</v>
      </c>
      <c r="F352" s="242" t="s">
        <v>38</v>
      </c>
      <c r="G352" s="239" t="s">
        <v>930</v>
      </c>
      <c r="H352" s="240">
        <f t="shared" si="5"/>
        <v>148011</v>
      </c>
      <c r="I352" s="241"/>
    </row>
    <row r="353" spans="1:9" x14ac:dyDescent="0.25">
      <c r="A353" s="249">
        <v>45112</v>
      </c>
      <c r="B353" s="237"/>
      <c r="C353" s="238"/>
      <c r="D353" s="239"/>
      <c r="E353" s="237">
        <v>50</v>
      </c>
      <c r="F353" s="242" t="s">
        <v>13</v>
      </c>
      <c r="G353" s="239" t="s">
        <v>930</v>
      </c>
      <c r="H353" s="240">
        <f t="shared" si="5"/>
        <v>147961</v>
      </c>
      <c r="I353" s="241"/>
    </row>
    <row r="354" spans="1:9" x14ac:dyDescent="0.25">
      <c r="A354" s="249">
        <v>45112</v>
      </c>
      <c r="B354" s="237"/>
      <c r="C354" s="238"/>
      <c r="D354" s="239"/>
      <c r="E354" s="237">
        <v>6340</v>
      </c>
      <c r="F354" s="242" t="s">
        <v>74</v>
      </c>
      <c r="G354" s="239" t="s">
        <v>928</v>
      </c>
      <c r="H354" s="240">
        <f t="shared" si="5"/>
        <v>141621</v>
      </c>
      <c r="I354" s="241"/>
    </row>
    <row r="355" spans="1:9" x14ac:dyDescent="0.25">
      <c r="A355" s="249">
        <v>45112</v>
      </c>
      <c r="B355" s="237"/>
      <c r="C355" s="238"/>
      <c r="D355" s="239"/>
      <c r="E355" s="237">
        <v>1000</v>
      </c>
      <c r="F355" s="242" t="s">
        <v>737</v>
      </c>
      <c r="G355" s="239" t="s">
        <v>928</v>
      </c>
      <c r="H355" s="240">
        <f t="shared" si="5"/>
        <v>140621</v>
      </c>
      <c r="I355" s="241" t="s">
        <v>831</v>
      </c>
    </row>
    <row r="356" spans="1:9" x14ac:dyDescent="0.25">
      <c r="A356" s="249">
        <v>45112</v>
      </c>
      <c r="B356" s="237"/>
      <c r="C356" s="238"/>
      <c r="D356" s="239"/>
      <c r="E356" s="237">
        <v>195</v>
      </c>
      <c r="F356" s="242" t="s">
        <v>210</v>
      </c>
      <c r="G356" s="239" t="s">
        <v>930</v>
      </c>
      <c r="H356" s="240">
        <f t="shared" si="5"/>
        <v>140426</v>
      </c>
      <c r="I356" s="241" t="s">
        <v>791</v>
      </c>
    </row>
    <row r="357" spans="1:9" x14ac:dyDescent="0.25">
      <c r="A357" s="249">
        <v>45112</v>
      </c>
      <c r="B357" s="237"/>
      <c r="C357" s="238"/>
      <c r="D357" s="239"/>
      <c r="E357" s="237">
        <v>100</v>
      </c>
      <c r="F357" s="242" t="s">
        <v>9</v>
      </c>
      <c r="G357" s="239" t="s">
        <v>930</v>
      </c>
      <c r="H357" s="240">
        <f t="shared" si="5"/>
        <v>140326</v>
      </c>
      <c r="I357" s="241"/>
    </row>
    <row r="358" spans="1:9" x14ac:dyDescent="0.25">
      <c r="A358" s="249">
        <v>45112</v>
      </c>
      <c r="B358" s="237"/>
      <c r="C358" s="238"/>
      <c r="D358" s="239"/>
      <c r="E358" s="237">
        <v>100</v>
      </c>
      <c r="F358" s="242" t="s">
        <v>341</v>
      </c>
      <c r="G358" s="239" t="s">
        <v>930</v>
      </c>
      <c r="H358" s="240">
        <f t="shared" si="5"/>
        <v>140226</v>
      </c>
      <c r="I358" s="241"/>
    </row>
    <row r="359" spans="1:9" x14ac:dyDescent="0.25">
      <c r="A359" s="249">
        <v>45112</v>
      </c>
      <c r="B359" s="237"/>
      <c r="C359" s="238"/>
      <c r="D359" s="239"/>
      <c r="E359" s="237">
        <v>60</v>
      </c>
      <c r="F359" s="242" t="s">
        <v>212</v>
      </c>
      <c r="G359" s="239" t="s">
        <v>464</v>
      </c>
      <c r="H359" s="240">
        <f t="shared" si="5"/>
        <v>140166</v>
      </c>
      <c r="I359" s="241"/>
    </row>
    <row r="360" spans="1:9" x14ac:dyDescent="0.25">
      <c r="A360" s="249">
        <v>45112</v>
      </c>
      <c r="B360" s="237"/>
      <c r="C360" s="238"/>
      <c r="D360" s="239"/>
      <c r="E360" s="237">
        <v>12000</v>
      </c>
      <c r="F360" s="242" t="s">
        <v>358</v>
      </c>
      <c r="G360" s="239" t="s">
        <v>938</v>
      </c>
      <c r="H360" s="240">
        <f t="shared" si="5"/>
        <v>128166</v>
      </c>
      <c r="I360" s="241"/>
    </row>
    <row r="361" spans="1:9" x14ac:dyDescent="0.25">
      <c r="A361" s="249">
        <v>45112</v>
      </c>
      <c r="B361" s="237"/>
      <c r="C361" s="238"/>
      <c r="D361" s="239"/>
      <c r="E361" s="237">
        <v>135</v>
      </c>
      <c r="F361" s="242" t="s">
        <v>255</v>
      </c>
      <c r="G361" s="239" t="s">
        <v>930</v>
      </c>
      <c r="H361" s="240">
        <f t="shared" si="5"/>
        <v>128031</v>
      </c>
      <c r="I361" s="241" t="s">
        <v>832</v>
      </c>
    </row>
    <row r="362" spans="1:9" x14ac:dyDescent="0.25">
      <c r="A362" s="249">
        <v>45112</v>
      </c>
      <c r="B362" s="237"/>
      <c r="C362" s="238"/>
      <c r="D362" s="239"/>
      <c r="E362" s="237">
        <v>125</v>
      </c>
      <c r="F362" s="242" t="s">
        <v>7</v>
      </c>
      <c r="G362" s="239" t="s">
        <v>930</v>
      </c>
      <c r="H362" s="240">
        <f t="shared" si="5"/>
        <v>127906</v>
      </c>
      <c r="I362" s="241"/>
    </row>
    <row r="363" spans="1:9" x14ac:dyDescent="0.25">
      <c r="A363" s="249">
        <v>45112</v>
      </c>
      <c r="B363" s="237"/>
      <c r="C363" s="238"/>
      <c r="D363" s="239"/>
      <c r="E363" s="237">
        <v>120</v>
      </c>
      <c r="F363" s="242" t="s">
        <v>89</v>
      </c>
      <c r="G363" s="239" t="s">
        <v>930</v>
      </c>
      <c r="H363" s="240">
        <f t="shared" si="5"/>
        <v>127786</v>
      </c>
      <c r="I363" s="241"/>
    </row>
    <row r="364" spans="1:9" x14ac:dyDescent="0.25">
      <c r="A364" s="249">
        <v>45112</v>
      </c>
      <c r="B364" s="237"/>
      <c r="C364" s="238"/>
      <c r="D364" s="239"/>
      <c r="E364" s="237">
        <v>350</v>
      </c>
      <c r="F364" s="242" t="s">
        <v>11</v>
      </c>
      <c r="G364" s="239" t="s">
        <v>935</v>
      </c>
      <c r="H364" s="240">
        <f t="shared" si="5"/>
        <v>127436</v>
      </c>
      <c r="I364" s="241"/>
    </row>
    <row r="365" spans="1:9" x14ac:dyDescent="0.25">
      <c r="A365" s="249">
        <v>45112</v>
      </c>
      <c r="B365" s="237"/>
      <c r="C365" s="238"/>
      <c r="D365" s="239"/>
      <c r="E365" s="237">
        <v>240</v>
      </c>
      <c r="F365" s="242" t="s">
        <v>339</v>
      </c>
      <c r="G365" s="239" t="s">
        <v>935</v>
      </c>
      <c r="H365" s="240">
        <f t="shared" si="5"/>
        <v>127196</v>
      </c>
      <c r="I365" s="241"/>
    </row>
    <row r="366" spans="1:9" x14ac:dyDescent="0.25">
      <c r="A366" s="249">
        <v>45112</v>
      </c>
      <c r="B366" s="237"/>
      <c r="C366" s="238"/>
      <c r="D366" s="239"/>
      <c r="E366" s="237">
        <v>210</v>
      </c>
      <c r="F366" s="242" t="s">
        <v>265</v>
      </c>
      <c r="G366" s="239" t="s">
        <v>935</v>
      </c>
      <c r="H366" s="240">
        <f t="shared" si="5"/>
        <v>126986</v>
      </c>
      <c r="I366" s="241"/>
    </row>
    <row r="367" spans="1:9" x14ac:dyDescent="0.25">
      <c r="A367" s="249">
        <v>45112</v>
      </c>
      <c r="B367" s="237"/>
      <c r="C367" s="238"/>
      <c r="D367" s="239"/>
      <c r="E367" s="237">
        <v>2890</v>
      </c>
      <c r="F367" s="242" t="s">
        <v>345</v>
      </c>
      <c r="G367" s="239" t="s">
        <v>928</v>
      </c>
      <c r="H367" s="240">
        <f t="shared" si="5"/>
        <v>124096</v>
      </c>
      <c r="I367" s="241" t="s">
        <v>830</v>
      </c>
    </row>
    <row r="368" spans="1:9" x14ac:dyDescent="0.25">
      <c r="A368" s="249">
        <v>45112</v>
      </c>
      <c r="B368" s="237"/>
      <c r="C368" s="238"/>
      <c r="D368" s="239"/>
      <c r="E368" s="237">
        <v>35</v>
      </c>
      <c r="F368" s="242" t="s">
        <v>119</v>
      </c>
      <c r="G368" s="239" t="s">
        <v>464</v>
      </c>
      <c r="H368" s="240">
        <f t="shared" si="5"/>
        <v>124061</v>
      </c>
      <c r="I368" s="241"/>
    </row>
    <row r="369" spans="1:9" x14ac:dyDescent="0.25">
      <c r="A369" s="249">
        <v>45112</v>
      </c>
      <c r="B369" s="237"/>
      <c r="C369" s="238"/>
      <c r="D369" s="239"/>
      <c r="E369" s="237">
        <v>40</v>
      </c>
      <c r="F369" s="242" t="s">
        <v>776</v>
      </c>
      <c r="G369" s="239" t="s">
        <v>930</v>
      </c>
      <c r="H369" s="240">
        <f t="shared" si="5"/>
        <v>124021</v>
      </c>
      <c r="I369" s="241"/>
    </row>
    <row r="370" spans="1:9" x14ac:dyDescent="0.25">
      <c r="A370" s="249">
        <v>45112</v>
      </c>
      <c r="B370" s="237"/>
      <c r="C370" s="238"/>
      <c r="D370" s="239"/>
      <c r="E370" s="237">
        <v>45240</v>
      </c>
      <c r="F370" s="242" t="s">
        <v>346</v>
      </c>
      <c r="G370" s="239" t="s">
        <v>928</v>
      </c>
      <c r="H370" s="240">
        <f t="shared" si="5"/>
        <v>78781</v>
      </c>
      <c r="I370" s="241" t="s">
        <v>773</v>
      </c>
    </row>
    <row r="371" spans="1:9" x14ac:dyDescent="0.25">
      <c r="A371" s="249">
        <v>45112</v>
      </c>
      <c r="B371" s="237"/>
      <c r="C371" s="238"/>
      <c r="D371" s="239"/>
      <c r="E371" s="237">
        <v>4810</v>
      </c>
      <c r="F371" s="242" t="s">
        <v>16</v>
      </c>
      <c r="G371" s="239" t="s">
        <v>936</v>
      </c>
      <c r="H371" s="240">
        <f t="shared" si="5"/>
        <v>73971</v>
      </c>
      <c r="I371" s="241"/>
    </row>
    <row r="372" spans="1:9" x14ac:dyDescent="0.25">
      <c r="A372" s="249">
        <v>45112</v>
      </c>
      <c r="B372" s="237"/>
      <c r="C372" s="238"/>
      <c r="D372" s="239"/>
      <c r="E372" s="237">
        <v>25000</v>
      </c>
      <c r="F372" s="242" t="s">
        <v>352</v>
      </c>
      <c r="G372" s="239" t="s">
        <v>928</v>
      </c>
      <c r="H372" s="240">
        <f t="shared" si="5"/>
        <v>48971</v>
      </c>
      <c r="I372" s="241"/>
    </row>
    <row r="373" spans="1:9" x14ac:dyDescent="0.25">
      <c r="A373" s="249">
        <v>45112</v>
      </c>
      <c r="B373" s="237"/>
      <c r="C373" s="238"/>
      <c r="D373" s="239"/>
      <c r="E373" s="237">
        <v>95</v>
      </c>
      <c r="F373" s="242" t="s">
        <v>353</v>
      </c>
      <c r="G373" s="239" t="s">
        <v>929</v>
      </c>
      <c r="H373" s="240">
        <f t="shared" si="5"/>
        <v>48876</v>
      </c>
      <c r="I373" s="241"/>
    </row>
    <row r="374" spans="1:9" x14ac:dyDescent="0.25">
      <c r="A374" s="249">
        <v>45112</v>
      </c>
      <c r="B374" s="237"/>
      <c r="C374" s="238"/>
      <c r="D374" s="239"/>
      <c r="E374" s="237">
        <v>480</v>
      </c>
      <c r="F374" s="242" t="s">
        <v>29</v>
      </c>
      <c r="G374" s="239" t="s">
        <v>930</v>
      </c>
      <c r="H374" s="240">
        <f t="shared" si="5"/>
        <v>48396</v>
      </c>
      <c r="I374" s="241"/>
    </row>
    <row r="375" spans="1:9" x14ac:dyDescent="0.25">
      <c r="A375" s="249">
        <v>45112</v>
      </c>
      <c r="B375" s="237"/>
      <c r="C375" s="238"/>
      <c r="D375" s="239"/>
      <c r="E375" s="237">
        <v>1170</v>
      </c>
      <c r="F375" s="242" t="s">
        <v>14</v>
      </c>
      <c r="G375" s="239" t="s">
        <v>935</v>
      </c>
      <c r="H375" s="240">
        <f t="shared" si="5"/>
        <v>47226</v>
      </c>
      <c r="I375" s="241"/>
    </row>
    <row r="376" spans="1:9" x14ac:dyDescent="0.25">
      <c r="A376" s="249">
        <v>45112</v>
      </c>
      <c r="B376" s="237"/>
      <c r="C376" s="238"/>
      <c r="D376" s="239"/>
      <c r="E376" s="237">
        <v>155</v>
      </c>
      <c r="F376" s="242" t="s">
        <v>92</v>
      </c>
      <c r="G376" s="239" t="s">
        <v>930</v>
      </c>
      <c r="H376" s="240">
        <f t="shared" si="5"/>
        <v>47071</v>
      </c>
      <c r="I376" s="241"/>
    </row>
    <row r="377" spans="1:9" x14ac:dyDescent="0.25">
      <c r="A377" s="249">
        <v>45112</v>
      </c>
      <c r="B377" s="237"/>
      <c r="C377" s="238"/>
      <c r="D377" s="239"/>
      <c r="E377" s="237">
        <v>17</v>
      </c>
      <c r="F377" s="242" t="s">
        <v>105</v>
      </c>
      <c r="G377" s="239" t="s">
        <v>464</v>
      </c>
      <c r="H377" s="240">
        <f t="shared" si="5"/>
        <v>47054</v>
      </c>
      <c r="I377" s="241"/>
    </row>
    <row r="378" spans="1:9" x14ac:dyDescent="0.25">
      <c r="A378" s="249">
        <v>45112</v>
      </c>
      <c r="B378" s="237"/>
      <c r="C378" s="238"/>
      <c r="D378" s="239"/>
      <c r="E378" s="237">
        <v>520</v>
      </c>
      <c r="F378" s="242" t="s">
        <v>356</v>
      </c>
      <c r="G378" s="239" t="s">
        <v>928</v>
      </c>
      <c r="H378" s="240">
        <f t="shared" si="5"/>
        <v>46534</v>
      </c>
      <c r="I378" s="241"/>
    </row>
    <row r="379" spans="1:9" x14ac:dyDescent="0.25">
      <c r="A379" s="249">
        <v>45112</v>
      </c>
      <c r="B379" s="237"/>
      <c r="C379" s="238"/>
      <c r="D379" s="239"/>
      <c r="E379" s="237">
        <v>360</v>
      </c>
      <c r="F379" s="242" t="s">
        <v>339</v>
      </c>
      <c r="G379" s="239" t="s">
        <v>935</v>
      </c>
      <c r="H379" s="240">
        <f t="shared" si="5"/>
        <v>46174</v>
      </c>
      <c r="I379" s="241"/>
    </row>
    <row r="380" spans="1:9" x14ac:dyDescent="0.25">
      <c r="A380" s="249">
        <v>45112</v>
      </c>
      <c r="B380" s="237"/>
      <c r="C380" s="238"/>
      <c r="D380" s="239"/>
      <c r="E380" s="237">
        <v>100</v>
      </c>
      <c r="F380" s="242" t="s">
        <v>87</v>
      </c>
      <c r="G380" s="239" t="s">
        <v>930</v>
      </c>
      <c r="H380" s="240">
        <f t="shared" si="5"/>
        <v>46074</v>
      </c>
      <c r="I380" s="241"/>
    </row>
    <row r="381" spans="1:9" x14ac:dyDescent="0.25">
      <c r="A381" s="249">
        <v>45112</v>
      </c>
      <c r="B381" s="237"/>
      <c r="C381" s="238"/>
      <c r="D381" s="239"/>
      <c r="E381" s="237">
        <v>180</v>
      </c>
      <c r="F381" s="242" t="s">
        <v>86</v>
      </c>
      <c r="G381" s="239" t="s">
        <v>930</v>
      </c>
      <c r="H381" s="240">
        <f t="shared" si="5"/>
        <v>45894</v>
      </c>
      <c r="I381" s="241"/>
    </row>
    <row r="382" spans="1:9" x14ac:dyDescent="0.25">
      <c r="A382" s="249">
        <v>45112</v>
      </c>
      <c r="B382" s="237"/>
      <c r="C382" s="238"/>
      <c r="D382" s="239"/>
      <c r="E382" s="237">
        <v>175</v>
      </c>
      <c r="F382" s="242" t="s">
        <v>498</v>
      </c>
      <c r="G382" s="239" t="s">
        <v>930</v>
      </c>
      <c r="H382" s="240">
        <f t="shared" si="5"/>
        <v>45719</v>
      </c>
      <c r="I382" s="241" t="s">
        <v>347</v>
      </c>
    </row>
    <row r="383" spans="1:9" x14ac:dyDescent="0.25">
      <c r="A383" s="249">
        <v>45112</v>
      </c>
      <c r="B383" s="237"/>
      <c r="C383" s="238"/>
      <c r="D383" s="239"/>
      <c r="E383" s="237">
        <v>2080</v>
      </c>
      <c r="F383" s="242" t="s">
        <v>833</v>
      </c>
      <c r="G383" s="239" t="s">
        <v>930</v>
      </c>
      <c r="H383" s="240">
        <f t="shared" si="5"/>
        <v>43639</v>
      </c>
      <c r="I383" s="241" t="s">
        <v>347</v>
      </c>
    </row>
    <row r="384" spans="1:9" x14ac:dyDescent="0.25">
      <c r="A384" s="249">
        <v>45112</v>
      </c>
      <c r="B384" s="237"/>
      <c r="C384" s="238"/>
      <c r="D384" s="239"/>
      <c r="E384" s="237">
        <v>5480</v>
      </c>
      <c r="F384" s="242" t="s">
        <v>361</v>
      </c>
      <c r="G384" s="239" t="s">
        <v>928</v>
      </c>
      <c r="H384" s="240">
        <f t="shared" si="5"/>
        <v>38159</v>
      </c>
      <c r="I384" s="241" t="s">
        <v>834</v>
      </c>
    </row>
    <row r="385" spans="1:9" x14ac:dyDescent="0.25">
      <c r="A385" s="249">
        <v>45112</v>
      </c>
      <c r="B385" s="237"/>
      <c r="C385" s="238"/>
      <c r="D385" s="239"/>
      <c r="E385" s="237">
        <v>90</v>
      </c>
      <c r="F385" s="242" t="s">
        <v>223</v>
      </c>
      <c r="G385" s="239" t="s">
        <v>930</v>
      </c>
      <c r="H385" s="240">
        <f t="shared" si="5"/>
        <v>38069</v>
      </c>
      <c r="I385" s="241"/>
    </row>
    <row r="386" spans="1:9" x14ac:dyDescent="0.25">
      <c r="A386" s="249">
        <v>45112</v>
      </c>
      <c r="B386" s="237"/>
      <c r="C386" s="238"/>
      <c r="D386" s="239"/>
      <c r="E386" s="237">
        <v>4000</v>
      </c>
      <c r="F386" s="242" t="s">
        <v>364</v>
      </c>
      <c r="G386" s="239" t="s">
        <v>928</v>
      </c>
      <c r="H386" s="240">
        <f t="shared" si="5"/>
        <v>34069</v>
      </c>
      <c r="I386" s="241"/>
    </row>
    <row r="387" spans="1:9" x14ac:dyDescent="0.25">
      <c r="A387" s="249">
        <v>45112</v>
      </c>
      <c r="B387" s="237"/>
      <c r="C387" s="238"/>
      <c r="D387" s="239"/>
      <c r="E387" s="237">
        <v>80</v>
      </c>
      <c r="F387" s="242" t="s">
        <v>82</v>
      </c>
      <c r="G387" s="239" t="s">
        <v>930</v>
      </c>
      <c r="H387" s="240">
        <f t="shared" si="5"/>
        <v>33989</v>
      </c>
      <c r="I387" s="241"/>
    </row>
    <row r="388" spans="1:9" x14ac:dyDescent="0.25">
      <c r="A388" s="249">
        <v>45112</v>
      </c>
      <c r="B388" s="237"/>
      <c r="C388" s="238"/>
      <c r="D388" s="239"/>
      <c r="E388" s="237">
        <v>75</v>
      </c>
      <c r="F388" s="242" t="s">
        <v>464</v>
      </c>
      <c r="G388" s="239" t="s">
        <v>464</v>
      </c>
      <c r="H388" s="240">
        <f t="shared" si="5"/>
        <v>33914</v>
      </c>
      <c r="I388" s="241"/>
    </row>
    <row r="389" spans="1:9" x14ac:dyDescent="0.25">
      <c r="A389" s="249">
        <v>45112</v>
      </c>
      <c r="B389" s="237"/>
      <c r="C389" s="238"/>
      <c r="D389" s="239"/>
      <c r="E389" s="237">
        <v>1500</v>
      </c>
      <c r="F389" s="242" t="s">
        <v>27</v>
      </c>
      <c r="G389" s="239" t="s">
        <v>943</v>
      </c>
      <c r="H389" s="240">
        <f t="shared" si="5"/>
        <v>32414</v>
      </c>
      <c r="I389" s="242" t="s">
        <v>366</v>
      </c>
    </row>
    <row r="390" spans="1:9" x14ac:dyDescent="0.25">
      <c r="A390" s="249">
        <v>45112</v>
      </c>
      <c r="B390" s="237"/>
      <c r="C390" s="238"/>
      <c r="D390" s="239"/>
      <c r="E390" s="237">
        <v>20</v>
      </c>
      <c r="F390" s="242" t="s">
        <v>370</v>
      </c>
      <c r="G390" s="239" t="s">
        <v>930</v>
      </c>
      <c r="H390" s="240">
        <f t="shared" ref="H390:H453" si="6">H389+B390-E390</f>
        <v>32394</v>
      </c>
      <c r="I390" s="241"/>
    </row>
    <row r="391" spans="1:9" x14ac:dyDescent="0.25">
      <c r="A391" s="249">
        <v>45112</v>
      </c>
      <c r="B391" s="237"/>
      <c r="C391" s="238"/>
      <c r="D391" s="239"/>
      <c r="E391" s="237">
        <v>3350</v>
      </c>
      <c r="F391" s="242" t="s">
        <v>371</v>
      </c>
      <c r="G391" s="239" t="s">
        <v>928</v>
      </c>
      <c r="H391" s="240">
        <f t="shared" si="6"/>
        <v>29044</v>
      </c>
      <c r="I391" s="241"/>
    </row>
    <row r="392" spans="1:9" x14ac:dyDescent="0.25">
      <c r="A392" s="249">
        <v>45112</v>
      </c>
      <c r="B392" s="237"/>
      <c r="C392" s="238"/>
      <c r="D392" s="239"/>
      <c r="E392" s="237">
        <v>1600</v>
      </c>
      <c r="F392" s="242" t="s">
        <v>372</v>
      </c>
      <c r="G392" s="239" t="s">
        <v>464</v>
      </c>
      <c r="H392" s="240">
        <f t="shared" si="6"/>
        <v>27444</v>
      </c>
      <c r="I392" s="241"/>
    </row>
    <row r="393" spans="1:9" x14ac:dyDescent="0.25">
      <c r="A393" s="249">
        <v>45112</v>
      </c>
      <c r="B393" s="237"/>
      <c r="C393" s="238"/>
      <c r="D393" s="239"/>
      <c r="E393" s="237">
        <v>1282</v>
      </c>
      <c r="F393" s="242" t="s">
        <v>47</v>
      </c>
      <c r="G393" s="239" t="s">
        <v>928</v>
      </c>
      <c r="H393" s="240">
        <f t="shared" si="6"/>
        <v>26162</v>
      </c>
      <c r="I393" s="241"/>
    </row>
    <row r="394" spans="1:9" x14ac:dyDescent="0.25">
      <c r="A394" s="249">
        <v>45112</v>
      </c>
      <c r="B394" s="237"/>
      <c r="C394" s="238"/>
      <c r="D394" s="239"/>
      <c r="E394" s="237">
        <v>150</v>
      </c>
      <c r="F394" s="242" t="s">
        <v>376</v>
      </c>
      <c r="G394" s="239" t="s">
        <v>930</v>
      </c>
      <c r="H394" s="240">
        <f t="shared" si="6"/>
        <v>26012</v>
      </c>
      <c r="I394" s="241"/>
    </row>
    <row r="395" spans="1:9" x14ac:dyDescent="0.25">
      <c r="A395" s="249">
        <v>45112</v>
      </c>
      <c r="B395" s="237"/>
      <c r="C395" s="238"/>
      <c r="D395" s="239"/>
      <c r="E395" s="237">
        <v>75</v>
      </c>
      <c r="F395" s="242" t="s">
        <v>26</v>
      </c>
      <c r="G395" s="239" t="s">
        <v>930</v>
      </c>
      <c r="H395" s="240">
        <f t="shared" si="6"/>
        <v>25937</v>
      </c>
      <c r="I395" s="241"/>
    </row>
    <row r="396" spans="1:9" x14ac:dyDescent="0.25">
      <c r="A396" s="249">
        <v>45112</v>
      </c>
      <c r="B396" s="237"/>
      <c r="C396" s="238"/>
      <c r="D396" s="239"/>
      <c r="E396" s="237">
        <v>150</v>
      </c>
      <c r="F396" s="242" t="s">
        <v>60</v>
      </c>
      <c r="G396" s="239" t="s">
        <v>930</v>
      </c>
      <c r="H396" s="240">
        <f t="shared" si="6"/>
        <v>25787</v>
      </c>
      <c r="I396" s="241"/>
    </row>
    <row r="397" spans="1:9" x14ac:dyDescent="0.25">
      <c r="A397" s="249">
        <v>45112</v>
      </c>
      <c r="B397" s="237"/>
      <c r="C397" s="238"/>
      <c r="D397" s="239"/>
      <c r="E397" s="237">
        <v>195</v>
      </c>
      <c r="F397" s="242" t="s">
        <v>380</v>
      </c>
      <c r="G397" s="239" t="s">
        <v>930</v>
      </c>
      <c r="H397" s="240">
        <f t="shared" si="6"/>
        <v>25592</v>
      </c>
      <c r="I397" s="241"/>
    </row>
    <row r="398" spans="1:9" x14ac:dyDescent="0.25">
      <c r="A398" s="249">
        <v>45112</v>
      </c>
      <c r="B398" s="237"/>
      <c r="C398" s="238"/>
      <c r="D398" s="239"/>
      <c r="E398" s="237">
        <v>110</v>
      </c>
      <c r="F398" s="242" t="s">
        <v>381</v>
      </c>
      <c r="G398" s="239" t="s">
        <v>930</v>
      </c>
      <c r="H398" s="240">
        <f t="shared" si="6"/>
        <v>25482</v>
      </c>
      <c r="I398" s="241"/>
    </row>
    <row r="399" spans="1:9" x14ac:dyDescent="0.25">
      <c r="A399" s="249">
        <v>45112</v>
      </c>
      <c r="B399" s="237"/>
      <c r="C399" s="238"/>
      <c r="D399" s="239"/>
      <c r="E399" s="237">
        <v>120</v>
      </c>
      <c r="F399" s="242" t="s">
        <v>382</v>
      </c>
      <c r="G399" s="239" t="s">
        <v>930</v>
      </c>
      <c r="H399" s="240">
        <f t="shared" si="6"/>
        <v>25362</v>
      </c>
      <c r="I399" s="241"/>
    </row>
    <row r="400" spans="1:9" x14ac:dyDescent="0.25">
      <c r="A400" s="249">
        <v>45112</v>
      </c>
      <c r="B400" s="237"/>
      <c r="C400" s="238"/>
      <c r="D400" s="239"/>
      <c r="E400" s="237">
        <v>1675</v>
      </c>
      <c r="F400" s="242" t="s">
        <v>383</v>
      </c>
      <c r="G400" s="239" t="s">
        <v>928</v>
      </c>
      <c r="H400" s="240">
        <f t="shared" si="6"/>
        <v>23687</v>
      </c>
      <c r="I400" s="241"/>
    </row>
    <row r="401" spans="1:9" x14ac:dyDescent="0.25">
      <c r="A401" s="249">
        <v>45112</v>
      </c>
      <c r="B401" s="237"/>
      <c r="C401" s="238"/>
      <c r="D401" s="239"/>
      <c r="E401" s="237">
        <v>1625</v>
      </c>
      <c r="F401" s="242" t="s">
        <v>384</v>
      </c>
      <c r="G401" s="239" t="s">
        <v>928</v>
      </c>
      <c r="H401" s="240">
        <f t="shared" si="6"/>
        <v>22062</v>
      </c>
      <c r="I401" s="241"/>
    </row>
    <row r="402" spans="1:9" x14ac:dyDescent="0.25">
      <c r="A402" s="249">
        <v>45112</v>
      </c>
      <c r="B402" s="237"/>
      <c r="C402" s="238"/>
      <c r="D402" s="239"/>
      <c r="E402" s="237">
        <v>3080</v>
      </c>
      <c r="F402" s="242" t="s">
        <v>390</v>
      </c>
      <c r="G402" s="239" t="s">
        <v>930</v>
      </c>
      <c r="H402" s="240">
        <f t="shared" si="6"/>
        <v>18982</v>
      </c>
      <c r="I402" s="241"/>
    </row>
    <row r="403" spans="1:9" x14ac:dyDescent="0.25">
      <c r="A403" s="249">
        <v>45112</v>
      </c>
      <c r="B403" s="237"/>
      <c r="C403" s="238"/>
      <c r="D403" s="239"/>
      <c r="E403" s="237">
        <v>1280</v>
      </c>
      <c r="F403" s="242" t="s">
        <v>835</v>
      </c>
      <c r="G403" s="239" t="s">
        <v>464</v>
      </c>
      <c r="H403" s="240">
        <f t="shared" si="6"/>
        <v>17702</v>
      </c>
      <c r="I403" s="241"/>
    </row>
    <row r="404" spans="1:9" x14ac:dyDescent="0.25">
      <c r="A404" s="249">
        <v>45112</v>
      </c>
      <c r="B404" s="237"/>
      <c r="C404" s="238"/>
      <c r="D404" s="239"/>
      <c r="E404" s="237">
        <v>500</v>
      </c>
      <c r="F404" s="242" t="s">
        <v>389</v>
      </c>
      <c r="G404" s="239" t="s">
        <v>930</v>
      </c>
      <c r="H404" s="240">
        <f t="shared" si="6"/>
        <v>17202</v>
      </c>
      <c r="I404" s="241" t="s">
        <v>836</v>
      </c>
    </row>
    <row r="405" spans="1:9" x14ac:dyDescent="0.25">
      <c r="A405" s="249">
        <v>45112</v>
      </c>
      <c r="B405" s="237"/>
      <c r="C405" s="238"/>
      <c r="D405" s="239"/>
      <c r="E405" s="237">
        <v>10000</v>
      </c>
      <c r="F405" s="242" t="s">
        <v>387</v>
      </c>
      <c r="G405" s="239" t="s">
        <v>929</v>
      </c>
      <c r="H405" s="240">
        <f t="shared" si="6"/>
        <v>7202</v>
      </c>
      <c r="I405" s="241"/>
    </row>
    <row r="406" spans="1:9" x14ac:dyDescent="0.25">
      <c r="A406" s="249">
        <v>45112</v>
      </c>
      <c r="B406" s="237"/>
      <c r="C406" s="238"/>
      <c r="D406" s="239"/>
      <c r="E406" s="237">
        <v>2955</v>
      </c>
      <c r="F406" s="242" t="s">
        <v>837</v>
      </c>
      <c r="G406" s="239" t="s">
        <v>930</v>
      </c>
      <c r="H406" s="240">
        <f t="shared" si="6"/>
        <v>4247</v>
      </c>
      <c r="I406" s="241"/>
    </row>
    <row r="407" spans="1:9" x14ac:dyDescent="0.25">
      <c r="A407" s="249">
        <v>45112</v>
      </c>
      <c r="B407" s="237"/>
      <c r="C407" s="238"/>
      <c r="D407" s="239"/>
      <c r="E407" s="237">
        <v>20</v>
      </c>
      <c r="F407" s="242" t="s">
        <v>373</v>
      </c>
      <c r="G407" s="239" t="s">
        <v>930</v>
      </c>
      <c r="H407" s="240">
        <f t="shared" si="6"/>
        <v>4227</v>
      </c>
      <c r="I407" s="241" t="s">
        <v>838</v>
      </c>
    </row>
    <row r="408" spans="1:9" x14ac:dyDescent="0.25">
      <c r="A408" s="249">
        <v>45112</v>
      </c>
      <c r="B408" s="237"/>
      <c r="C408" s="238"/>
      <c r="D408" s="239"/>
      <c r="E408" s="237">
        <v>195</v>
      </c>
      <c r="F408" s="242" t="s">
        <v>27</v>
      </c>
      <c r="G408" s="239" t="s">
        <v>943</v>
      </c>
      <c r="H408" s="240">
        <f t="shared" si="6"/>
        <v>4032</v>
      </c>
      <c r="I408" s="241" t="s">
        <v>412</v>
      </c>
    </row>
    <row r="409" spans="1:9" x14ac:dyDescent="0.25">
      <c r="A409" s="249">
        <v>45112</v>
      </c>
      <c r="B409" s="237"/>
      <c r="C409" s="238"/>
      <c r="D409" s="239"/>
      <c r="E409" s="237">
        <v>940</v>
      </c>
      <c r="F409" s="242" t="s">
        <v>610</v>
      </c>
      <c r="G409" s="239" t="s">
        <v>943</v>
      </c>
      <c r="H409" s="240">
        <f t="shared" si="6"/>
        <v>3092</v>
      </c>
      <c r="I409" s="241"/>
    </row>
    <row r="410" spans="1:9" x14ac:dyDescent="0.25">
      <c r="A410" s="249">
        <v>45112</v>
      </c>
      <c r="B410" s="237"/>
      <c r="C410" s="238"/>
      <c r="D410" s="239"/>
      <c r="E410" s="237">
        <v>29</v>
      </c>
      <c r="F410" s="242" t="s">
        <v>358</v>
      </c>
      <c r="G410" s="239" t="s">
        <v>938</v>
      </c>
      <c r="H410" s="240">
        <f t="shared" si="6"/>
        <v>3063</v>
      </c>
      <c r="I410" s="241" t="s">
        <v>19</v>
      </c>
    </row>
    <row r="411" spans="1:9" x14ac:dyDescent="0.25">
      <c r="A411" s="249">
        <v>45112</v>
      </c>
      <c r="B411" s="237"/>
      <c r="C411" s="238"/>
      <c r="D411" s="239"/>
      <c r="E411" s="237">
        <v>69</v>
      </c>
      <c r="F411" s="242" t="s">
        <v>357</v>
      </c>
      <c r="G411" s="239" t="s">
        <v>929</v>
      </c>
      <c r="H411" s="240">
        <f t="shared" si="6"/>
        <v>2994</v>
      </c>
      <c r="I411" s="241"/>
    </row>
    <row r="412" spans="1:9" x14ac:dyDescent="0.25">
      <c r="A412" s="249">
        <v>45112</v>
      </c>
      <c r="B412" s="237"/>
      <c r="C412" s="238"/>
      <c r="D412" s="239"/>
      <c r="E412" s="237">
        <v>405</v>
      </c>
      <c r="F412" s="242" t="s">
        <v>27</v>
      </c>
      <c r="G412" s="239" t="s">
        <v>943</v>
      </c>
      <c r="H412" s="240">
        <f t="shared" si="6"/>
        <v>2589</v>
      </c>
      <c r="I412" s="241"/>
    </row>
    <row r="413" spans="1:9" x14ac:dyDescent="0.25">
      <c r="A413" s="249">
        <v>45112</v>
      </c>
      <c r="B413" s="237"/>
      <c r="C413" s="238"/>
      <c r="D413" s="239"/>
      <c r="E413" s="237">
        <v>70</v>
      </c>
      <c r="F413" s="242" t="s">
        <v>355</v>
      </c>
      <c r="G413" s="239" t="s">
        <v>464</v>
      </c>
      <c r="H413" s="240">
        <f t="shared" si="6"/>
        <v>2519</v>
      </c>
      <c r="I413" s="241"/>
    </row>
    <row r="414" spans="1:9" x14ac:dyDescent="0.25">
      <c r="A414" s="244">
        <v>45112</v>
      </c>
      <c r="B414" s="245"/>
      <c r="C414" s="246"/>
      <c r="D414" s="247"/>
      <c r="E414" s="245">
        <v>244</v>
      </c>
      <c r="F414" s="248" t="s">
        <v>266</v>
      </c>
      <c r="G414" s="247" t="s">
        <v>941</v>
      </c>
      <c r="H414" s="240">
        <f t="shared" si="6"/>
        <v>2275</v>
      </c>
      <c r="I414" s="241" t="s">
        <v>839</v>
      </c>
    </row>
    <row r="415" spans="1:9" x14ac:dyDescent="0.25">
      <c r="A415" s="249">
        <v>45113</v>
      </c>
      <c r="B415" s="237">
        <v>17208</v>
      </c>
      <c r="C415" s="238" t="s">
        <v>9</v>
      </c>
      <c r="D415" s="239" t="s">
        <v>763</v>
      </c>
      <c r="E415" s="237">
        <v>35</v>
      </c>
      <c r="F415" s="242" t="s">
        <v>73</v>
      </c>
      <c r="G415" s="239" t="s">
        <v>945</v>
      </c>
      <c r="H415" s="240">
        <f t="shared" si="6"/>
        <v>19448</v>
      </c>
      <c r="I415" s="241"/>
    </row>
    <row r="416" spans="1:9" x14ac:dyDescent="0.25">
      <c r="A416" s="249">
        <v>45113</v>
      </c>
      <c r="B416" s="237">
        <v>2225</v>
      </c>
      <c r="C416" s="238" t="s">
        <v>28</v>
      </c>
      <c r="D416" s="239" t="s">
        <v>765</v>
      </c>
      <c r="E416" s="237">
        <v>65</v>
      </c>
      <c r="F416" s="242" t="s">
        <v>464</v>
      </c>
      <c r="G416" s="239" t="s">
        <v>464</v>
      </c>
      <c r="H416" s="240">
        <f t="shared" si="6"/>
        <v>21608</v>
      </c>
      <c r="I416" s="242" t="s">
        <v>33</v>
      </c>
    </row>
    <row r="417" spans="1:9" x14ac:dyDescent="0.25">
      <c r="A417" s="249">
        <v>45113</v>
      </c>
      <c r="B417" s="237">
        <v>11063</v>
      </c>
      <c r="C417" s="238" t="s">
        <v>80</v>
      </c>
      <c r="D417" s="239" t="s">
        <v>763</v>
      </c>
      <c r="E417" s="237">
        <v>220</v>
      </c>
      <c r="F417" s="242" t="s">
        <v>8</v>
      </c>
      <c r="G417" s="239" t="s">
        <v>930</v>
      </c>
      <c r="H417" s="240">
        <f t="shared" si="6"/>
        <v>32451</v>
      </c>
      <c r="I417" s="241"/>
    </row>
    <row r="418" spans="1:9" x14ac:dyDescent="0.25">
      <c r="A418" s="249">
        <v>45113</v>
      </c>
      <c r="B418" s="237">
        <v>1171</v>
      </c>
      <c r="C418" s="238" t="s">
        <v>81</v>
      </c>
      <c r="D418" s="239" t="s">
        <v>765</v>
      </c>
      <c r="E418" s="237">
        <v>50</v>
      </c>
      <c r="F418" s="242" t="s">
        <v>10</v>
      </c>
      <c r="G418" s="239" t="s">
        <v>930</v>
      </c>
      <c r="H418" s="240">
        <f t="shared" si="6"/>
        <v>33572</v>
      </c>
      <c r="I418" s="241"/>
    </row>
    <row r="419" spans="1:9" x14ac:dyDescent="0.25">
      <c r="A419" s="249">
        <v>45113</v>
      </c>
      <c r="B419" s="237">
        <v>4960</v>
      </c>
      <c r="C419" s="238" t="s">
        <v>22</v>
      </c>
      <c r="D419" s="239" t="s">
        <v>772</v>
      </c>
      <c r="E419" s="237">
        <v>120</v>
      </c>
      <c r="F419" s="242" t="s">
        <v>393</v>
      </c>
      <c r="G419" s="239" t="s">
        <v>930</v>
      </c>
      <c r="H419" s="240">
        <f t="shared" si="6"/>
        <v>38412</v>
      </c>
      <c r="I419" s="241"/>
    </row>
    <row r="420" spans="1:9" x14ac:dyDescent="0.25">
      <c r="A420" s="249">
        <v>45113</v>
      </c>
      <c r="B420" s="237">
        <v>100</v>
      </c>
      <c r="C420" s="238" t="s">
        <v>35</v>
      </c>
      <c r="D420" s="239" t="s">
        <v>937</v>
      </c>
      <c r="E420" s="237">
        <v>3488</v>
      </c>
      <c r="F420" s="242" t="s">
        <v>394</v>
      </c>
      <c r="G420" s="239" t="s">
        <v>930</v>
      </c>
      <c r="H420" s="240">
        <f t="shared" si="6"/>
        <v>35024</v>
      </c>
      <c r="I420" s="241"/>
    </row>
    <row r="421" spans="1:9" x14ac:dyDescent="0.25">
      <c r="A421" s="249">
        <v>45113</v>
      </c>
      <c r="B421" s="237">
        <v>1010</v>
      </c>
      <c r="C421" s="238" t="s">
        <v>22</v>
      </c>
      <c r="D421" s="239" t="s">
        <v>772</v>
      </c>
      <c r="E421" s="237">
        <v>3015</v>
      </c>
      <c r="F421" s="242" t="s">
        <v>12</v>
      </c>
      <c r="G421" s="239" t="s">
        <v>974</v>
      </c>
      <c r="H421" s="240">
        <f t="shared" si="6"/>
        <v>33019</v>
      </c>
      <c r="I421" s="241"/>
    </row>
    <row r="422" spans="1:9" x14ac:dyDescent="0.25">
      <c r="A422" s="249">
        <v>45113</v>
      </c>
      <c r="B422" s="237">
        <v>17704</v>
      </c>
      <c r="C422" s="238" t="s">
        <v>15</v>
      </c>
      <c r="D422" s="239" t="s">
        <v>766</v>
      </c>
      <c r="E422" s="237">
        <v>195</v>
      </c>
      <c r="F422" s="242" t="s">
        <v>397</v>
      </c>
      <c r="G422" s="239" t="s">
        <v>929</v>
      </c>
      <c r="H422" s="240">
        <f t="shared" si="6"/>
        <v>50528</v>
      </c>
      <c r="I422" s="241"/>
    </row>
    <row r="423" spans="1:9" x14ac:dyDescent="0.25">
      <c r="A423" s="249">
        <v>45113</v>
      </c>
      <c r="B423" s="237">
        <v>78</v>
      </c>
      <c r="C423" s="238" t="s">
        <v>412</v>
      </c>
      <c r="D423" s="239" t="s">
        <v>768</v>
      </c>
      <c r="E423" s="237">
        <v>1013</v>
      </c>
      <c r="F423" s="242" t="s">
        <v>45</v>
      </c>
      <c r="G423" s="239" t="s">
        <v>929</v>
      </c>
      <c r="H423" s="240">
        <f t="shared" si="6"/>
        <v>49593</v>
      </c>
      <c r="I423" s="241"/>
    </row>
    <row r="424" spans="1:9" x14ac:dyDescent="0.25">
      <c r="A424" s="249">
        <v>45113</v>
      </c>
      <c r="B424" s="237">
        <v>7535</v>
      </c>
      <c r="C424" s="238" t="s">
        <v>6</v>
      </c>
      <c r="D424" s="239" t="s">
        <v>766</v>
      </c>
      <c r="E424" s="237">
        <v>245</v>
      </c>
      <c r="F424" s="242" t="s">
        <v>399</v>
      </c>
      <c r="G424" s="239" t="s">
        <v>930</v>
      </c>
      <c r="H424" s="240">
        <f t="shared" si="6"/>
        <v>56883</v>
      </c>
      <c r="I424" s="241"/>
    </row>
    <row r="425" spans="1:9" x14ac:dyDescent="0.25">
      <c r="A425" s="249">
        <v>45113</v>
      </c>
      <c r="B425" s="237">
        <v>310</v>
      </c>
      <c r="C425" s="238" t="s">
        <v>93</v>
      </c>
      <c r="D425" s="239" t="s">
        <v>768</v>
      </c>
      <c r="E425" s="237">
        <v>58</v>
      </c>
      <c r="F425" s="243" t="s">
        <v>73</v>
      </c>
      <c r="G425" s="239" t="s">
        <v>945</v>
      </c>
      <c r="H425" s="240">
        <f t="shared" si="6"/>
        <v>57135</v>
      </c>
      <c r="I425" s="241"/>
    </row>
    <row r="426" spans="1:9" x14ac:dyDescent="0.25">
      <c r="A426" s="249">
        <v>45113</v>
      </c>
      <c r="B426" s="237">
        <v>15062</v>
      </c>
      <c r="C426" s="238" t="s">
        <v>88</v>
      </c>
      <c r="D426" s="239" t="s">
        <v>766</v>
      </c>
      <c r="E426" s="237">
        <v>385</v>
      </c>
      <c r="F426" s="242" t="s">
        <v>400</v>
      </c>
      <c r="G426" s="239" t="s">
        <v>935</v>
      </c>
      <c r="H426" s="240">
        <f t="shared" si="6"/>
        <v>71812</v>
      </c>
      <c r="I426" s="241"/>
    </row>
    <row r="427" spans="1:9" x14ac:dyDescent="0.25">
      <c r="A427" s="249">
        <v>45113</v>
      </c>
      <c r="B427" s="237">
        <v>181</v>
      </c>
      <c r="C427" s="238" t="s">
        <v>747</v>
      </c>
      <c r="D427" s="239" t="s">
        <v>768</v>
      </c>
      <c r="E427" s="237">
        <v>545</v>
      </c>
      <c r="F427" s="242" t="s">
        <v>11</v>
      </c>
      <c r="G427" s="239" t="s">
        <v>935</v>
      </c>
      <c r="H427" s="240">
        <f t="shared" si="6"/>
        <v>71448</v>
      </c>
      <c r="I427" s="241"/>
    </row>
    <row r="428" spans="1:9" x14ac:dyDescent="0.25">
      <c r="A428" s="249">
        <v>45113</v>
      </c>
      <c r="B428" s="237">
        <v>9059</v>
      </c>
      <c r="C428" s="238" t="s">
        <v>363</v>
      </c>
      <c r="D428" s="239" t="s">
        <v>763</v>
      </c>
      <c r="E428" s="237">
        <v>1322</v>
      </c>
      <c r="F428" s="242" t="s">
        <v>840</v>
      </c>
      <c r="G428" s="239" t="s">
        <v>928</v>
      </c>
      <c r="H428" s="240">
        <f t="shared" si="6"/>
        <v>79185</v>
      </c>
      <c r="I428" s="241" t="s">
        <v>841</v>
      </c>
    </row>
    <row r="429" spans="1:9" x14ac:dyDescent="0.25">
      <c r="A429" s="249">
        <v>45113</v>
      </c>
      <c r="B429" s="237">
        <v>13355</v>
      </c>
      <c r="C429" s="238" t="s">
        <v>19</v>
      </c>
      <c r="D429" s="239" t="s">
        <v>763</v>
      </c>
      <c r="E429" s="237">
        <v>13</v>
      </c>
      <c r="F429" s="242" t="s">
        <v>55</v>
      </c>
      <c r="G429" s="239" t="s">
        <v>929</v>
      </c>
      <c r="H429" s="240">
        <f t="shared" si="6"/>
        <v>92527</v>
      </c>
      <c r="I429" s="241"/>
    </row>
    <row r="430" spans="1:9" x14ac:dyDescent="0.25">
      <c r="A430" s="249">
        <v>45113</v>
      </c>
      <c r="B430" s="237">
        <v>1933</v>
      </c>
      <c r="C430" s="238" t="s">
        <v>374</v>
      </c>
      <c r="D430" s="239" t="s">
        <v>765</v>
      </c>
      <c r="E430" s="237">
        <v>2030</v>
      </c>
      <c r="F430" s="242" t="s">
        <v>404</v>
      </c>
      <c r="G430" s="239" t="s">
        <v>928</v>
      </c>
      <c r="H430" s="240">
        <f t="shared" si="6"/>
        <v>92430</v>
      </c>
      <c r="I430" s="241"/>
    </row>
    <row r="431" spans="1:9" x14ac:dyDescent="0.25">
      <c r="A431" s="249">
        <v>45113</v>
      </c>
      <c r="B431" s="237">
        <v>300</v>
      </c>
      <c r="C431" s="261" t="s">
        <v>430</v>
      </c>
      <c r="D431" s="239" t="s">
        <v>924</v>
      </c>
      <c r="E431" s="237">
        <v>120</v>
      </c>
      <c r="F431" s="242" t="s">
        <v>38</v>
      </c>
      <c r="G431" s="239" t="s">
        <v>930</v>
      </c>
      <c r="H431" s="240">
        <f t="shared" si="6"/>
        <v>92610</v>
      </c>
      <c r="I431" s="241"/>
    </row>
    <row r="432" spans="1:9" x14ac:dyDescent="0.25">
      <c r="A432" s="249">
        <v>45113</v>
      </c>
      <c r="B432" s="237">
        <v>13175</v>
      </c>
      <c r="C432" s="238" t="s">
        <v>85</v>
      </c>
      <c r="D432" s="239" t="s">
        <v>766</v>
      </c>
      <c r="E432" s="237">
        <v>50</v>
      </c>
      <c r="F432" s="242" t="s">
        <v>13</v>
      </c>
      <c r="G432" s="239" t="s">
        <v>930</v>
      </c>
      <c r="H432" s="240">
        <f t="shared" si="6"/>
        <v>105735</v>
      </c>
      <c r="I432" s="241"/>
    </row>
    <row r="433" spans="1:9" x14ac:dyDescent="0.25">
      <c r="A433" s="249">
        <v>45113</v>
      </c>
      <c r="B433" s="237"/>
      <c r="C433" s="238"/>
      <c r="D433" s="239"/>
      <c r="E433" s="237">
        <v>1500</v>
      </c>
      <c r="F433" s="242" t="s">
        <v>737</v>
      </c>
      <c r="G433" s="239" t="s">
        <v>928</v>
      </c>
      <c r="H433" s="240">
        <f t="shared" si="6"/>
        <v>104235</v>
      </c>
      <c r="I433" s="241" t="s">
        <v>842</v>
      </c>
    </row>
    <row r="434" spans="1:9" x14ac:dyDescent="0.25">
      <c r="A434" s="249">
        <v>45113</v>
      </c>
      <c r="B434" s="237"/>
      <c r="C434" s="238"/>
      <c r="D434" s="239"/>
      <c r="E434" s="237">
        <v>145</v>
      </c>
      <c r="F434" s="242" t="s">
        <v>341</v>
      </c>
      <c r="G434" s="239" t="s">
        <v>930</v>
      </c>
      <c r="H434" s="240">
        <f t="shared" si="6"/>
        <v>104090</v>
      </c>
      <c r="I434" s="241"/>
    </row>
    <row r="435" spans="1:9" x14ac:dyDescent="0.25">
      <c r="A435" s="249">
        <v>45113</v>
      </c>
      <c r="B435" s="237"/>
      <c r="C435" s="238"/>
      <c r="D435" s="239"/>
      <c r="E435" s="237">
        <v>50</v>
      </c>
      <c r="F435" s="242" t="s">
        <v>984</v>
      </c>
      <c r="G435" s="239" t="s">
        <v>929</v>
      </c>
      <c r="H435" s="240">
        <f t="shared" si="6"/>
        <v>104040</v>
      </c>
      <c r="I435" s="241"/>
    </row>
    <row r="436" spans="1:9" x14ac:dyDescent="0.25">
      <c r="A436" s="249">
        <v>45113</v>
      </c>
      <c r="B436" s="237"/>
      <c r="C436" s="238"/>
      <c r="D436" s="239"/>
      <c r="E436" s="237">
        <v>4229</v>
      </c>
      <c r="F436" s="242" t="s">
        <v>793</v>
      </c>
      <c r="G436" s="239" t="s">
        <v>928</v>
      </c>
      <c r="H436" s="240">
        <f t="shared" si="6"/>
        <v>99811</v>
      </c>
      <c r="I436" s="241" t="s">
        <v>191</v>
      </c>
    </row>
    <row r="437" spans="1:9" x14ac:dyDescent="0.25">
      <c r="A437" s="249">
        <v>45113</v>
      </c>
      <c r="B437" s="237"/>
      <c r="C437" s="238"/>
      <c r="D437" s="239"/>
      <c r="E437" s="237">
        <v>90</v>
      </c>
      <c r="F437" s="242" t="s">
        <v>409</v>
      </c>
      <c r="G437" s="239" t="s">
        <v>930</v>
      </c>
      <c r="H437" s="240">
        <f t="shared" si="6"/>
        <v>99721</v>
      </c>
      <c r="I437" s="241"/>
    </row>
    <row r="438" spans="1:9" x14ac:dyDescent="0.25">
      <c r="A438" s="249">
        <v>45113</v>
      </c>
      <c r="B438" s="237"/>
      <c r="C438" s="238"/>
      <c r="D438" s="239"/>
      <c r="E438" s="237">
        <v>1450</v>
      </c>
      <c r="F438" s="242" t="s">
        <v>410</v>
      </c>
      <c r="G438" s="239" t="s">
        <v>928</v>
      </c>
      <c r="H438" s="240">
        <f t="shared" si="6"/>
        <v>98271</v>
      </c>
      <c r="I438" s="241"/>
    </row>
    <row r="439" spans="1:9" x14ac:dyDescent="0.25">
      <c r="A439" s="249">
        <v>45113</v>
      </c>
      <c r="B439" s="237"/>
      <c r="C439" s="238"/>
      <c r="D439" s="239"/>
      <c r="E439" s="237">
        <v>490</v>
      </c>
      <c r="F439" s="242" t="s">
        <v>27</v>
      </c>
      <c r="G439" s="239" t="s">
        <v>943</v>
      </c>
      <c r="H439" s="240">
        <f t="shared" si="6"/>
        <v>97781</v>
      </c>
      <c r="I439" s="241"/>
    </row>
    <row r="440" spans="1:9" x14ac:dyDescent="0.25">
      <c r="A440" s="249">
        <v>45113</v>
      </c>
      <c r="B440" s="237"/>
      <c r="C440" s="238"/>
      <c r="D440" s="239"/>
      <c r="E440" s="237">
        <v>5945</v>
      </c>
      <c r="F440" s="242" t="s">
        <v>411</v>
      </c>
      <c r="G440" s="239" t="s">
        <v>928</v>
      </c>
      <c r="H440" s="240">
        <f t="shared" si="6"/>
        <v>91836</v>
      </c>
      <c r="I440" s="241"/>
    </row>
    <row r="441" spans="1:9" x14ac:dyDescent="0.25">
      <c r="A441" s="249">
        <v>45113</v>
      </c>
      <c r="B441" s="237"/>
      <c r="C441" s="238"/>
      <c r="D441" s="239"/>
      <c r="E441" s="237">
        <v>145</v>
      </c>
      <c r="F441" s="242" t="s">
        <v>498</v>
      </c>
      <c r="G441" s="239" t="s">
        <v>930</v>
      </c>
      <c r="H441" s="240">
        <f t="shared" si="6"/>
        <v>91691</v>
      </c>
      <c r="I441" s="241" t="s">
        <v>347</v>
      </c>
    </row>
    <row r="442" spans="1:9" x14ac:dyDescent="0.25">
      <c r="A442" s="249">
        <v>45113</v>
      </c>
      <c r="B442" s="237"/>
      <c r="C442" s="238"/>
      <c r="D442" s="239"/>
      <c r="E442" s="237">
        <v>195</v>
      </c>
      <c r="F442" s="242" t="s">
        <v>86</v>
      </c>
      <c r="G442" s="239" t="s">
        <v>930</v>
      </c>
      <c r="H442" s="240">
        <f t="shared" si="6"/>
        <v>91496</v>
      </c>
      <c r="I442" s="241" t="s">
        <v>347</v>
      </c>
    </row>
    <row r="443" spans="1:9" x14ac:dyDescent="0.25">
      <c r="A443" s="249">
        <v>45113</v>
      </c>
      <c r="B443" s="237"/>
      <c r="C443" s="238"/>
      <c r="D443" s="239"/>
      <c r="E443" s="237">
        <v>9330</v>
      </c>
      <c r="F443" s="242" t="s">
        <v>16</v>
      </c>
      <c r="G443" s="239" t="s">
        <v>936</v>
      </c>
      <c r="H443" s="240">
        <f t="shared" si="6"/>
        <v>82166</v>
      </c>
      <c r="I443" s="241"/>
    </row>
    <row r="444" spans="1:9" x14ac:dyDescent="0.25">
      <c r="A444" s="249">
        <v>45113</v>
      </c>
      <c r="B444" s="237"/>
      <c r="C444" s="238"/>
      <c r="D444" s="239"/>
      <c r="E444" s="237">
        <v>1600</v>
      </c>
      <c r="F444" s="242" t="s">
        <v>843</v>
      </c>
      <c r="G444" s="239" t="s">
        <v>928</v>
      </c>
      <c r="H444" s="240">
        <f t="shared" si="6"/>
        <v>80566</v>
      </c>
      <c r="I444" s="241" t="s">
        <v>829</v>
      </c>
    </row>
    <row r="445" spans="1:9" x14ac:dyDescent="0.25">
      <c r="A445" s="249">
        <v>45113</v>
      </c>
      <c r="B445" s="237"/>
      <c r="C445" s="238"/>
      <c r="D445" s="239"/>
      <c r="E445" s="237">
        <v>2950</v>
      </c>
      <c r="F445" s="242" t="s">
        <v>793</v>
      </c>
      <c r="G445" s="239" t="s">
        <v>928</v>
      </c>
      <c r="H445" s="240">
        <f t="shared" si="6"/>
        <v>77616</v>
      </c>
      <c r="I445" s="241" t="s">
        <v>844</v>
      </c>
    </row>
    <row r="446" spans="1:9" x14ac:dyDescent="0.25">
      <c r="A446" s="249">
        <v>45113</v>
      </c>
      <c r="B446" s="237"/>
      <c r="C446" s="238"/>
      <c r="D446" s="239"/>
      <c r="E446" s="237">
        <v>4440</v>
      </c>
      <c r="F446" s="242" t="s">
        <v>79</v>
      </c>
      <c r="G446" s="239" t="s">
        <v>928</v>
      </c>
      <c r="H446" s="240">
        <f t="shared" si="6"/>
        <v>73176</v>
      </c>
      <c r="I446" s="241"/>
    </row>
    <row r="447" spans="1:9" x14ac:dyDescent="0.25">
      <c r="A447" s="249">
        <v>45113</v>
      </c>
      <c r="B447" s="237"/>
      <c r="C447" s="238"/>
      <c r="D447" s="239"/>
      <c r="E447" s="237">
        <v>95</v>
      </c>
      <c r="F447" s="242" t="s">
        <v>9</v>
      </c>
      <c r="G447" s="239" t="s">
        <v>930</v>
      </c>
      <c r="H447" s="240">
        <f t="shared" si="6"/>
        <v>73081</v>
      </c>
      <c r="I447" s="241"/>
    </row>
    <row r="448" spans="1:9" x14ac:dyDescent="0.25">
      <c r="A448" s="249">
        <v>45113</v>
      </c>
      <c r="B448" s="237"/>
      <c r="C448" s="238"/>
      <c r="D448" s="239"/>
      <c r="E448" s="237">
        <v>100</v>
      </c>
      <c r="F448" s="242" t="s">
        <v>341</v>
      </c>
      <c r="G448" s="239" t="s">
        <v>930</v>
      </c>
      <c r="H448" s="240">
        <f t="shared" si="6"/>
        <v>72981</v>
      </c>
      <c r="I448" s="241"/>
    </row>
    <row r="449" spans="1:9" x14ac:dyDescent="0.25">
      <c r="A449" s="249">
        <v>45113</v>
      </c>
      <c r="B449" s="237"/>
      <c r="C449" s="238"/>
      <c r="D449" s="239"/>
      <c r="E449" s="237">
        <v>240</v>
      </c>
      <c r="F449" s="242" t="s">
        <v>799</v>
      </c>
      <c r="G449" s="239" t="s">
        <v>930</v>
      </c>
      <c r="H449" s="240">
        <f t="shared" si="6"/>
        <v>72741</v>
      </c>
      <c r="I449" s="241" t="s">
        <v>845</v>
      </c>
    </row>
    <row r="450" spans="1:9" x14ac:dyDescent="0.25">
      <c r="A450" s="249">
        <v>45113</v>
      </c>
      <c r="B450" s="237"/>
      <c r="C450" s="238"/>
      <c r="D450" s="239"/>
      <c r="E450" s="237">
        <v>225</v>
      </c>
      <c r="F450" s="242" t="s">
        <v>212</v>
      </c>
      <c r="G450" s="239" t="s">
        <v>464</v>
      </c>
      <c r="H450" s="240">
        <f t="shared" si="6"/>
        <v>72516</v>
      </c>
      <c r="I450" s="241"/>
    </row>
    <row r="451" spans="1:9" x14ac:dyDescent="0.25">
      <c r="A451" s="249">
        <v>45113</v>
      </c>
      <c r="B451" s="237"/>
      <c r="C451" s="238"/>
      <c r="D451" s="239"/>
      <c r="E451" s="237">
        <v>80</v>
      </c>
      <c r="F451" s="242" t="s">
        <v>7</v>
      </c>
      <c r="G451" s="239" t="s">
        <v>930</v>
      </c>
      <c r="H451" s="240">
        <f t="shared" si="6"/>
        <v>72436</v>
      </c>
      <c r="I451" s="241"/>
    </row>
    <row r="452" spans="1:9" x14ac:dyDescent="0.25">
      <c r="A452" s="249">
        <v>45113</v>
      </c>
      <c r="B452" s="237"/>
      <c r="C452" s="238"/>
      <c r="D452" s="239"/>
      <c r="E452" s="237">
        <v>255</v>
      </c>
      <c r="F452" s="242" t="s">
        <v>11</v>
      </c>
      <c r="G452" s="239" t="s">
        <v>935</v>
      </c>
      <c r="H452" s="240">
        <f t="shared" si="6"/>
        <v>72181</v>
      </c>
      <c r="I452" s="241"/>
    </row>
    <row r="453" spans="1:9" x14ac:dyDescent="0.25">
      <c r="A453" s="249">
        <v>45113</v>
      </c>
      <c r="B453" s="237"/>
      <c r="C453" s="238"/>
      <c r="D453" s="239"/>
      <c r="E453" s="237">
        <v>100</v>
      </c>
      <c r="F453" s="242" t="s">
        <v>89</v>
      </c>
      <c r="G453" s="239" t="s">
        <v>930</v>
      </c>
      <c r="H453" s="240">
        <f t="shared" si="6"/>
        <v>72081</v>
      </c>
      <c r="I453" s="241"/>
    </row>
    <row r="454" spans="1:9" x14ac:dyDescent="0.25">
      <c r="A454" s="249">
        <v>45113</v>
      </c>
      <c r="B454" s="237"/>
      <c r="C454" s="238"/>
      <c r="D454" s="239"/>
      <c r="E454" s="237">
        <v>490</v>
      </c>
      <c r="F454" s="242" t="s">
        <v>39</v>
      </c>
      <c r="G454" s="239" t="s">
        <v>930</v>
      </c>
      <c r="H454" s="240">
        <f t="shared" ref="H454:H517" si="7">H453+B454-E454</f>
        <v>71591</v>
      </c>
      <c r="I454" s="241"/>
    </row>
    <row r="455" spans="1:9" x14ac:dyDescent="0.25">
      <c r="A455" s="249">
        <v>45113</v>
      </c>
      <c r="B455" s="237"/>
      <c r="C455" s="238"/>
      <c r="D455" s="239"/>
      <c r="E455" s="237">
        <v>410</v>
      </c>
      <c r="F455" s="242" t="s">
        <v>505</v>
      </c>
      <c r="G455" s="239" t="s">
        <v>928</v>
      </c>
      <c r="H455" s="240">
        <f t="shared" si="7"/>
        <v>71181</v>
      </c>
      <c r="I455" s="241" t="s">
        <v>828</v>
      </c>
    </row>
    <row r="456" spans="1:9" x14ac:dyDescent="0.25">
      <c r="A456" s="249">
        <v>45113</v>
      </c>
      <c r="B456" s="237"/>
      <c r="C456" s="238"/>
      <c r="D456" s="239"/>
      <c r="E456" s="237">
        <v>255</v>
      </c>
      <c r="F456" s="242" t="s">
        <v>416</v>
      </c>
      <c r="G456" s="239" t="s">
        <v>935</v>
      </c>
      <c r="H456" s="240">
        <f t="shared" si="7"/>
        <v>70926</v>
      </c>
      <c r="I456" s="241"/>
    </row>
    <row r="457" spans="1:9" x14ac:dyDescent="0.25">
      <c r="A457" s="249">
        <v>45113</v>
      </c>
      <c r="B457" s="237"/>
      <c r="C457" s="238"/>
      <c r="D457" s="239"/>
      <c r="E457" s="237">
        <v>87</v>
      </c>
      <c r="F457" s="242" t="s">
        <v>370</v>
      </c>
      <c r="G457" s="239" t="s">
        <v>930</v>
      </c>
      <c r="H457" s="240">
        <f t="shared" si="7"/>
        <v>70839</v>
      </c>
      <c r="I457" s="241" t="s">
        <v>347</v>
      </c>
    </row>
    <row r="458" spans="1:9" x14ac:dyDescent="0.25">
      <c r="A458" s="249">
        <v>45113</v>
      </c>
      <c r="B458" s="237"/>
      <c r="C458" s="238"/>
      <c r="D458" s="239"/>
      <c r="E458" s="237">
        <v>90</v>
      </c>
      <c r="F458" s="242" t="s">
        <v>223</v>
      </c>
      <c r="G458" s="239" t="s">
        <v>930</v>
      </c>
      <c r="H458" s="240">
        <f t="shared" si="7"/>
        <v>70749</v>
      </c>
      <c r="I458" s="241"/>
    </row>
    <row r="459" spans="1:9" x14ac:dyDescent="0.25">
      <c r="A459" s="249">
        <v>45113</v>
      </c>
      <c r="B459" s="237"/>
      <c r="C459" s="238"/>
      <c r="D459" s="239"/>
      <c r="E459" s="237">
        <v>425</v>
      </c>
      <c r="F459" s="242" t="s">
        <v>846</v>
      </c>
      <c r="G459" s="239" t="s">
        <v>928</v>
      </c>
      <c r="H459" s="240">
        <f t="shared" si="7"/>
        <v>70324</v>
      </c>
      <c r="I459" s="241" t="s">
        <v>847</v>
      </c>
    </row>
    <row r="460" spans="1:9" x14ac:dyDescent="0.25">
      <c r="A460" s="249">
        <v>45113</v>
      </c>
      <c r="B460" s="237"/>
      <c r="C460" s="238"/>
      <c r="D460" s="239"/>
      <c r="E460" s="237">
        <v>1800</v>
      </c>
      <c r="F460" s="242" t="s">
        <v>420</v>
      </c>
      <c r="G460" s="239" t="s">
        <v>929</v>
      </c>
      <c r="H460" s="240">
        <f t="shared" si="7"/>
        <v>68524</v>
      </c>
      <c r="I460" s="241"/>
    </row>
    <row r="461" spans="1:9" x14ac:dyDescent="0.25">
      <c r="A461" s="249">
        <v>45113</v>
      </c>
      <c r="B461" s="237"/>
      <c r="C461" s="238"/>
      <c r="D461" s="239"/>
      <c r="E461" s="237">
        <v>9</v>
      </c>
      <c r="F461" s="242" t="s">
        <v>423</v>
      </c>
      <c r="G461" s="239" t="s">
        <v>464</v>
      </c>
      <c r="H461" s="240">
        <f t="shared" si="7"/>
        <v>68515</v>
      </c>
      <c r="I461" s="241"/>
    </row>
    <row r="462" spans="1:9" x14ac:dyDescent="0.25">
      <c r="A462" s="249">
        <v>45113</v>
      </c>
      <c r="B462" s="237"/>
      <c r="C462" s="238"/>
      <c r="D462" s="239"/>
      <c r="E462" s="237">
        <v>5</v>
      </c>
      <c r="F462" s="242" t="s">
        <v>424</v>
      </c>
      <c r="G462" s="239" t="s">
        <v>945</v>
      </c>
      <c r="H462" s="240">
        <f t="shared" si="7"/>
        <v>68510</v>
      </c>
      <c r="I462" s="241"/>
    </row>
    <row r="463" spans="1:9" x14ac:dyDescent="0.25">
      <c r="A463" s="249">
        <v>45113</v>
      </c>
      <c r="B463" s="237"/>
      <c r="C463" s="238"/>
      <c r="D463" s="239"/>
      <c r="E463" s="237">
        <v>130</v>
      </c>
      <c r="F463" s="242" t="s">
        <v>78</v>
      </c>
      <c r="G463" s="239" t="s">
        <v>931</v>
      </c>
      <c r="H463" s="240">
        <f t="shared" si="7"/>
        <v>68380</v>
      </c>
      <c r="I463" s="241"/>
    </row>
    <row r="464" spans="1:9" x14ac:dyDescent="0.25">
      <c r="A464" s="249">
        <v>45113</v>
      </c>
      <c r="B464" s="237"/>
      <c r="C464" s="238"/>
      <c r="D464" s="239"/>
      <c r="E464" s="237">
        <v>1000</v>
      </c>
      <c r="F464" s="242" t="s">
        <v>74</v>
      </c>
      <c r="G464" s="239" t="s">
        <v>464</v>
      </c>
      <c r="H464" s="240">
        <f t="shared" si="7"/>
        <v>67380</v>
      </c>
      <c r="I464" s="241"/>
    </row>
    <row r="465" spans="1:9" x14ac:dyDescent="0.25">
      <c r="A465" s="249">
        <v>45113</v>
      </c>
      <c r="B465" s="237"/>
      <c r="C465" s="238"/>
      <c r="D465" s="239"/>
      <c r="E465" s="237">
        <v>180</v>
      </c>
      <c r="F465" s="242" t="s">
        <v>425</v>
      </c>
      <c r="G465" s="239" t="s">
        <v>930</v>
      </c>
      <c r="H465" s="240">
        <f t="shared" si="7"/>
        <v>67200</v>
      </c>
      <c r="I465" s="241"/>
    </row>
    <row r="466" spans="1:9" x14ac:dyDescent="0.25">
      <c r="A466" s="249">
        <v>45113</v>
      </c>
      <c r="B466" s="237"/>
      <c r="C466" s="238"/>
      <c r="D466" s="239"/>
      <c r="E466" s="237">
        <v>3000</v>
      </c>
      <c r="F466" s="242" t="s">
        <v>426</v>
      </c>
      <c r="G466" s="239" t="s">
        <v>928</v>
      </c>
      <c r="H466" s="240">
        <f t="shared" si="7"/>
        <v>64200</v>
      </c>
      <c r="I466" s="241"/>
    </row>
    <row r="467" spans="1:9" x14ac:dyDescent="0.25">
      <c r="A467" s="249">
        <v>45113</v>
      </c>
      <c r="B467" s="237"/>
      <c r="C467" s="238"/>
      <c r="D467" s="239"/>
      <c r="E467" s="237">
        <v>105</v>
      </c>
      <c r="F467" s="242" t="s">
        <v>19</v>
      </c>
      <c r="G467" s="239" t="s">
        <v>930</v>
      </c>
      <c r="H467" s="240">
        <f t="shared" si="7"/>
        <v>64095</v>
      </c>
      <c r="I467" s="241"/>
    </row>
    <row r="468" spans="1:9" x14ac:dyDescent="0.25">
      <c r="A468" s="249">
        <v>45113</v>
      </c>
      <c r="B468" s="237"/>
      <c r="C468" s="238"/>
      <c r="D468" s="239"/>
      <c r="E468" s="237">
        <v>1850</v>
      </c>
      <c r="F468" s="242" t="s">
        <v>14</v>
      </c>
      <c r="G468" s="239" t="s">
        <v>935</v>
      </c>
      <c r="H468" s="240">
        <f t="shared" si="7"/>
        <v>62245</v>
      </c>
      <c r="I468" s="241"/>
    </row>
    <row r="469" spans="1:9" x14ac:dyDescent="0.25">
      <c r="A469" s="249">
        <v>45113</v>
      </c>
      <c r="B469" s="237"/>
      <c r="C469" s="238"/>
      <c r="D469" s="239"/>
      <c r="E469" s="237">
        <v>150</v>
      </c>
      <c r="F469" s="242" t="s">
        <v>376</v>
      </c>
      <c r="G469" s="239" t="s">
        <v>930</v>
      </c>
      <c r="H469" s="240">
        <f t="shared" si="7"/>
        <v>62095</v>
      </c>
      <c r="I469" s="241"/>
    </row>
    <row r="470" spans="1:9" x14ac:dyDescent="0.25">
      <c r="A470" s="249">
        <v>45113</v>
      </c>
      <c r="B470" s="237"/>
      <c r="C470" s="238"/>
      <c r="D470" s="239"/>
      <c r="E470" s="237">
        <v>75</v>
      </c>
      <c r="F470" s="242" t="s">
        <v>26</v>
      </c>
      <c r="G470" s="239" t="s">
        <v>930</v>
      </c>
      <c r="H470" s="240">
        <f t="shared" si="7"/>
        <v>62020</v>
      </c>
      <c r="I470" s="241"/>
    </row>
    <row r="471" spans="1:9" x14ac:dyDescent="0.25">
      <c r="A471" s="249">
        <v>45113</v>
      </c>
      <c r="B471" s="237"/>
      <c r="C471" s="238"/>
      <c r="D471" s="239"/>
      <c r="E471" s="237">
        <v>95</v>
      </c>
      <c r="F471" s="242" t="s">
        <v>432</v>
      </c>
      <c r="G471" s="239" t="s">
        <v>930</v>
      </c>
      <c r="H471" s="240">
        <f t="shared" si="7"/>
        <v>61925</v>
      </c>
      <c r="I471" s="241"/>
    </row>
    <row r="472" spans="1:9" x14ac:dyDescent="0.25">
      <c r="A472" s="249">
        <v>45113</v>
      </c>
      <c r="B472" s="237"/>
      <c r="C472" s="238"/>
      <c r="D472" s="239"/>
      <c r="E472" s="237">
        <v>155</v>
      </c>
      <c r="F472" s="242" t="s">
        <v>434</v>
      </c>
      <c r="G472" s="239" t="s">
        <v>930</v>
      </c>
      <c r="H472" s="240">
        <f t="shared" si="7"/>
        <v>61770</v>
      </c>
      <c r="I472" s="241"/>
    </row>
    <row r="473" spans="1:9" x14ac:dyDescent="0.25">
      <c r="A473" s="249">
        <v>45113</v>
      </c>
      <c r="B473" s="237"/>
      <c r="C473" s="238"/>
      <c r="D473" s="239"/>
      <c r="E473" s="237">
        <v>4160</v>
      </c>
      <c r="F473" s="242" t="s">
        <v>848</v>
      </c>
      <c r="G473" s="239" t="s">
        <v>928</v>
      </c>
      <c r="H473" s="240">
        <f t="shared" si="7"/>
        <v>57610</v>
      </c>
      <c r="I473" s="241" t="s">
        <v>829</v>
      </c>
    </row>
    <row r="474" spans="1:9" x14ac:dyDescent="0.25">
      <c r="A474" s="249">
        <v>45113</v>
      </c>
      <c r="B474" s="237"/>
      <c r="C474" s="238"/>
      <c r="D474" s="239"/>
      <c r="E474" s="237">
        <v>100</v>
      </c>
      <c r="F474" s="242" t="s">
        <v>433</v>
      </c>
      <c r="G474" s="239" t="s">
        <v>930</v>
      </c>
      <c r="H474" s="240">
        <f t="shared" si="7"/>
        <v>57510</v>
      </c>
      <c r="I474" s="241"/>
    </row>
    <row r="475" spans="1:9" x14ac:dyDescent="0.25">
      <c r="A475" s="249">
        <v>45113</v>
      </c>
      <c r="B475" s="237"/>
      <c r="C475" s="238"/>
      <c r="D475" s="239"/>
      <c r="E475" s="237">
        <v>120</v>
      </c>
      <c r="F475" s="243" t="s">
        <v>435</v>
      </c>
      <c r="G475" s="239" t="s">
        <v>464</v>
      </c>
      <c r="H475" s="240">
        <f t="shared" si="7"/>
        <v>57390</v>
      </c>
      <c r="I475" s="241"/>
    </row>
    <row r="476" spans="1:9" x14ac:dyDescent="0.25">
      <c r="A476" s="249">
        <v>45113</v>
      </c>
      <c r="B476" s="237"/>
      <c r="C476" s="238"/>
      <c r="D476" s="239"/>
      <c r="E476" s="237">
        <v>208</v>
      </c>
      <c r="F476" s="242" t="s">
        <v>427</v>
      </c>
      <c r="G476" s="239" t="s">
        <v>464</v>
      </c>
      <c r="H476" s="240">
        <f t="shared" si="7"/>
        <v>57182</v>
      </c>
      <c r="I476" s="241"/>
    </row>
    <row r="477" spans="1:9" x14ac:dyDescent="0.25">
      <c r="A477" s="249">
        <v>45113</v>
      </c>
      <c r="B477" s="237"/>
      <c r="C477" s="238"/>
      <c r="D477" s="239"/>
      <c r="E477" s="237">
        <v>20</v>
      </c>
      <c r="F477" s="242" t="s">
        <v>428</v>
      </c>
      <c r="G477" s="239" t="s">
        <v>930</v>
      </c>
      <c r="H477" s="240">
        <f t="shared" si="7"/>
        <v>57162</v>
      </c>
      <c r="I477" s="241"/>
    </row>
    <row r="478" spans="1:9" x14ac:dyDescent="0.25">
      <c r="A478" s="249">
        <v>45113</v>
      </c>
      <c r="B478" s="237"/>
      <c r="C478" s="238"/>
      <c r="D478" s="239"/>
      <c r="E478" s="237">
        <v>30</v>
      </c>
      <c r="F478" s="243" t="s">
        <v>422</v>
      </c>
      <c r="G478" s="239" t="s">
        <v>937</v>
      </c>
      <c r="H478" s="240">
        <f t="shared" si="7"/>
        <v>57132</v>
      </c>
      <c r="I478" s="241"/>
    </row>
    <row r="479" spans="1:9" x14ac:dyDescent="0.25">
      <c r="A479" s="249">
        <v>45113</v>
      </c>
      <c r="B479" s="237"/>
      <c r="C479" s="238"/>
      <c r="D479" s="239"/>
      <c r="E479" s="237">
        <v>14000</v>
      </c>
      <c r="F479" s="242" t="s">
        <v>127</v>
      </c>
      <c r="G479" s="239" t="s">
        <v>938</v>
      </c>
      <c r="H479" s="240">
        <f t="shared" si="7"/>
        <v>43132</v>
      </c>
      <c r="I479" s="241" t="s">
        <v>849</v>
      </c>
    </row>
    <row r="480" spans="1:9" x14ac:dyDescent="0.25">
      <c r="A480" s="249">
        <v>45113</v>
      </c>
      <c r="B480" s="237"/>
      <c r="C480" s="238"/>
      <c r="D480" s="239"/>
      <c r="E480" s="237">
        <v>11000</v>
      </c>
      <c r="F480" s="242" t="s">
        <v>127</v>
      </c>
      <c r="G480" s="239" t="s">
        <v>938</v>
      </c>
      <c r="H480" s="240">
        <f t="shared" si="7"/>
        <v>32132</v>
      </c>
      <c r="I480" s="241" t="s">
        <v>832</v>
      </c>
    </row>
    <row r="481" spans="1:9" x14ac:dyDescent="0.25">
      <c r="A481" s="249">
        <v>45113</v>
      </c>
      <c r="B481" s="237"/>
      <c r="C481" s="238"/>
      <c r="D481" s="239"/>
      <c r="E481" s="237">
        <v>3650</v>
      </c>
      <c r="F481" s="242" t="s">
        <v>850</v>
      </c>
      <c r="G481" s="239" t="s">
        <v>464</v>
      </c>
      <c r="H481" s="240">
        <f t="shared" si="7"/>
        <v>28482</v>
      </c>
      <c r="I481" s="241" t="s">
        <v>851</v>
      </c>
    </row>
    <row r="482" spans="1:9" x14ac:dyDescent="0.25">
      <c r="A482" s="249">
        <v>45113</v>
      </c>
      <c r="B482" s="237"/>
      <c r="C482" s="238"/>
      <c r="D482" s="239"/>
      <c r="E482" s="237">
        <v>990</v>
      </c>
      <c r="F482" s="242" t="s">
        <v>27</v>
      </c>
      <c r="G482" s="239" t="s">
        <v>943</v>
      </c>
      <c r="H482" s="240">
        <f t="shared" si="7"/>
        <v>27492</v>
      </c>
      <c r="I482" s="241"/>
    </row>
    <row r="483" spans="1:9" x14ac:dyDescent="0.25">
      <c r="A483" s="249">
        <v>45113</v>
      </c>
      <c r="B483" s="237"/>
      <c r="C483" s="238"/>
      <c r="D483" s="239"/>
      <c r="E483" s="237">
        <v>20</v>
      </c>
      <c r="F483" s="242" t="s">
        <v>408</v>
      </c>
      <c r="G483" s="239" t="s">
        <v>931</v>
      </c>
      <c r="H483" s="240">
        <f t="shared" si="7"/>
        <v>27472</v>
      </c>
      <c r="I483" s="241"/>
    </row>
    <row r="484" spans="1:9" x14ac:dyDescent="0.25">
      <c r="A484" s="249">
        <v>45113</v>
      </c>
      <c r="B484" s="237"/>
      <c r="C484" s="238"/>
      <c r="D484" s="239"/>
      <c r="E484" s="237">
        <v>25</v>
      </c>
      <c r="F484" s="242" t="s">
        <v>458</v>
      </c>
      <c r="G484" s="239" t="s">
        <v>464</v>
      </c>
      <c r="H484" s="240">
        <f t="shared" si="7"/>
        <v>27447</v>
      </c>
      <c r="I484" s="241" t="s">
        <v>412</v>
      </c>
    </row>
    <row r="485" spans="1:9" x14ac:dyDescent="0.25">
      <c r="A485" s="249">
        <v>45113</v>
      </c>
      <c r="B485" s="237"/>
      <c r="C485" s="238"/>
      <c r="D485" s="239"/>
      <c r="E485" s="237">
        <v>70</v>
      </c>
      <c r="F485" s="242" t="s">
        <v>398</v>
      </c>
      <c r="G485" s="239" t="s">
        <v>464</v>
      </c>
      <c r="H485" s="240">
        <f t="shared" si="7"/>
        <v>27377</v>
      </c>
      <c r="I485" s="241"/>
    </row>
    <row r="486" spans="1:9" x14ac:dyDescent="0.25">
      <c r="A486" s="244">
        <v>45113</v>
      </c>
      <c r="B486" s="245"/>
      <c r="C486" s="246"/>
      <c r="D486" s="247"/>
      <c r="E486" s="245">
        <v>8000</v>
      </c>
      <c r="F486" s="248" t="s">
        <v>358</v>
      </c>
      <c r="G486" s="247" t="s">
        <v>938</v>
      </c>
      <c r="H486" s="240">
        <f t="shared" si="7"/>
        <v>19377</v>
      </c>
      <c r="I486" s="241" t="s">
        <v>852</v>
      </c>
    </row>
    <row r="487" spans="1:9" x14ac:dyDescent="0.25">
      <c r="A487" s="249">
        <v>45114</v>
      </c>
      <c r="B487" s="237"/>
      <c r="C487" s="238"/>
      <c r="D487" s="239"/>
      <c r="E487" s="237">
        <v>1255</v>
      </c>
      <c r="F487" s="242" t="s">
        <v>17</v>
      </c>
      <c r="G487" s="239" t="s">
        <v>928</v>
      </c>
      <c r="H487" s="240">
        <f t="shared" si="7"/>
        <v>18122</v>
      </c>
      <c r="I487" s="241"/>
    </row>
    <row r="488" spans="1:9" x14ac:dyDescent="0.25">
      <c r="A488" s="249">
        <v>45114</v>
      </c>
      <c r="B488" s="237">
        <v>655</v>
      </c>
      <c r="C488" s="238" t="s">
        <v>271</v>
      </c>
      <c r="D488" s="239" t="s">
        <v>763</v>
      </c>
      <c r="E488" s="237">
        <v>390</v>
      </c>
      <c r="F488" s="242" t="s">
        <v>34</v>
      </c>
      <c r="G488" s="239" t="s">
        <v>935</v>
      </c>
      <c r="H488" s="240">
        <f t="shared" si="7"/>
        <v>18387</v>
      </c>
      <c r="I488" s="241"/>
    </row>
    <row r="489" spans="1:9" x14ac:dyDescent="0.25">
      <c r="A489" s="249">
        <v>45114</v>
      </c>
      <c r="B489" s="237">
        <v>20</v>
      </c>
      <c r="C489" s="238" t="s">
        <v>35</v>
      </c>
      <c r="D489" s="239" t="s">
        <v>937</v>
      </c>
      <c r="E489" s="237">
        <v>330</v>
      </c>
      <c r="F489" s="242" t="s">
        <v>8</v>
      </c>
      <c r="G489" s="239" t="s">
        <v>930</v>
      </c>
      <c r="H489" s="240">
        <f t="shared" si="7"/>
        <v>18077</v>
      </c>
      <c r="I489" s="241"/>
    </row>
    <row r="490" spans="1:9" x14ac:dyDescent="0.25">
      <c r="A490" s="249">
        <v>45114</v>
      </c>
      <c r="B490" s="237">
        <v>200</v>
      </c>
      <c r="C490" s="261" t="s">
        <v>443</v>
      </c>
      <c r="D490" s="239"/>
      <c r="E490" s="237">
        <v>261</v>
      </c>
      <c r="F490" s="242" t="s">
        <v>9</v>
      </c>
      <c r="G490" s="239" t="s">
        <v>930</v>
      </c>
      <c r="H490" s="240">
        <f t="shared" si="7"/>
        <v>18016</v>
      </c>
      <c r="I490" s="241"/>
    </row>
    <row r="491" spans="1:9" x14ac:dyDescent="0.25">
      <c r="A491" s="249">
        <v>45114</v>
      </c>
      <c r="B491" s="237">
        <v>6800</v>
      </c>
      <c r="C491" s="261" t="s">
        <v>444</v>
      </c>
      <c r="D491" s="239"/>
      <c r="E491" s="237">
        <v>995</v>
      </c>
      <c r="F491" s="242" t="s">
        <v>12</v>
      </c>
      <c r="G491" s="239" t="s">
        <v>974</v>
      </c>
      <c r="H491" s="240">
        <f t="shared" si="7"/>
        <v>23821</v>
      </c>
      <c r="I491" s="241"/>
    </row>
    <row r="492" spans="1:9" x14ac:dyDescent="0.25">
      <c r="A492" s="249">
        <v>45114</v>
      </c>
      <c r="B492" s="237">
        <v>16646</v>
      </c>
      <c r="C492" s="238" t="s">
        <v>80</v>
      </c>
      <c r="D492" s="239" t="s">
        <v>763</v>
      </c>
      <c r="E492" s="237">
        <v>7</v>
      </c>
      <c r="F492" s="242" t="s">
        <v>71</v>
      </c>
      <c r="G492" s="239" t="s">
        <v>930</v>
      </c>
      <c r="H492" s="240">
        <f t="shared" si="7"/>
        <v>40460</v>
      </c>
      <c r="I492" s="241" t="s">
        <v>347</v>
      </c>
    </row>
    <row r="493" spans="1:9" x14ac:dyDescent="0.25">
      <c r="A493" s="249">
        <v>45114</v>
      </c>
      <c r="B493" s="237">
        <v>949</v>
      </c>
      <c r="C493" s="238" t="s">
        <v>81</v>
      </c>
      <c r="D493" s="239" t="s">
        <v>765</v>
      </c>
      <c r="E493" s="237">
        <v>225</v>
      </c>
      <c r="F493" s="242" t="s">
        <v>211</v>
      </c>
      <c r="G493" s="239" t="s">
        <v>931</v>
      </c>
      <c r="H493" s="240">
        <f t="shared" si="7"/>
        <v>41184</v>
      </c>
      <c r="I493" s="241"/>
    </row>
    <row r="494" spans="1:9" x14ac:dyDescent="0.25">
      <c r="A494" s="249">
        <v>45114</v>
      </c>
      <c r="B494" s="237">
        <v>20996</v>
      </c>
      <c r="C494" s="238" t="s">
        <v>9</v>
      </c>
      <c r="D494" s="239" t="s">
        <v>763</v>
      </c>
      <c r="E494" s="237">
        <v>35</v>
      </c>
      <c r="F494" s="242" t="s">
        <v>73</v>
      </c>
      <c r="G494" s="239" t="s">
        <v>945</v>
      </c>
      <c r="H494" s="240">
        <f t="shared" si="7"/>
        <v>62145</v>
      </c>
      <c r="I494" s="241"/>
    </row>
    <row r="495" spans="1:9" x14ac:dyDescent="0.25">
      <c r="A495" s="249">
        <v>45114</v>
      </c>
      <c r="B495" s="237">
        <v>1185</v>
      </c>
      <c r="C495" s="238" t="s">
        <v>28</v>
      </c>
      <c r="D495" s="239" t="s">
        <v>765</v>
      </c>
      <c r="E495" s="237">
        <v>30</v>
      </c>
      <c r="F495" s="242" t="s">
        <v>445</v>
      </c>
      <c r="G495" s="239" t="s">
        <v>464</v>
      </c>
      <c r="H495" s="240">
        <f t="shared" si="7"/>
        <v>63300</v>
      </c>
      <c r="I495" s="241"/>
    </row>
    <row r="496" spans="1:9" x14ac:dyDescent="0.25">
      <c r="A496" s="249">
        <v>45114</v>
      </c>
      <c r="B496" s="237">
        <v>16520</v>
      </c>
      <c r="C496" s="238" t="s">
        <v>452</v>
      </c>
      <c r="D496" s="239" t="s">
        <v>766</v>
      </c>
      <c r="E496" s="237">
        <v>170</v>
      </c>
      <c r="F496" s="242" t="s">
        <v>358</v>
      </c>
      <c r="G496" s="239" t="s">
        <v>938</v>
      </c>
      <c r="H496" s="240">
        <f t="shared" si="7"/>
        <v>79650</v>
      </c>
      <c r="I496" s="241"/>
    </row>
    <row r="497" spans="1:9" x14ac:dyDescent="0.25">
      <c r="A497" s="249">
        <v>45114</v>
      </c>
      <c r="B497" s="237">
        <v>605</v>
      </c>
      <c r="C497" s="238" t="s">
        <v>747</v>
      </c>
      <c r="D497" s="239" t="s">
        <v>768</v>
      </c>
      <c r="E497" s="237">
        <v>90</v>
      </c>
      <c r="F497" s="242" t="s">
        <v>10</v>
      </c>
      <c r="G497" s="239" t="s">
        <v>930</v>
      </c>
      <c r="H497" s="240">
        <f t="shared" si="7"/>
        <v>80165</v>
      </c>
      <c r="I497" s="241"/>
    </row>
    <row r="498" spans="1:9" x14ac:dyDescent="0.25">
      <c r="A498" s="249">
        <v>45114</v>
      </c>
      <c r="B498" s="237">
        <v>100</v>
      </c>
      <c r="C498" s="238" t="s">
        <v>454</v>
      </c>
      <c r="D498" s="239" t="s">
        <v>772</v>
      </c>
      <c r="E498" s="237">
        <v>24</v>
      </c>
      <c r="F498" s="242" t="s">
        <v>448</v>
      </c>
      <c r="G498" s="239" t="s">
        <v>938</v>
      </c>
      <c r="H498" s="240">
        <f t="shared" si="7"/>
        <v>80241</v>
      </c>
      <c r="I498" s="241"/>
    </row>
    <row r="499" spans="1:9" x14ac:dyDescent="0.25">
      <c r="A499" s="249">
        <v>45114</v>
      </c>
      <c r="B499" s="237">
        <v>360</v>
      </c>
      <c r="C499" s="238" t="s">
        <v>454</v>
      </c>
      <c r="D499" s="239" t="s">
        <v>772</v>
      </c>
      <c r="E499" s="237">
        <v>120</v>
      </c>
      <c r="F499" s="242" t="s">
        <v>393</v>
      </c>
      <c r="G499" s="239" t="s">
        <v>930</v>
      </c>
      <c r="H499" s="240">
        <f t="shared" si="7"/>
        <v>80481</v>
      </c>
      <c r="I499" s="241"/>
    </row>
    <row r="500" spans="1:9" x14ac:dyDescent="0.25">
      <c r="A500" s="249">
        <v>45114</v>
      </c>
      <c r="B500" s="237">
        <v>405</v>
      </c>
      <c r="C500" s="238" t="s">
        <v>454</v>
      </c>
      <c r="D500" s="239" t="s">
        <v>772</v>
      </c>
      <c r="E500" s="237">
        <v>100</v>
      </c>
      <c r="F500" s="242" t="s">
        <v>9</v>
      </c>
      <c r="G500" s="239" t="s">
        <v>930</v>
      </c>
      <c r="H500" s="240">
        <f t="shared" si="7"/>
        <v>80786</v>
      </c>
      <c r="I500" s="241"/>
    </row>
    <row r="501" spans="1:9" x14ac:dyDescent="0.25">
      <c r="A501" s="249">
        <v>45114</v>
      </c>
      <c r="B501" s="237">
        <v>2185</v>
      </c>
      <c r="C501" s="238" t="s">
        <v>300</v>
      </c>
      <c r="D501" s="239" t="s">
        <v>763</v>
      </c>
      <c r="E501" s="237">
        <v>155</v>
      </c>
      <c r="F501" s="242" t="s">
        <v>255</v>
      </c>
      <c r="G501" s="239" t="s">
        <v>930</v>
      </c>
      <c r="H501" s="240">
        <f t="shared" si="7"/>
        <v>82816</v>
      </c>
      <c r="I501" s="241"/>
    </row>
    <row r="502" spans="1:9" x14ac:dyDescent="0.25">
      <c r="A502" s="249">
        <v>45114</v>
      </c>
      <c r="B502" s="237">
        <v>1265</v>
      </c>
      <c r="C502" s="238" t="s">
        <v>457</v>
      </c>
      <c r="D502" s="239" t="s">
        <v>766</v>
      </c>
      <c r="E502" s="237">
        <v>100</v>
      </c>
      <c r="F502" s="242" t="s">
        <v>341</v>
      </c>
      <c r="G502" s="239" t="s">
        <v>930</v>
      </c>
      <c r="H502" s="240">
        <f t="shared" si="7"/>
        <v>83981</v>
      </c>
      <c r="I502" s="241"/>
    </row>
    <row r="503" spans="1:9" x14ac:dyDescent="0.25">
      <c r="A503" s="249">
        <v>45114</v>
      </c>
      <c r="B503" s="237">
        <v>1150</v>
      </c>
      <c r="C503" s="238" t="s">
        <v>459</v>
      </c>
      <c r="D503" s="239" t="s">
        <v>769</v>
      </c>
      <c r="E503" s="237">
        <v>200</v>
      </c>
      <c r="F503" s="242" t="s">
        <v>7</v>
      </c>
      <c r="G503" s="239" t="s">
        <v>930</v>
      </c>
      <c r="H503" s="240">
        <f t="shared" si="7"/>
        <v>84931</v>
      </c>
      <c r="I503" s="241"/>
    </row>
    <row r="504" spans="1:9" x14ac:dyDescent="0.25">
      <c r="A504" s="249">
        <v>45114</v>
      </c>
      <c r="B504" s="237">
        <v>24812</v>
      </c>
      <c r="C504" s="238" t="s">
        <v>15</v>
      </c>
      <c r="D504" s="239" t="s">
        <v>766</v>
      </c>
      <c r="E504" s="237">
        <v>100</v>
      </c>
      <c r="F504" s="242" t="s">
        <v>39</v>
      </c>
      <c r="G504" s="239" t="s">
        <v>930</v>
      </c>
      <c r="H504" s="240">
        <f t="shared" si="7"/>
        <v>109643</v>
      </c>
      <c r="I504" s="241"/>
    </row>
    <row r="505" spans="1:9" x14ac:dyDescent="0.25">
      <c r="A505" s="249">
        <v>45114</v>
      </c>
      <c r="B505" s="237">
        <v>123</v>
      </c>
      <c r="C505" s="238" t="s">
        <v>90</v>
      </c>
      <c r="D505" s="239" t="s">
        <v>768</v>
      </c>
      <c r="E505" s="237">
        <v>240</v>
      </c>
      <c r="F505" s="242" t="s">
        <v>210</v>
      </c>
      <c r="G505" s="239" t="s">
        <v>930</v>
      </c>
      <c r="H505" s="240">
        <f t="shared" si="7"/>
        <v>109526</v>
      </c>
      <c r="I505" s="241"/>
    </row>
    <row r="506" spans="1:9" x14ac:dyDescent="0.25">
      <c r="A506" s="249">
        <v>45114</v>
      </c>
      <c r="B506" s="237">
        <v>16138</v>
      </c>
      <c r="C506" s="238" t="s">
        <v>29</v>
      </c>
      <c r="D506" s="239" t="s">
        <v>763</v>
      </c>
      <c r="E506" s="237">
        <v>120</v>
      </c>
      <c r="F506" s="242" t="s">
        <v>38</v>
      </c>
      <c r="G506" s="239" t="s">
        <v>930</v>
      </c>
      <c r="H506" s="240">
        <f t="shared" si="7"/>
        <v>125544</v>
      </c>
      <c r="I506" s="241"/>
    </row>
    <row r="507" spans="1:9" x14ac:dyDescent="0.25">
      <c r="A507" s="249">
        <v>45114</v>
      </c>
      <c r="B507" s="237">
        <v>1897</v>
      </c>
      <c r="C507" s="238" t="s">
        <v>465</v>
      </c>
      <c r="D507" s="239" t="s">
        <v>765</v>
      </c>
      <c r="E507" s="237">
        <v>6730</v>
      </c>
      <c r="F507" s="242" t="s">
        <v>455</v>
      </c>
      <c r="G507" s="239" t="s">
        <v>935</v>
      </c>
      <c r="H507" s="240">
        <f t="shared" si="7"/>
        <v>120711</v>
      </c>
      <c r="I507" s="241"/>
    </row>
    <row r="508" spans="1:9" x14ac:dyDescent="0.25">
      <c r="A508" s="249">
        <v>45114</v>
      </c>
      <c r="B508" s="237">
        <v>565</v>
      </c>
      <c r="C508" s="238" t="s">
        <v>60</v>
      </c>
      <c r="D508" s="239" t="s">
        <v>763</v>
      </c>
      <c r="E508" s="237">
        <v>30</v>
      </c>
      <c r="F508" s="242" t="s">
        <v>19</v>
      </c>
      <c r="G508" s="239" t="s">
        <v>930</v>
      </c>
      <c r="H508" s="240">
        <f t="shared" si="7"/>
        <v>121246</v>
      </c>
      <c r="I508" s="241"/>
    </row>
    <row r="509" spans="1:9" x14ac:dyDescent="0.25">
      <c r="A509" s="249">
        <v>45114</v>
      </c>
      <c r="B509" s="237">
        <v>9945</v>
      </c>
      <c r="C509" s="238" t="s">
        <v>85</v>
      </c>
      <c r="D509" s="239" t="s">
        <v>766</v>
      </c>
      <c r="E509" s="237">
        <v>1170</v>
      </c>
      <c r="F509" s="242" t="s">
        <v>12</v>
      </c>
      <c r="G509" s="239" t="s">
        <v>974</v>
      </c>
      <c r="H509" s="240">
        <f t="shared" si="7"/>
        <v>130021</v>
      </c>
      <c r="I509" s="241" t="s">
        <v>750</v>
      </c>
    </row>
    <row r="510" spans="1:9" x14ac:dyDescent="0.25">
      <c r="A510" s="249">
        <v>45114</v>
      </c>
      <c r="B510" s="237">
        <v>715</v>
      </c>
      <c r="C510" s="238" t="s">
        <v>469</v>
      </c>
      <c r="D510" s="239" t="s">
        <v>924</v>
      </c>
      <c r="E510" s="237">
        <v>30</v>
      </c>
      <c r="F510" s="242" t="s">
        <v>458</v>
      </c>
      <c r="G510" s="239" t="s">
        <v>464</v>
      </c>
      <c r="H510" s="240">
        <f t="shared" si="7"/>
        <v>130706</v>
      </c>
      <c r="I510" s="241"/>
    </row>
    <row r="511" spans="1:9" x14ac:dyDescent="0.25">
      <c r="A511" s="249">
        <v>45114</v>
      </c>
      <c r="B511" s="237">
        <v>190</v>
      </c>
      <c r="C511" s="238" t="s">
        <v>958</v>
      </c>
      <c r="D511" s="239" t="s">
        <v>937</v>
      </c>
      <c r="E511" s="237">
        <v>117</v>
      </c>
      <c r="F511" s="242" t="s">
        <v>339</v>
      </c>
      <c r="G511" s="239" t="s">
        <v>935</v>
      </c>
      <c r="H511" s="240">
        <f t="shared" si="7"/>
        <v>130779</v>
      </c>
      <c r="I511" s="241"/>
    </row>
    <row r="512" spans="1:9" x14ac:dyDescent="0.25">
      <c r="A512" s="249">
        <v>45114</v>
      </c>
      <c r="B512" s="237"/>
      <c r="C512" s="238"/>
      <c r="D512" s="239"/>
      <c r="E512" s="237">
        <v>110</v>
      </c>
      <c r="F512" s="242" t="s">
        <v>107</v>
      </c>
      <c r="G512" s="239" t="s">
        <v>930</v>
      </c>
      <c r="H512" s="240">
        <f t="shared" si="7"/>
        <v>130669</v>
      </c>
      <c r="I512" s="241"/>
    </row>
    <row r="513" spans="1:9" x14ac:dyDescent="0.25">
      <c r="A513" s="249">
        <v>45114</v>
      </c>
      <c r="B513" s="237"/>
      <c r="C513" s="238"/>
      <c r="D513" s="239"/>
      <c r="E513" s="237">
        <v>75</v>
      </c>
      <c r="F513" s="242" t="s">
        <v>461</v>
      </c>
      <c r="G513" s="239" t="s">
        <v>930</v>
      </c>
      <c r="H513" s="240">
        <f t="shared" si="7"/>
        <v>130594</v>
      </c>
      <c r="I513" s="241"/>
    </row>
    <row r="514" spans="1:9" x14ac:dyDescent="0.25">
      <c r="A514" s="249">
        <v>45114</v>
      </c>
      <c r="B514" s="237"/>
      <c r="C514" s="238"/>
      <c r="D514" s="239"/>
      <c r="E514" s="237">
        <v>11</v>
      </c>
      <c r="F514" s="242" t="s">
        <v>393</v>
      </c>
      <c r="G514" s="239" t="s">
        <v>930</v>
      </c>
      <c r="H514" s="240">
        <f t="shared" si="7"/>
        <v>130583</v>
      </c>
      <c r="I514" s="241"/>
    </row>
    <row r="515" spans="1:9" x14ac:dyDescent="0.25">
      <c r="A515" s="249">
        <v>45114</v>
      </c>
      <c r="B515" s="237"/>
      <c r="C515" s="238"/>
      <c r="D515" s="239"/>
      <c r="E515" s="237">
        <v>30</v>
      </c>
      <c r="F515" s="242" t="s">
        <v>358</v>
      </c>
      <c r="G515" s="239" t="s">
        <v>938</v>
      </c>
      <c r="H515" s="240">
        <f t="shared" si="7"/>
        <v>130553</v>
      </c>
      <c r="I515" s="241"/>
    </row>
    <row r="516" spans="1:9" x14ac:dyDescent="0.25">
      <c r="A516" s="249">
        <v>45114</v>
      </c>
      <c r="B516" s="237"/>
      <c r="C516" s="238"/>
      <c r="D516" s="239"/>
      <c r="E516" s="237">
        <v>100</v>
      </c>
      <c r="F516" s="242" t="s">
        <v>462</v>
      </c>
      <c r="G516" s="239" t="s">
        <v>930</v>
      </c>
      <c r="H516" s="240">
        <f t="shared" si="7"/>
        <v>130453</v>
      </c>
      <c r="I516" s="241"/>
    </row>
    <row r="517" spans="1:9" x14ac:dyDescent="0.25">
      <c r="A517" s="249">
        <v>45114</v>
      </c>
      <c r="B517" s="237"/>
      <c r="C517" s="238"/>
      <c r="D517" s="239"/>
      <c r="E517" s="237">
        <v>50</v>
      </c>
      <c r="F517" s="242" t="s">
        <v>464</v>
      </c>
      <c r="G517" s="239" t="s">
        <v>464</v>
      </c>
      <c r="H517" s="240">
        <f t="shared" si="7"/>
        <v>130403</v>
      </c>
      <c r="I517" s="241" t="s">
        <v>463</v>
      </c>
    </row>
    <row r="518" spans="1:9" x14ac:dyDescent="0.25">
      <c r="A518" s="249">
        <v>45114</v>
      </c>
      <c r="B518" s="237"/>
      <c r="C518" s="238"/>
      <c r="D518" s="239"/>
      <c r="E518" s="237">
        <v>17</v>
      </c>
      <c r="F518" s="242" t="s">
        <v>464</v>
      </c>
      <c r="G518" s="239" t="s">
        <v>464</v>
      </c>
      <c r="H518" s="240">
        <f t="shared" ref="H518:H581" si="8">H517+B518-E518</f>
        <v>130386</v>
      </c>
      <c r="I518" s="241"/>
    </row>
    <row r="519" spans="1:9" x14ac:dyDescent="0.25">
      <c r="A519" s="249">
        <v>45114</v>
      </c>
      <c r="B519" s="237"/>
      <c r="C519" s="238"/>
      <c r="D519" s="239"/>
      <c r="E519" s="237">
        <v>75</v>
      </c>
      <c r="F519" s="242" t="s">
        <v>26</v>
      </c>
      <c r="G519" s="239" t="s">
        <v>930</v>
      </c>
      <c r="H519" s="240">
        <f t="shared" si="8"/>
        <v>130311</v>
      </c>
      <c r="I519" s="241"/>
    </row>
    <row r="520" spans="1:9" x14ac:dyDescent="0.25">
      <c r="A520" s="249">
        <v>45114</v>
      </c>
      <c r="B520" s="237"/>
      <c r="C520" s="238"/>
      <c r="D520" s="239"/>
      <c r="E520" s="237">
        <v>1745</v>
      </c>
      <c r="F520" s="242" t="s">
        <v>14</v>
      </c>
      <c r="G520" s="239" t="s">
        <v>935</v>
      </c>
      <c r="H520" s="240">
        <f t="shared" si="8"/>
        <v>128566</v>
      </c>
      <c r="I520" s="241"/>
    </row>
    <row r="521" spans="1:9" x14ac:dyDescent="0.25">
      <c r="A521" s="249">
        <v>45114</v>
      </c>
      <c r="B521" s="237"/>
      <c r="C521" s="238"/>
      <c r="D521" s="239"/>
      <c r="E521" s="237">
        <v>115</v>
      </c>
      <c r="F521" s="242" t="s">
        <v>381</v>
      </c>
      <c r="G521" s="239" t="s">
        <v>930</v>
      </c>
      <c r="H521" s="240">
        <f t="shared" si="8"/>
        <v>128451</v>
      </c>
      <c r="I521" s="241"/>
    </row>
    <row r="522" spans="1:9" x14ac:dyDescent="0.25">
      <c r="A522" s="249">
        <v>45114</v>
      </c>
      <c r="B522" s="237"/>
      <c r="C522" s="238"/>
      <c r="D522" s="239"/>
      <c r="E522" s="237">
        <v>460</v>
      </c>
      <c r="F522" s="242" t="s">
        <v>1158</v>
      </c>
      <c r="G522" s="239" t="s">
        <v>930</v>
      </c>
      <c r="H522" s="240">
        <f t="shared" si="8"/>
        <v>127991</v>
      </c>
      <c r="I522" s="241" t="s">
        <v>825</v>
      </c>
    </row>
    <row r="523" spans="1:9" x14ac:dyDescent="0.25">
      <c r="A523" s="249">
        <v>45114</v>
      </c>
      <c r="B523" s="237"/>
      <c r="C523" s="238"/>
      <c r="D523" s="239"/>
      <c r="E523" s="237">
        <v>95</v>
      </c>
      <c r="F523" s="242" t="s">
        <v>382</v>
      </c>
      <c r="G523" s="239" t="s">
        <v>930</v>
      </c>
      <c r="H523" s="240">
        <f t="shared" si="8"/>
        <v>127896</v>
      </c>
      <c r="I523" s="241"/>
    </row>
    <row r="524" spans="1:9" x14ac:dyDescent="0.25">
      <c r="A524" s="249">
        <v>45114</v>
      </c>
      <c r="B524" s="237"/>
      <c r="C524" s="238"/>
      <c r="D524" s="239"/>
      <c r="E524" s="237">
        <v>330</v>
      </c>
      <c r="F524" s="242" t="s">
        <v>467</v>
      </c>
      <c r="G524" s="239" t="s">
        <v>930</v>
      </c>
      <c r="H524" s="240">
        <f t="shared" si="8"/>
        <v>127566</v>
      </c>
      <c r="I524" s="241"/>
    </row>
    <row r="525" spans="1:9" x14ac:dyDescent="0.25">
      <c r="A525" s="249">
        <v>45114</v>
      </c>
      <c r="B525" s="237"/>
      <c r="C525" s="238"/>
      <c r="D525" s="239"/>
      <c r="E525" s="237">
        <v>14000</v>
      </c>
      <c r="F525" s="242" t="s">
        <v>25</v>
      </c>
      <c r="G525" s="239" t="s">
        <v>928</v>
      </c>
      <c r="H525" s="240">
        <f t="shared" si="8"/>
        <v>113566</v>
      </c>
      <c r="I525" s="241"/>
    </row>
    <row r="526" spans="1:9" x14ac:dyDescent="0.25">
      <c r="A526" s="249">
        <v>45114</v>
      </c>
      <c r="B526" s="237"/>
      <c r="C526" s="238"/>
      <c r="D526" s="239"/>
      <c r="E526" s="237">
        <v>970</v>
      </c>
      <c r="F526" s="242" t="s">
        <v>853</v>
      </c>
      <c r="G526" s="239" t="s">
        <v>930</v>
      </c>
      <c r="H526" s="240">
        <f t="shared" si="8"/>
        <v>112596</v>
      </c>
      <c r="I526" s="241" t="s">
        <v>796</v>
      </c>
    </row>
    <row r="527" spans="1:9" x14ac:dyDescent="0.25">
      <c r="A527" s="249">
        <v>45114</v>
      </c>
      <c r="B527" s="237"/>
      <c r="C527" s="238"/>
      <c r="D527" s="239"/>
      <c r="E527" s="237">
        <v>500</v>
      </c>
      <c r="F527" s="242" t="s">
        <v>27</v>
      </c>
      <c r="G527" s="239" t="s">
        <v>943</v>
      </c>
      <c r="H527" s="240">
        <f t="shared" si="8"/>
        <v>112096</v>
      </c>
      <c r="I527" s="241"/>
    </row>
    <row r="528" spans="1:9" x14ac:dyDescent="0.25">
      <c r="A528" s="249">
        <v>45114</v>
      </c>
      <c r="B528" s="237"/>
      <c r="C528" s="238"/>
      <c r="D528" s="239"/>
      <c r="E528" s="237">
        <v>228</v>
      </c>
      <c r="F528" s="242" t="s">
        <v>358</v>
      </c>
      <c r="G528" s="239" t="s">
        <v>938</v>
      </c>
      <c r="H528" s="240">
        <f t="shared" si="8"/>
        <v>111868</v>
      </c>
      <c r="I528" s="241" t="s">
        <v>412</v>
      </c>
    </row>
    <row r="529" spans="1:9" x14ac:dyDescent="0.25">
      <c r="A529" s="249">
        <v>45114</v>
      </c>
      <c r="B529" s="237"/>
      <c r="C529" s="238"/>
      <c r="D529" s="239"/>
      <c r="E529" s="237">
        <v>865</v>
      </c>
      <c r="F529" s="242" t="s">
        <v>358</v>
      </c>
      <c r="G529" s="239" t="s">
        <v>938</v>
      </c>
      <c r="H529" s="240">
        <f t="shared" si="8"/>
        <v>111003</v>
      </c>
      <c r="I529" s="241" t="s">
        <v>854</v>
      </c>
    </row>
    <row r="530" spans="1:9" x14ac:dyDescent="0.25">
      <c r="A530" s="249">
        <v>45114</v>
      </c>
      <c r="B530" s="237"/>
      <c r="C530" s="238"/>
      <c r="D530" s="239"/>
      <c r="E530" s="237">
        <v>12000</v>
      </c>
      <c r="F530" s="242" t="s">
        <v>358</v>
      </c>
      <c r="G530" s="239" t="s">
        <v>938</v>
      </c>
      <c r="H530" s="240">
        <f t="shared" si="8"/>
        <v>99003</v>
      </c>
      <c r="I530" s="241"/>
    </row>
    <row r="531" spans="1:9" x14ac:dyDescent="0.25">
      <c r="A531" s="249">
        <v>45114</v>
      </c>
      <c r="B531" s="237"/>
      <c r="C531" s="238"/>
      <c r="D531" s="239"/>
      <c r="E531" s="237">
        <v>141</v>
      </c>
      <c r="F531" s="242" t="s">
        <v>266</v>
      </c>
      <c r="G531" s="239" t="s">
        <v>930</v>
      </c>
      <c r="H531" s="240">
        <f t="shared" si="8"/>
        <v>98862</v>
      </c>
      <c r="I531" s="241" t="s">
        <v>412</v>
      </c>
    </row>
    <row r="532" spans="1:9" x14ac:dyDescent="0.25">
      <c r="A532" s="249">
        <v>45114</v>
      </c>
      <c r="B532" s="237"/>
      <c r="C532" s="238"/>
      <c r="D532" s="239"/>
      <c r="E532" s="237">
        <v>28</v>
      </c>
      <c r="F532" s="242" t="s">
        <v>74</v>
      </c>
      <c r="G532" s="239" t="s">
        <v>464</v>
      </c>
      <c r="H532" s="240">
        <f t="shared" si="8"/>
        <v>98834</v>
      </c>
      <c r="I532" s="241" t="s">
        <v>412</v>
      </c>
    </row>
    <row r="533" spans="1:9" x14ac:dyDescent="0.25">
      <c r="A533" s="249">
        <v>45114</v>
      </c>
      <c r="B533" s="237"/>
      <c r="C533" s="238"/>
      <c r="D533" s="239"/>
      <c r="E533" s="237">
        <v>16</v>
      </c>
      <c r="F533" s="242" t="s">
        <v>74</v>
      </c>
      <c r="G533" s="239" t="s">
        <v>464</v>
      </c>
      <c r="H533" s="240">
        <f t="shared" si="8"/>
        <v>98818</v>
      </c>
      <c r="I533" s="241" t="s">
        <v>33</v>
      </c>
    </row>
    <row r="534" spans="1:9" x14ac:dyDescent="0.25">
      <c r="A534" s="249">
        <v>45114</v>
      </c>
      <c r="B534" s="237"/>
      <c r="C534" s="238"/>
      <c r="D534" s="239"/>
      <c r="E534" s="237">
        <v>16</v>
      </c>
      <c r="F534" s="242" t="s">
        <v>447</v>
      </c>
      <c r="G534" s="239" t="s">
        <v>931</v>
      </c>
      <c r="H534" s="240">
        <f t="shared" si="8"/>
        <v>98802</v>
      </c>
      <c r="I534" s="241"/>
    </row>
    <row r="535" spans="1:9" x14ac:dyDescent="0.25">
      <c r="A535" s="244">
        <v>45114</v>
      </c>
      <c r="B535" s="245"/>
      <c r="C535" s="246"/>
      <c r="D535" s="247"/>
      <c r="E535" s="245">
        <v>135</v>
      </c>
      <c r="F535" s="248" t="s">
        <v>27</v>
      </c>
      <c r="G535" s="247" t="s">
        <v>943</v>
      </c>
      <c r="H535" s="240">
        <f t="shared" si="8"/>
        <v>98667</v>
      </c>
      <c r="I535" s="241"/>
    </row>
    <row r="536" spans="1:9" x14ac:dyDescent="0.25">
      <c r="A536" s="249">
        <v>45115</v>
      </c>
      <c r="B536" s="237"/>
      <c r="C536" s="238"/>
      <c r="D536" s="239"/>
      <c r="E536" s="237">
        <v>62</v>
      </c>
      <c r="F536" s="242" t="s">
        <v>33</v>
      </c>
      <c r="G536" s="239" t="s">
        <v>464</v>
      </c>
      <c r="H536" s="240">
        <f t="shared" si="8"/>
        <v>98605</v>
      </c>
      <c r="I536" s="241"/>
    </row>
    <row r="537" spans="1:9" x14ac:dyDescent="0.25">
      <c r="A537" s="249">
        <v>45115</v>
      </c>
      <c r="B537" s="237">
        <v>18267</v>
      </c>
      <c r="C537" s="238" t="s">
        <v>9</v>
      </c>
      <c r="D537" s="239" t="s">
        <v>763</v>
      </c>
      <c r="E537" s="237">
        <v>10000</v>
      </c>
      <c r="F537" s="242" t="s">
        <v>266</v>
      </c>
      <c r="G537" s="239" t="s">
        <v>931</v>
      </c>
      <c r="H537" s="240">
        <f t="shared" si="8"/>
        <v>106872</v>
      </c>
      <c r="I537" s="241"/>
    </row>
    <row r="538" spans="1:9" x14ac:dyDescent="0.25">
      <c r="A538" s="249">
        <v>45115</v>
      </c>
      <c r="B538" s="237">
        <v>634</v>
      </c>
      <c r="C538" s="238" t="s">
        <v>28</v>
      </c>
      <c r="D538" s="239" t="s">
        <v>765</v>
      </c>
      <c r="E538" s="237">
        <v>40</v>
      </c>
      <c r="F538" s="242" t="s">
        <v>10</v>
      </c>
      <c r="G538" s="239" t="s">
        <v>930</v>
      </c>
      <c r="H538" s="240">
        <f t="shared" si="8"/>
        <v>107466</v>
      </c>
      <c r="I538" s="241"/>
    </row>
    <row r="539" spans="1:9" x14ac:dyDescent="0.25">
      <c r="A539" s="249">
        <v>45115</v>
      </c>
      <c r="B539" s="237">
        <v>940</v>
      </c>
      <c r="C539" s="238" t="s">
        <v>19</v>
      </c>
      <c r="D539" s="239" t="s">
        <v>763</v>
      </c>
      <c r="E539" s="237">
        <v>2560</v>
      </c>
      <c r="F539" s="242" t="s">
        <v>470</v>
      </c>
      <c r="G539" s="239" t="s">
        <v>928</v>
      </c>
      <c r="H539" s="240">
        <f t="shared" si="8"/>
        <v>105846</v>
      </c>
      <c r="I539" s="241"/>
    </row>
    <row r="540" spans="1:9" x14ac:dyDescent="0.25">
      <c r="A540" s="249">
        <v>45115</v>
      </c>
      <c r="B540" s="237">
        <v>10280</v>
      </c>
      <c r="C540" s="238" t="s">
        <v>80</v>
      </c>
      <c r="D540" s="239" t="s">
        <v>763</v>
      </c>
      <c r="E540" s="237">
        <v>9050</v>
      </c>
      <c r="F540" s="242" t="s">
        <v>16</v>
      </c>
      <c r="G540" s="239" t="s">
        <v>936</v>
      </c>
      <c r="H540" s="240">
        <f t="shared" si="8"/>
        <v>107076</v>
      </c>
      <c r="I540" s="241"/>
    </row>
    <row r="541" spans="1:9" x14ac:dyDescent="0.25">
      <c r="A541" s="249">
        <v>45115</v>
      </c>
      <c r="B541" s="237">
        <v>1141</v>
      </c>
      <c r="C541" s="238" t="s">
        <v>81</v>
      </c>
      <c r="D541" s="239" t="s">
        <v>765</v>
      </c>
      <c r="E541" s="237">
        <v>6852</v>
      </c>
      <c r="F541" s="242" t="s">
        <v>505</v>
      </c>
      <c r="G541" s="239" t="s">
        <v>928</v>
      </c>
      <c r="H541" s="240">
        <f t="shared" si="8"/>
        <v>101365</v>
      </c>
      <c r="I541" s="241" t="s">
        <v>794</v>
      </c>
    </row>
    <row r="542" spans="1:9" x14ac:dyDescent="0.25">
      <c r="A542" s="249">
        <v>45115</v>
      </c>
      <c r="B542" s="237">
        <v>5155</v>
      </c>
      <c r="C542" s="238" t="s">
        <v>27</v>
      </c>
      <c r="D542" s="239" t="s">
        <v>772</v>
      </c>
      <c r="E542" s="237">
        <v>2960</v>
      </c>
      <c r="F542" s="242" t="s">
        <v>473</v>
      </c>
      <c r="G542" s="239" t="s">
        <v>928</v>
      </c>
      <c r="H542" s="240">
        <f t="shared" si="8"/>
        <v>103560</v>
      </c>
      <c r="I542" s="241"/>
    </row>
    <row r="543" spans="1:9" x14ac:dyDescent="0.25">
      <c r="A543" s="249">
        <v>45115</v>
      </c>
      <c r="B543" s="237">
        <v>165</v>
      </c>
      <c r="C543" s="261" t="s">
        <v>430</v>
      </c>
      <c r="D543" s="239" t="s">
        <v>766</v>
      </c>
      <c r="E543" s="237">
        <v>120</v>
      </c>
      <c r="F543" s="242" t="s">
        <v>393</v>
      </c>
      <c r="G543" s="239" t="s">
        <v>930</v>
      </c>
      <c r="H543" s="240">
        <f t="shared" si="8"/>
        <v>103605</v>
      </c>
      <c r="I543" s="241"/>
    </row>
    <row r="544" spans="1:9" x14ac:dyDescent="0.25">
      <c r="A544" s="249">
        <v>45115</v>
      </c>
      <c r="B544" s="237">
        <v>445</v>
      </c>
      <c r="C544" s="238" t="s">
        <v>27</v>
      </c>
      <c r="D544" s="239" t="s">
        <v>772</v>
      </c>
      <c r="E544" s="237">
        <v>215</v>
      </c>
      <c r="F544" s="242" t="s">
        <v>399</v>
      </c>
      <c r="G544" s="239" t="s">
        <v>930</v>
      </c>
      <c r="H544" s="240">
        <f t="shared" si="8"/>
        <v>103835</v>
      </c>
      <c r="I544" s="241"/>
    </row>
    <row r="545" spans="1:9" x14ac:dyDescent="0.25">
      <c r="A545" s="249">
        <v>45115</v>
      </c>
      <c r="B545" s="237">
        <v>30</v>
      </c>
      <c r="C545" s="238" t="s">
        <v>35</v>
      </c>
      <c r="D545" s="239" t="s">
        <v>937</v>
      </c>
      <c r="E545" s="237">
        <v>255</v>
      </c>
      <c r="F545" s="242" t="s">
        <v>8</v>
      </c>
      <c r="G545" s="239" t="s">
        <v>930</v>
      </c>
      <c r="H545" s="240">
        <f t="shared" si="8"/>
        <v>103610</v>
      </c>
      <c r="I545" s="241"/>
    </row>
    <row r="546" spans="1:9" x14ac:dyDescent="0.25">
      <c r="A546" s="249">
        <v>45115</v>
      </c>
      <c r="B546" s="237">
        <v>2415</v>
      </c>
      <c r="C546" s="261" t="s">
        <v>490</v>
      </c>
      <c r="D546" s="239" t="s">
        <v>766</v>
      </c>
      <c r="E546" s="237">
        <v>105</v>
      </c>
      <c r="F546" s="242" t="s">
        <v>265</v>
      </c>
      <c r="G546" s="239" t="s">
        <v>935</v>
      </c>
      <c r="H546" s="240">
        <f t="shared" si="8"/>
        <v>105920</v>
      </c>
      <c r="I546" s="241"/>
    </row>
    <row r="547" spans="1:9" x14ac:dyDescent="0.25">
      <c r="A547" s="249">
        <v>45115</v>
      </c>
      <c r="B547" s="237">
        <v>25171</v>
      </c>
      <c r="C547" s="238" t="s">
        <v>29</v>
      </c>
      <c r="D547" s="239" t="s">
        <v>763</v>
      </c>
      <c r="E547" s="237">
        <v>2455</v>
      </c>
      <c r="F547" s="242" t="s">
        <v>12</v>
      </c>
      <c r="G547" s="239" t="s">
        <v>974</v>
      </c>
      <c r="H547" s="240">
        <f t="shared" si="8"/>
        <v>128636</v>
      </c>
      <c r="I547" s="241"/>
    </row>
    <row r="548" spans="1:9" x14ac:dyDescent="0.25">
      <c r="A548" s="249">
        <v>45115</v>
      </c>
      <c r="B548" s="237">
        <v>1164</v>
      </c>
      <c r="C548" s="238" t="s">
        <v>465</v>
      </c>
      <c r="D548" s="239" t="s">
        <v>765</v>
      </c>
      <c r="E548" s="237">
        <v>410</v>
      </c>
      <c r="F548" s="242" t="s">
        <v>11</v>
      </c>
      <c r="G548" s="239" t="s">
        <v>935</v>
      </c>
      <c r="H548" s="240">
        <f t="shared" si="8"/>
        <v>129390</v>
      </c>
      <c r="I548" s="241"/>
    </row>
    <row r="549" spans="1:9" x14ac:dyDescent="0.25">
      <c r="A549" s="249">
        <v>45115</v>
      </c>
      <c r="B549" s="237">
        <v>22522</v>
      </c>
      <c r="C549" s="238" t="s">
        <v>15</v>
      </c>
      <c r="D549" s="239" t="s">
        <v>766</v>
      </c>
      <c r="E549" s="237">
        <v>1050</v>
      </c>
      <c r="F549" s="242" t="s">
        <v>474</v>
      </c>
      <c r="G549" s="239" t="s">
        <v>928</v>
      </c>
      <c r="H549" s="240">
        <f t="shared" si="8"/>
        <v>150862</v>
      </c>
      <c r="I549" s="241"/>
    </row>
    <row r="550" spans="1:9" x14ac:dyDescent="0.25">
      <c r="A550" s="249">
        <v>45115</v>
      </c>
      <c r="B550" s="237">
        <v>60</v>
      </c>
      <c r="C550" s="238" t="s">
        <v>90</v>
      </c>
      <c r="D550" s="239" t="s">
        <v>768</v>
      </c>
      <c r="E550" s="237">
        <v>290</v>
      </c>
      <c r="F550" s="242" t="s">
        <v>476</v>
      </c>
      <c r="G550" s="239" t="s">
        <v>930</v>
      </c>
      <c r="H550" s="240">
        <f t="shared" si="8"/>
        <v>150632</v>
      </c>
      <c r="I550" s="241"/>
    </row>
    <row r="551" spans="1:9" x14ac:dyDescent="0.25">
      <c r="A551" s="249">
        <v>45115</v>
      </c>
      <c r="B551" s="237">
        <v>17998</v>
      </c>
      <c r="C551" s="238" t="s">
        <v>88</v>
      </c>
      <c r="D551" s="239" t="s">
        <v>766</v>
      </c>
      <c r="E551" s="237">
        <v>505</v>
      </c>
      <c r="F551" s="242" t="s">
        <v>37</v>
      </c>
      <c r="G551" s="239" t="s">
        <v>928</v>
      </c>
      <c r="H551" s="240">
        <f t="shared" si="8"/>
        <v>168125</v>
      </c>
      <c r="I551" s="241"/>
    </row>
    <row r="552" spans="1:9" x14ac:dyDescent="0.25">
      <c r="A552" s="249">
        <v>45115</v>
      </c>
      <c r="B552" s="237">
        <v>390</v>
      </c>
      <c r="C552" s="238" t="s">
        <v>747</v>
      </c>
      <c r="D552" s="239" t="s">
        <v>768</v>
      </c>
      <c r="E552" s="237">
        <v>1000</v>
      </c>
      <c r="F552" s="242" t="s">
        <v>220</v>
      </c>
      <c r="G552" s="239" t="s">
        <v>928</v>
      </c>
      <c r="H552" s="240">
        <f t="shared" si="8"/>
        <v>167515</v>
      </c>
      <c r="I552" s="241" t="s">
        <v>855</v>
      </c>
    </row>
    <row r="553" spans="1:9" x14ac:dyDescent="0.25">
      <c r="A553" s="249">
        <v>45115</v>
      </c>
      <c r="B553" s="237">
        <v>5890</v>
      </c>
      <c r="C553" s="238" t="s">
        <v>6</v>
      </c>
      <c r="D553" s="239" t="s">
        <v>766</v>
      </c>
      <c r="E553" s="237">
        <v>1000</v>
      </c>
      <c r="F553" s="242" t="s">
        <v>737</v>
      </c>
      <c r="G553" s="239" t="s">
        <v>928</v>
      </c>
      <c r="H553" s="240">
        <f t="shared" si="8"/>
        <v>172405</v>
      </c>
      <c r="I553" s="241" t="s">
        <v>856</v>
      </c>
    </row>
    <row r="554" spans="1:9" x14ac:dyDescent="0.25">
      <c r="A554" s="249">
        <v>45115</v>
      </c>
      <c r="B554" s="237">
        <v>127</v>
      </c>
      <c r="C554" s="238" t="s">
        <v>93</v>
      </c>
      <c r="D554" s="239" t="s">
        <v>768</v>
      </c>
      <c r="E554" s="237">
        <v>140</v>
      </c>
      <c r="F554" s="242" t="s">
        <v>82</v>
      </c>
      <c r="G554" s="239" t="s">
        <v>464</v>
      </c>
      <c r="H554" s="240">
        <f t="shared" si="8"/>
        <v>172392</v>
      </c>
      <c r="I554" s="241" t="s">
        <v>857</v>
      </c>
    </row>
    <row r="555" spans="1:9" x14ac:dyDescent="0.25">
      <c r="A555" s="249">
        <v>45115</v>
      </c>
      <c r="B555" s="237">
        <v>3460</v>
      </c>
      <c r="C555" s="238" t="s">
        <v>24</v>
      </c>
      <c r="D555" s="239" t="s">
        <v>766</v>
      </c>
      <c r="E555" s="237">
        <v>140</v>
      </c>
      <c r="F555" s="242" t="s">
        <v>13</v>
      </c>
      <c r="G555" s="239" t="s">
        <v>930</v>
      </c>
      <c r="H555" s="240">
        <f t="shared" si="8"/>
        <v>175712</v>
      </c>
      <c r="I555" s="241" t="s">
        <v>857</v>
      </c>
    </row>
    <row r="556" spans="1:9" x14ac:dyDescent="0.25">
      <c r="A556" s="249">
        <v>45115</v>
      </c>
      <c r="B556" s="237"/>
      <c r="C556" s="238"/>
      <c r="D556" s="239"/>
      <c r="E556" s="237">
        <v>50</v>
      </c>
      <c r="F556" s="242" t="s">
        <v>13</v>
      </c>
      <c r="G556" s="239" t="s">
        <v>930</v>
      </c>
      <c r="H556" s="240">
        <f t="shared" si="8"/>
        <v>175662</v>
      </c>
      <c r="I556" s="241"/>
    </row>
    <row r="557" spans="1:9" x14ac:dyDescent="0.25">
      <c r="A557" s="249">
        <v>45115</v>
      </c>
      <c r="B557" s="237"/>
      <c r="C557" s="238"/>
      <c r="D557" s="239"/>
      <c r="E557" s="237">
        <v>3945</v>
      </c>
      <c r="F557" s="242" t="s">
        <v>49</v>
      </c>
      <c r="G557" s="239" t="s">
        <v>928</v>
      </c>
      <c r="H557" s="240">
        <f t="shared" si="8"/>
        <v>171717</v>
      </c>
      <c r="I557" s="241"/>
    </row>
    <row r="558" spans="1:9" x14ac:dyDescent="0.25">
      <c r="A558" s="249">
        <v>45115</v>
      </c>
      <c r="B558" s="237"/>
      <c r="C558" s="238"/>
      <c r="D558" s="239"/>
      <c r="E558" s="237">
        <v>180</v>
      </c>
      <c r="F558" s="242" t="s">
        <v>482</v>
      </c>
      <c r="G558" s="239" t="s">
        <v>930</v>
      </c>
      <c r="H558" s="240">
        <f t="shared" si="8"/>
        <v>171537</v>
      </c>
      <c r="I558" s="241"/>
    </row>
    <row r="559" spans="1:9" x14ac:dyDescent="0.25">
      <c r="A559" s="249">
        <v>45115</v>
      </c>
      <c r="B559" s="237"/>
      <c r="C559" s="238"/>
      <c r="D559" s="239"/>
      <c r="E559" s="237">
        <v>1365</v>
      </c>
      <c r="F559" s="242" t="s">
        <v>230</v>
      </c>
      <c r="G559" s="239" t="s">
        <v>928</v>
      </c>
      <c r="H559" s="240">
        <f t="shared" si="8"/>
        <v>170172</v>
      </c>
      <c r="I559" s="241" t="s">
        <v>858</v>
      </c>
    </row>
    <row r="560" spans="1:9" x14ac:dyDescent="0.25">
      <c r="A560" s="249">
        <v>45115</v>
      </c>
      <c r="B560" s="237"/>
      <c r="C560" s="238"/>
      <c r="D560" s="239"/>
      <c r="E560" s="237">
        <v>5060</v>
      </c>
      <c r="F560" s="241" t="s">
        <v>959</v>
      </c>
      <c r="G560" s="239" t="s">
        <v>960</v>
      </c>
      <c r="H560" s="240">
        <f t="shared" si="8"/>
        <v>165112</v>
      </c>
      <c r="I560" s="241"/>
    </row>
    <row r="561" spans="1:9" x14ac:dyDescent="0.25">
      <c r="A561" s="249">
        <v>45115</v>
      </c>
      <c r="B561" s="237"/>
      <c r="C561" s="238"/>
      <c r="D561" s="239"/>
      <c r="E561" s="237">
        <v>15000</v>
      </c>
      <c r="F561" s="242" t="s">
        <v>43</v>
      </c>
      <c r="G561" s="239" t="s">
        <v>941</v>
      </c>
      <c r="H561" s="240">
        <f t="shared" si="8"/>
        <v>150112</v>
      </c>
      <c r="I561" s="241"/>
    </row>
    <row r="562" spans="1:9" x14ac:dyDescent="0.25">
      <c r="A562" s="249">
        <v>45115</v>
      </c>
      <c r="B562" s="237"/>
      <c r="C562" s="238"/>
      <c r="D562" s="239"/>
      <c r="E562" s="237">
        <v>1700</v>
      </c>
      <c r="F562" s="242" t="s">
        <v>14</v>
      </c>
      <c r="G562" s="239" t="s">
        <v>935</v>
      </c>
      <c r="H562" s="240">
        <f t="shared" si="8"/>
        <v>148412</v>
      </c>
      <c r="I562" s="241"/>
    </row>
    <row r="563" spans="1:9" x14ac:dyDescent="0.25">
      <c r="A563" s="249">
        <v>45115</v>
      </c>
      <c r="B563" s="237"/>
      <c r="C563" s="238"/>
      <c r="D563" s="239"/>
      <c r="E563" s="237">
        <v>85</v>
      </c>
      <c r="F563" s="242" t="s">
        <v>486</v>
      </c>
      <c r="G563" s="239" t="s">
        <v>930</v>
      </c>
      <c r="H563" s="240">
        <f t="shared" si="8"/>
        <v>148327</v>
      </c>
      <c r="I563" s="241"/>
    </row>
    <row r="564" spans="1:9" x14ac:dyDescent="0.25">
      <c r="A564" s="249">
        <v>45115</v>
      </c>
      <c r="B564" s="237"/>
      <c r="C564" s="238"/>
      <c r="D564" s="239"/>
      <c r="E564" s="237">
        <v>65</v>
      </c>
      <c r="F564" s="242" t="s">
        <v>370</v>
      </c>
      <c r="G564" s="239" t="s">
        <v>930</v>
      </c>
      <c r="H564" s="240">
        <f t="shared" si="8"/>
        <v>148262</v>
      </c>
      <c r="I564" s="241"/>
    </row>
    <row r="565" spans="1:9" x14ac:dyDescent="0.25">
      <c r="A565" s="249">
        <v>45115</v>
      </c>
      <c r="B565" s="237"/>
      <c r="C565" s="238"/>
      <c r="D565" s="239"/>
      <c r="E565" s="237">
        <v>5485</v>
      </c>
      <c r="F565" s="242" t="s">
        <v>859</v>
      </c>
      <c r="G565" s="239" t="s">
        <v>928</v>
      </c>
      <c r="H565" s="240">
        <f t="shared" si="8"/>
        <v>142777</v>
      </c>
      <c r="I565" s="241" t="s">
        <v>796</v>
      </c>
    </row>
    <row r="566" spans="1:9" x14ac:dyDescent="0.25">
      <c r="A566" s="249">
        <v>45115</v>
      </c>
      <c r="B566" s="237"/>
      <c r="C566" s="238"/>
      <c r="D566" s="239"/>
      <c r="E566" s="237">
        <v>2000</v>
      </c>
      <c r="F566" s="242" t="s">
        <v>848</v>
      </c>
      <c r="G566" s="239" t="s">
        <v>928</v>
      </c>
      <c r="H566" s="240">
        <f t="shared" si="8"/>
        <v>140777</v>
      </c>
      <c r="I566" s="241" t="s">
        <v>796</v>
      </c>
    </row>
    <row r="567" spans="1:9" x14ac:dyDescent="0.25">
      <c r="A567" s="249">
        <v>45115</v>
      </c>
      <c r="B567" s="237"/>
      <c r="C567" s="238"/>
      <c r="D567" s="239"/>
      <c r="E567" s="237">
        <v>16</v>
      </c>
      <c r="F567" s="242" t="s">
        <v>489</v>
      </c>
      <c r="G567" s="239" t="s">
        <v>464</v>
      </c>
      <c r="H567" s="240">
        <f t="shared" si="8"/>
        <v>140761</v>
      </c>
      <c r="I567" s="241"/>
    </row>
    <row r="568" spans="1:9" x14ac:dyDescent="0.25">
      <c r="A568" s="249">
        <v>45115</v>
      </c>
      <c r="B568" s="237"/>
      <c r="C568" s="238"/>
      <c r="D568" s="239"/>
      <c r="E568" s="237">
        <v>100</v>
      </c>
      <c r="F568" s="242" t="s">
        <v>376</v>
      </c>
      <c r="G568" s="239" t="s">
        <v>930</v>
      </c>
      <c r="H568" s="240">
        <f t="shared" si="8"/>
        <v>140661</v>
      </c>
      <c r="I568" s="241"/>
    </row>
    <row r="569" spans="1:9" x14ac:dyDescent="0.25">
      <c r="A569" s="249">
        <v>45115</v>
      </c>
      <c r="B569" s="237"/>
      <c r="C569" s="238"/>
      <c r="D569" s="239"/>
      <c r="E569" s="237">
        <v>100</v>
      </c>
      <c r="F569" s="242" t="s">
        <v>341</v>
      </c>
      <c r="G569" s="239" t="s">
        <v>930</v>
      </c>
      <c r="H569" s="240">
        <f t="shared" si="8"/>
        <v>140561</v>
      </c>
      <c r="I569" s="241"/>
    </row>
    <row r="570" spans="1:9" x14ac:dyDescent="0.25">
      <c r="A570" s="249">
        <v>45115</v>
      </c>
      <c r="B570" s="237"/>
      <c r="C570" s="238"/>
      <c r="D570" s="239"/>
      <c r="E570" s="237">
        <v>240</v>
      </c>
      <c r="F570" s="242" t="s">
        <v>7</v>
      </c>
      <c r="G570" s="239" t="s">
        <v>930</v>
      </c>
      <c r="H570" s="240">
        <f t="shared" si="8"/>
        <v>140321</v>
      </c>
      <c r="I570" s="241"/>
    </row>
    <row r="571" spans="1:9" x14ac:dyDescent="0.25">
      <c r="A571" s="249">
        <v>45115</v>
      </c>
      <c r="B571" s="237"/>
      <c r="C571" s="238"/>
      <c r="D571" s="239"/>
      <c r="E571" s="237">
        <v>10</v>
      </c>
      <c r="F571" s="242" t="s">
        <v>464</v>
      </c>
      <c r="G571" s="239" t="s">
        <v>464</v>
      </c>
      <c r="H571" s="240">
        <f t="shared" si="8"/>
        <v>140311</v>
      </c>
      <c r="I571" s="241" t="s">
        <v>501</v>
      </c>
    </row>
    <row r="572" spans="1:9" x14ac:dyDescent="0.25">
      <c r="A572" s="249">
        <v>45115</v>
      </c>
      <c r="B572" s="237"/>
      <c r="C572" s="238"/>
      <c r="D572" s="239"/>
      <c r="E572" s="237">
        <v>10</v>
      </c>
      <c r="F572" s="242" t="s">
        <v>464</v>
      </c>
      <c r="G572" s="239" t="s">
        <v>464</v>
      </c>
      <c r="H572" s="240">
        <f t="shared" si="8"/>
        <v>140301</v>
      </c>
      <c r="I572" s="242" t="s">
        <v>502</v>
      </c>
    </row>
    <row r="573" spans="1:9" x14ac:dyDescent="0.25">
      <c r="A573" s="249">
        <v>45115</v>
      </c>
      <c r="B573" s="237"/>
      <c r="C573" s="238"/>
      <c r="D573" s="239"/>
      <c r="E573" s="237">
        <v>374</v>
      </c>
      <c r="F573" s="242" t="s">
        <v>503</v>
      </c>
      <c r="G573" s="239" t="s">
        <v>928</v>
      </c>
      <c r="H573" s="240">
        <f t="shared" si="8"/>
        <v>139927</v>
      </c>
      <c r="I573" s="241"/>
    </row>
    <row r="574" spans="1:9" x14ac:dyDescent="0.25">
      <c r="A574" s="249">
        <v>45115</v>
      </c>
      <c r="B574" s="237"/>
      <c r="C574" s="238"/>
      <c r="D574" s="239"/>
      <c r="E574" s="237">
        <v>620</v>
      </c>
      <c r="F574" s="242" t="s">
        <v>79</v>
      </c>
      <c r="G574" s="239" t="s">
        <v>929</v>
      </c>
      <c r="H574" s="240">
        <f t="shared" si="8"/>
        <v>139307</v>
      </c>
      <c r="I574" s="241"/>
    </row>
    <row r="575" spans="1:9" x14ac:dyDescent="0.25">
      <c r="A575" s="249">
        <v>45115</v>
      </c>
      <c r="B575" s="237"/>
      <c r="C575" s="238"/>
      <c r="D575" s="239"/>
      <c r="E575" s="237">
        <v>720</v>
      </c>
      <c r="F575" s="242" t="s">
        <v>504</v>
      </c>
      <c r="G575" s="239" t="s">
        <v>928</v>
      </c>
      <c r="H575" s="240">
        <f t="shared" si="8"/>
        <v>138587</v>
      </c>
      <c r="I575" s="241"/>
    </row>
    <row r="576" spans="1:9" x14ac:dyDescent="0.25">
      <c r="A576" s="249">
        <v>45115</v>
      </c>
      <c r="B576" s="237"/>
      <c r="C576" s="238"/>
      <c r="D576" s="239"/>
      <c r="E576" s="237">
        <v>1340</v>
      </c>
      <c r="F576" s="242" t="s">
        <v>505</v>
      </c>
      <c r="G576" s="239" t="s">
        <v>928</v>
      </c>
      <c r="H576" s="240">
        <f t="shared" si="8"/>
        <v>137247</v>
      </c>
      <c r="I576" s="241"/>
    </row>
    <row r="577" spans="1:9" x14ac:dyDescent="0.25">
      <c r="A577" s="249">
        <v>45115</v>
      </c>
      <c r="B577" s="237"/>
      <c r="C577" s="238"/>
      <c r="D577" s="239"/>
      <c r="E577" s="237">
        <v>285</v>
      </c>
      <c r="F577" s="242" t="s">
        <v>506</v>
      </c>
      <c r="G577" s="239" t="s">
        <v>929</v>
      </c>
      <c r="H577" s="240">
        <f t="shared" si="8"/>
        <v>136962</v>
      </c>
      <c r="I577" s="241"/>
    </row>
    <row r="578" spans="1:9" x14ac:dyDescent="0.25">
      <c r="A578" s="249">
        <v>45115</v>
      </c>
      <c r="B578" s="237"/>
      <c r="C578" s="238"/>
      <c r="D578" s="239"/>
      <c r="E578" s="237">
        <v>1445</v>
      </c>
      <c r="F578" s="242" t="s">
        <v>45</v>
      </c>
      <c r="G578" s="239" t="s">
        <v>928</v>
      </c>
      <c r="H578" s="240">
        <f t="shared" si="8"/>
        <v>135517</v>
      </c>
      <c r="I578" s="241"/>
    </row>
    <row r="579" spans="1:9" x14ac:dyDescent="0.25">
      <c r="A579" s="249">
        <v>45115</v>
      </c>
      <c r="B579" s="237"/>
      <c r="C579" s="238"/>
      <c r="D579" s="239"/>
      <c r="E579" s="237">
        <v>840</v>
      </c>
      <c r="F579" s="242" t="s">
        <v>6</v>
      </c>
      <c r="G579" s="239" t="s">
        <v>930</v>
      </c>
      <c r="H579" s="240">
        <f t="shared" si="8"/>
        <v>134677</v>
      </c>
      <c r="I579" s="241"/>
    </row>
    <row r="580" spans="1:9" x14ac:dyDescent="0.25">
      <c r="A580" s="249">
        <v>45115</v>
      </c>
      <c r="B580" s="237"/>
      <c r="C580" s="238"/>
      <c r="D580" s="239"/>
      <c r="E580" s="237">
        <v>200</v>
      </c>
      <c r="F580" s="242" t="s">
        <v>464</v>
      </c>
      <c r="G580" s="239" t="s">
        <v>464</v>
      </c>
      <c r="H580" s="240">
        <f t="shared" si="8"/>
        <v>134477</v>
      </c>
      <c r="I580" s="242" t="s">
        <v>507</v>
      </c>
    </row>
    <row r="581" spans="1:9" x14ac:dyDescent="0.25">
      <c r="A581" s="249">
        <v>45115</v>
      </c>
      <c r="B581" s="237"/>
      <c r="C581" s="238"/>
      <c r="D581" s="239"/>
      <c r="E581" s="237">
        <v>1568</v>
      </c>
      <c r="F581" s="242" t="s">
        <v>358</v>
      </c>
      <c r="G581" s="239" t="s">
        <v>938</v>
      </c>
      <c r="H581" s="240">
        <f t="shared" si="8"/>
        <v>132909</v>
      </c>
      <c r="I581" s="241" t="s">
        <v>508</v>
      </c>
    </row>
    <row r="582" spans="1:9" x14ac:dyDescent="0.25">
      <c r="A582" s="249">
        <v>45115</v>
      </c>
      <c r="B582" s="237"/>
      <c r="C582" s="238"/>
      <c r="D582" s="239"/>
      <c r="E582" s="237">
        <v>46</v>
      </c>
      <c r="F582" s="242" t="s">
        <v>212</v>
      </c>
      <c r="G582" s="239" t="s">
        <v>464</v>
      </c>
      <c r="H582" s="240">
        <f t="shared" ref="H582:H645" si="9">H581+B582-E582</f>
        <v>132863</v>
      </c>
      <c r="I582" s="241"/>
    </row>
    <row r="583" spans="1:9" x14ac:dyDescent="0.25">
      <c r="A583" s="249">
        <v>45115</v>
      </c>
      <c r="B583" s="237"/>
      <c r="C583" s="238"/>
      <c r="D583" s="239"/>
      <c r="E583" s="237">
        <v>2000</v>
      </c>
      <c r="F583" s="242" t="s">
        <v>509</v>
      </c>
      <c r="G583" s="239" t="s">
        <v>931</v>
      </c>
      <c r="H583" s="240">
        <f t="shared" si="9"/>
        <v>130863</v>
      </c>
      <c r="I583" s="241"/>
    </row>
    <row r="584" spans="1:9" x14ac:dyDescent="0.25">
      <c r="A584" s="249">
        <v>45115</v>
      </c>
      <c r="B584" s="237"/>
      <c r="C584" s="238"/>
      <c r="D584" s="239"/>
      <c r="E584" s="237">
        <v>225</v>
      </c>
      <c r="F584" s="242" t="s">
        <v>210</v>
      </c>
      <c r="G584" s="239" t="s">
        <v>930</v>
      </c>
      <c r="H584" s="240">
        <f t="shared" si="9"/>
        <v>130638</v>
      </c>
      <c r="I584" s="241"/>
    </row>
    <row r="585" spans="1:9" x14ac:dyDescent="0.25">
      <c r="A585" s="249">
        <v>45115</v>
      </c>
      <c r="B585" s="237"/>
      <c r="C585" s="238"/>
      <c r="D585" s="239"/>
      <c r="E585" s="237">
        <v>520</v>
      </c>
      <c r="F585" s="242" t="s">
        <v>510</v>
      </c>
      <c r="G585" s="239" t="s">
        <v>930</v>
      </c>
      <c r="H585" s="240">
        <f t="shared" si="9"/>
        <v>130118</v>
      </c>
      <c r="I585" s="241"/>
    </row>
    <row r="586" spans="1:9" x14ac:dyDescent="0.25">
      <c r="A586" s="249">
        <v>45115</v>
      </c>
      <c r="B586" s="237"/>
      <c r="C586" s="238"/>
      <c r="D586" s="239"/>
      <c r="E586" s="237">
        <v>240</v>
      </c>
      <c r="F586" s="242" t="s">
        <v>255</v>
      </c>
      <c r="G586" s="239" t="s">
        <v>930</v>
      </c>
      <c r="H586" s="240">
        <f t="shared" si="9"/>
        <v>129878</v>
      </c>
      <c r="I586" s="241"/>
    </row>
    <row r="587" spans="1:9" x14ac:dyDescent="0.25">
      <c r="A587" s="249">
        <v>45115</v>
      </c>
      <c r="B587" s="237"/>
      <c r="C587" s="238"/>
      <c r="D587" s="239"/>
      <c r="E587" s="237">
        <v>80</v>
      </c>
      <c r="F587" s="242" t="s">
        <v>89</v>
      </c>
      <c r="G587" s="239" t="s">
        <v>930</v>
      </c>
      <c r="H587" s="240">
        <f t="shared" si="9"/>
        <v>129798</v>
      </c>
      <c r="I587" s="241"/>
    </row>
    <row r="588" spans="1:9" x14ac:dyDescent="0.25">
      <c r="A588" s="249">
        <v>45115</v>
      </c>
      <c r="B588" s="237"/>
      <c r="C588" s="238"/>
      <c r="D588" s="239"/>
      <c r="E588" s="237">
        <v>120</v>
      </c>
      <c r="F588" s="242" t="s">
        <v>39</v>
      </c>
      <c r="G588" s="239" t="s">
        <v>930</v>
      </c>
      <c r="H588" s="240">
        <f t="shared" si="9"/>
        <v>129678</v>
      </c>
      <c r="I588" s="241"/>
    </row>
    <row r="589" spans="1:9" x14ac:dyDescent="0.25">
      <c r="A589" s="249">
        <v>45115</v>
      </c>
      <c r="B589" s="237"/>
      <c r="C589" s="238"/>
      <c r="D589" s="239"/>
      <c r="E589" s="237">
        <v>75</v>
      </c>
      <c r="F589" s="242" t="s">
        <v>26</v>
      </c>
      <c r="G589" s="239" t="s">
        <v>930</v>
      </c>
      <c r="H589" s="240">
        <f t="shared" si="9"/>
        <v>129603</v>
      </c>
      <c r="I589" s="241"/>
    </row>
    <row r="590" spans="1:9" x14ac:dyDescent="0.25">
      <c r="A590" s="249">
        <v>45115</v>
      </c>
      <c r="B590" s="237"/>
      <c r="C590" s="238"/>
      <c r="D590" s="239"/>
      <c r="E590" s="237">
        <v>50</v>
      </c>
      <c r="F590" s="242" t="s">
        <v>464</v>
      </c>
      <c r="G590" s="239" t="s">
        <v>464</v>
      </c>
      <c r="H590" s="240">
        <f t="shared" si="9"/>
        <v>129553</v>
      </c>
      <c r="I590" s="241" t="s">
        <v>491</v>
      </c>
    </row>
    <row r="591" spans="1:9" x14ac:dyDescent="0.25">
      <c r="A591" s="249">
        <v>45115</v>
      </c>
      <c r="B591" s="237"/>
      <c r="C591" s="238"/>
      <c r="D591" s="239"/>
      <c r="E591" s="237">
        <v>60</v>
      </c>
      <c r="F591" s="242" t="s">
        <v>492</v>
      </c>
      <c r="G591" s="239" t="s">
        <v>464</v>
      </c>
      <c r="H591" s="240">
        <f t="shared" si="9"/>
        <v>129493</v>
      </c>
      <c r="I591" s="241"/>
    </row>
    <row r="592" spans="1:9" x14ac:dyDescent="0.25">
      <c r="A592" s="249">
        <v>45115</v>
      </c>
      <c r="B592" s="237"/>
      <c r="C592" s="238"/>
      <c r="D592" s="239"/>
      <c r="E592" s="237">
        <v>36</v>
      </c>
      <c r="F592" s="242" t="s">
        <v>493</v>
      </c>
      <c r="G592" s="239" t="s">
        <v>929</v>
      </c>
      <c r="H592" s="240">
        <f t="shared" si="9"/>
        <v>129457</v>
      </c>
      <c r="I592" s="241"/>
    </row>
    <row r="593" spans="1:9" x14ac:dyDescent="0.25">
      <c r="A593" s="249">
        <v>45115</v>
      </c>
      <c r="B593" s="237"/>
      <c r="C593" s="238"/>
      <c r="D593" s="239"/>
      <c r="E593" s="237">
        <v>30</v>
      </c>
      <c r="F593" s="242" t="s">
        <v>458</v>
      </c>
      <c r="G593" s="239" t="s">
        <v>464</v>
      </c>
      <c r="H593" s="240">
        <f t="shared" si="9"/>
        <v>129427</v>
      </c>
      <c r="I593" s="241"/>
    </row>
    <row r="594" spans="1:9" x14ac:dyDescent="0.25">
      <c r="A594" s="249">
        <v>45115</v>
      </c>
      <c r="B594" s="237"/>
      <c r="C594" s="238"/>
      <c r="D594" s="239"/>
      <c r="E594" s="237">
        <v>100</v>
      </c>
      <c r="F594" s="242" t="s">
        <v>494</v>
      </c>
      <c r="G594" s="239" t="s">
        <v>930</v>
      </c>
      <c r="H594" s="240">
        <f t="shared" si="9"/>
        <v>129327</v>
      </c>
      <c r="I594" s="241"/>
    </row>
    <row r="595" spans="1:9" x14ac:dyDescent="0.25">
      <c r="A595" s="249">
        <v>45115</v>
      </c>
      <c r="B595" s="237"/>
      <c r="C595" s="238"/>
      <c r="D595" s="239"/>
      <c r="E595" s="237">
        <v>205</v>
      </c>
      <c r="F595" s="242" t="s">
        <v>464</v>
      </c>
      <c r="G595" s="239" t="s">
        <v>464</v>
      </c>
      <c r="H595" s="240">
        <f t="shared" si="9"/>
        <v>129122</v>
      </c>
      <c r="I595" s="241" t="s">
        <v>495</v>
      </c>
    </row>
    <row r="596" spans="1:9" x14ac:dyDescent="0.25">
      <c r="A596" s="249">
        <v>45115</v>
      </c>
      <c r="B596" s="237"/>
      <c r="C596" s="238"/>
      <c r="D596" s="239"/>
      <c r="E596" s="237">
        <v>3550</v>
      </c>
      <c r="F596" s="242" t="s">
        <v>499</v>
      </c>
      <c r="G596" s="239" t="s">
        <v>928</v>
      </c>
      <c r="H596" s="240">
        <f t="shared" si="9"/>
        <v>125572</v>
      </c>
      <c r="I596" s="241"/>
    </row>
    <row r="597" spans="1:9" x14ac:dyDescent="0.25">
      <c r="A597" s="249">
        <v>45115</v>
      </c>
      <c r="B597" s="237"/>
      <c r="C597" s="238"/>
      <c r="D597" s="239"/>
      <c r="E597" s="237">
        <v>455</v>
      </c>
      <c r="F597" s="242" t="s">
        <v>496</v>
      </c>
      <c r="G597" s="239" t="s">
        <v>928</v>
      </c>
      <c r="H597" s="240">
        <f t="shared" si="9"/>
        <v>125117</v>
      </c>
      <c r="I597" s="241"/>
    </row>
    <row r="598" spans="1:9" x14ac:dyDescent="0.25">
      <c r="A598" s="249">
        <v>45115</v>
      </c>
      <c r="B598" s="237"/>
      <c r="C598" s="238"/>
      <c r="D598" s="239"/>
      <c r="E598" s="237">
        <v>160</v>
      </c>
      <c r="F598" s="242" t="s">
        <v>497</v>
      </c>
      <c r="G598" s="239" t="s">
        <v>928</v>
      </c>
      <c r="H598" s="240">
        <f t="shared" si="9"/>
        <v>124957</v>
      </c>
      <c r="I598" s="241"/>
    </row>
    <row r="599" spans="1:9" x14ac:dyDescent="0.25">
      <c r="A599" s="249">
        <v>45115</v>
      </c>
      <c r="B599" s="237"/>
      <c r="C599" s="238"/>
      <c r="D599" s="239"/>
      <c r="E599" s="237">
        <v>3346</v>
      </c>
      <c r="F599" s="242" t="s">
        <v>20</v>
      </c>
      <c r="G599" s="239" t="s">
        <v>928</v>
      </c>
      <c r="H599" s="240">
        <f t="shared" si="9"/>
        <v>121611</v>
      </c>
      <c r="I599" s="241"/>
    </row>
    <row r="600" spans="1:9" x14ac:dyDescent="0.25">
      <c r="A600" s="249">
        <v>45115</v>
      </c>
      <c r="B600" s="237"/>
      <c r="C600" s="238"/>
      <c r="D600" s="239"/>
      <c r="E600" s="237">
        <v>190</v>
      </c>
      <c r="F600" s="242" t="s">
        <v>15</v>
      </c>
      <c r="G600" s="239" t="s">
        <v>930</v>
      </c>
      <c r="H600" s="240">
        <f t="shared" si="9"/>
        <v>121421</v>
      </c>
      <c r="I600" s="241"/>
    </row>
    <row r="601" spans="1:9" x14ac:dyDescent="0.25">
      <c r="A601" s="249">
        <v>45115</v>
      </c>
      <c r="B601" s="237"/>
      <c r="C601" s="238"/>
      <c r="D601" s="239"/>
      <c r="E601" s="237">
        <v>185</v>
      </c>
      <c r="F601" s="242" t="s">
        <v>498</v>
      </c>
      <c r="G601" s="239" t="s">
        <v>930</v>
      </c>
      <c r="H601" s="240">
        <f t="shared" si="9"/>
        <v>121236</v>
      </c>
      <c r="I601" s="241"/>
    </row>
    <row r="602" spans="1:9" x14ac:dyDescent="0.25">
      <c r="A602" s="249">
        <v>45115</v>
      </c>
      <c r="B602" s="237"/>
      <c r="C602" s="238"/>
      <c r="D602" s="239"/>
      <c r="E602" s="237">
        <v>185</v>
      </c>
      <c r="F602" s="242" t="s">
        <v>86</v>
      </c>
      <c r="G602" s="239" t="s">
        <v>930</v>
      </c>
      <c r="H602" s="240">
        <f t="shared" si="9"/>
        <v>121051</v>
      </c>
      <c r="I602" s="241"/>
    </row>
    <row r="603" spans="1:9" x14ac:dyDescent="0.25">
      <c r="A603" s="249">
        <v>45115</v>
      </c>
      <c r="B603" s="237"/>
      <c r="C603" s="238"/>
      <c r="D603" s="239"/>
      <c r="E603" s="237">
        <v>2130</v>
      </c>
      <c r="F603" s="242" t="s">
        <v>785</v>
      </c>
      <c r="G603" s="239" t="s">
        <v>928</v>
      </c>
      <c r="H603" s="240">
        <f t="shared" si="9"/>
        <v>118921</v>
      </c>
      <c r="I603" s="241" t="s">
        <v>860</v>
      </c>
    </row>
    <row r="604" spans="1:9" x14ac:dyDescent="0.25">
      <c r="A604" s="249">
        <v>45115</v>
      </c>
      <c r="B604" s="237"/>
      <c r="C604" s="238"/>
      <c r="D604" s="239"/>
      <c r="E604" s="237">
        <v>605</v>
      </c>
      <c r="F604" s="242" t="s">
        <v>804</v>
      </c>
      <c r="G604" s="239" t="s">
        <v>928</v>
      </c>
      <c r="H604" s="240">
        <f t="shared" si="9"/>
        <v>118316</v>
      </c>
      <c r="I604" s="241" t="s">
        <v>861</v>
      </c>
    </row>
    <row r="605" spans="1:9" x14ac:dyDescent="0.25">
      <c r="A605" s="249">
        <v>45115</v>
      </c>
      <c r="B605" s="237"/>
      <c r="C605" s="238"/>
      <c r="D605" s="239"/>
      <c r="E605" s="237">
        <v>200</v>
      </c>
      <c r="F605" s="242" t="s">
        <v>511</v>
      </c>
      <c r="G605" s="239" t="s">
        <v>931</v>
      </c>
      <c r="H605" s="240">
        <f t="shared" si="9"/>
        <v>118116</v>
      </c>
      <c r="I605" s="241"/>
    </row>
    <row r="606" spans="1:9" x14ac:dyDescent="0.25">
      <c r="A606" s="249">
        <v>45115</v>
      </c>
      <c r="B606" s="237"/>
      <c r="C606" s="238"/>
      <c r="D606" s="239"/>
      <c r="E606" s="237">
        <v>15</v>
      </c>
      <c r="F606" s="242" t="s">
        <v>500</v>
      </c>
      <c r="G606" s="239" t="s">
        <v>931</v>
      </c>
      <c r="H606" s="240">
        <f t="shared" si="9"/>
        <v>118101</v>
      </c>
      <c r="I606" s="241"/>
    </row>
    <row r="607" spans="1:9" x14ac:dyDescent="0.25">
      <c r="A607" s="249">
        <v>45115</v>
      </c>
      <c r="B607" s="237"/>
      <c r="C607" s="238"/>
      <c r="D607" s="239"/>
      <c r="E607" s="237">
        <v>50</v>
      </c>
      <c r="F607" s="242" t="s">
        <v>408</v>
      </c>
      <c r="G607" s="239" t="s">
        <v>931</v>
      </c>
      <c r="H607" s="240">
        <f t="shared" si="9"/>
        <v>118051</v>
      </c>
      <c r="I607" s="241"/>
    </row>
    <row r="608" spans="1:9" x14ac:dyDescent="0.25">
      <c r="A608" s="249">
        <v>45115</v>
      </c>
      <c r="B608" s="237"/>
      <c r="C608" s="238"/>
      <c r="D608" s="239"/>
      <c r="E608" s="237">
        <v>7350</v>
      </c>
      <c r="F608" s="242" t="s">
        <v>74</v>
      </c>
      <c r="G608" s="239" t="s">
        <v>464</v>
      </c>
      <c r="H608" s="240">
        <f t="shared" si="9"/>
        <v>110701</v>
      </c>
      <c r="I608" s="241" t="s">
        <v>862</v>
      </c>
    </row>
    <row r="609" spans="1:9" x14ac:dyDescent="0.25">
      <c r="A609" s="249">
        <v>45115</v>
      </c>
      <c r="B609" s="237"/>
      <c r="C609" s="238"/>
      <c r="D609" s="239"/>
      <c r="E609" s="237">
        <v>1300</v>
      </c>
      <c r="F609" s="243" t="s">
        <v>961</v>
      </c>
      <c r="G609" s="239" t="s">
        <v>962</v>
      </c>
      <c r="H609" s="240">
        <f t="shared" si="9"/>
        <v>109401</v>
      </c>
      <c r="I609" s="241"/>
    </row>
    <row r="610" spans="1:9" x14ac:dyDescent="0.25">
      <c r="A610" s="249">
        <v>45115</v>
      </c>
      <c r="B610" s="237"/>
      <c r="C610" s="238"/>
      <c r="D610" s="239"/>
      <c r="E610" s="237">
        <v>90</v>
      </c>
      <c r="F610" s="242" t="s">
        <v>27</v>
      </c>
      <c r="G610" s="239" t="s">
        <v>943</v>
      </c>
      <c r="H610" s="240">
        <f t="shared" si="9"/>
        <v>109311</v>
      </c>
      <c r="I610" s="241"/>
    </row>
    <row r="611" spans="1:9" x14ac:dyDescent="0.25">
      <c r="A611" s="249">
        <v>45115</v>
      </c>
      <c r="B611" s="237"/>
      <c r="C611" s="238"/>
      <c r="D611" s="239"/>
      <c r="E611" s="237">
        <v>276</v>
      </c>
      <c r="F611" s="242" t="s">
        <v>458</v>
      </c>
      <c r="G611" s="239" t="s">
        <v>464</v>
      </c>
      <c r="H611" s="240">
        <f t="shared" si="9"/>
        <v>109035</v>
      </c>
      <c r="I611" s="241"/>
    </row>
    <row r="612" spans="1:9" x14ac:dyDescent="0.25">
      <c r="A612" s="249">
        <v>45115</v>
      </c>
      <c r="B612" s="237"/>
      <c r="C612" s="238"/>
      <c r="D612" s="239"/>
      <c r="E612" s="237">
        <v>20</v>
      </c>
      <c r="F612" s="243" t="s">
        <v>475</v>
      </c>
      <c r="G612" s="239" t="s">
        <v>941</v>
      </c>
      <c r="H612" s="240">
        <f t="shared" si="9"/>
        <v>109015</v>
      </c>
      <c r="I612" s="241"/>
    </row>
    <row r="613" spans="1:9" x14ac:dyDescent="0.25">
      <c r="A613" s="249">
        <v>45115</v>
      </c>
      <c r="B613" s="237"/>
      <c r="C613" s="238"/>
      <c r="D613" s="239"/>
      <c r="E613" s="237">
        <v>5625</v>
      </c>
      <c r="F613" s="242" t="s">
        <v>513</v>
      </c>
      <c r="G613" s="239" t="s">
        <v>464</v>
      </c>
      <c r="H613" s="240">
        <f t="shared" si="9"/>
        <v>103390</v>
      </c>
      <c r="I613" s="241"/>
    </row>
    <row r="614" spans="1:9" x14ac:dyDescent="0.25">
      <c r="A614" s="249">
        <v>45115</v>
      </c>
      <c r="B614" s="237"/>
      <c r="C614" s="238"/>
      <c r="D614" s="239"/>
      <c r="E614" s="237">
        <v>900</v>
      </c>
      <c r="F614" s="243" t="s">
        <v>472</v>
      </c>
      <c r="G614" s="239" t="s">
        <v>464</v>
      </c>
      <c r="H614" s="240">
        <f t="shared" si="9"/>
        <v>102490</v>
      </c>
      <c r="I614" s="241"/>
    </row>
    <row r="615" spans="1:9" x14ac:dyDescent="0.25">
      <c r="A615" s="249">
        <v>45115</v>
      </c>
      <c r="B615" s="237"/>
      <c r="C615" s="238"/>
      <c r="D615" s="239"/>
      <c r="E615" s="237">
        <v>100000</v>
      </c>
      <c r="F615" s="243" t="s">
        <v>358</v>
      </c>
      <c r="G615" s="239" t="s">
        <v>938</v>
      </c>
      <c r="H615" s="240">
        <f t="shared" si="9"/>
        <v>2490</v>
      </c>
      <c r="I615" s="241"/>
    </row>
    <row r="616" spans="1:9" x14ac:dyDescent="0.25">
      <c r="A616" s="244">
        <v>45115</v>
      </c>
      <c r="B616" s="245"/>
      <c r="C616" s="246"/>
      <c r="D616" s="247"/>
      <c r="E616" s="245">
        <v>1475</v>
      </c>
      <c r="F616" s="248" t="s">
        <v>537</v>
      </c>
      <c r="G616" s="247" t="s">
        <v>464</v>
      </c>
      <c r="H616" s="240">
        <f t="shared" si="9"/>
        <v>1015</v>
      </c>
      <c r="I616" s="241"/>
    </row>
    <row r="617" spans="1:9" x14ac:dyDescent="0.25">
      <c r="A617" s="249">
        <v>45116</v>
      </c>
      <c r="B617" s="237">
        <v>20000</v>
      </c>
      <c r="C617" s="238" t="s">
        <v>863</v>
      </c>
      <c r="D617" s="239" t="s">
        <v>771</v>
      </c>
      <c r="E617" s="237">
        <v>4770</v>
      </c>
      <c r="F617" s="242" t="s">
        <v>520</v>
      </c>
      <c r="G617" s="239" t="s">
        <v>928</v>
      </c>
      <c r="H617" s="240">
        <f t="shared" si="9"/>
        <v>16245</v>
      </c>
      <c r="I617" s="241"/>
    </row>
    <row r="618" spans="1:9" x14ac:dyDescent="0.25">
      <c r="A618" s="249">
        <v>45116</v>
      </c>
      <c r="B618" s="237">
        <v>18450</v>
      </c>
      <c r="C618" s="238" t="s">
        <v>358</v>
      </c>
      <c r="D618" s="239" t="s">
        <v>938</v>
      </c>
      <c r="E618" s="237">
        <v>2220</v>
      </c>
      <c r="F618" s="242" t="s">
        <v>519</v>
      </c>
      <c r="G618" s="239" t="s">
        <v>928</v>
      </c>
      <c r="H618" s="240">
        <f t="shared" si="9"/>
        <v>32475</v>
      </c>
      <c r="I618" s="241"/>
    </row>
    <row r="619" spans="1:9" x14ac:dyDescent="0.25">
      <c r="A619" s="249">
        <v>45116</v>
      </c>
      <c r="B619" s="237">
        <v>9150</v>
      </c>
      <c r="C619" s="238" t="s">
        <v>9</v>
      </c>
      <c r="D619" s="239" t="s">
        <v>763</v>
      </c>
      <c r="E619" s="237">
        <v>2300</v>
      </c>
      <c r="F619" s="242" t="s">
        <v>464</v>
      </c>
      <c r="G619" s="239" t="s">
        <v>464</v>
      </c>
      <c r="H619" s="240">
        <f t="shared" si="9"/>
        <v>39325</v>
      </c>
      <c r="I619" s="241" t="s">
        <v>864</v>
      </c>
    </row>
    <row r="620" spans="1:9" x14ac:dyDescent="0.25">
      <c r="A620" s="249">
        <v>45116</v>
      </c>
      <c r="B620" s="237">
        <v>13899</v>
      </c>
      <c r="C620" s="238" t="s">
        <v>80</v>
      </c>
      <c r="D620" s="239" t="s">
        <v>763</v>
      </c>
      <c r="E620" s="237">
        <v>790</v>
      </c>
      <c r="F620" s="242" t="s">
        <v>781</v>
      </c>
      <c r="G620" s="239" t="s">
        <v>928</v>
      </c>
      <c r="H620" s="240">
        <f t="shared" si="9"/>
        <v>52434</v>
      </c>
      <c r="I620" s="241" t="s">
        <v>865</v>
      </c>
    </row>
    <row r="621" spans="1:9" x14ac:dyDescent="0.25">
      <c r="A621" s="249">
        <v>45116</v>
      </c>
      <c r="B621" s="237">
        <v>1427</v>
      </c>
      <c r="C621" s="238" t="s">
        <v>81</v>
      </c>
      <c r="D621" s="239" t="s">
        <v>765</v>
      </c>
      <c r="E621" s="237">
        <v>5100</v>
      </c>
      <c r="F621" s="242" t="s">
        <v>517</v>
      </c>
      <c r="G621" s="239" t="s">
        <v>928</v>
      </c>
      <c r="H621" s="240">
        <f t="shared" si="9"/>
        <v>48761</v>
      </c>
      <c r="I621" s="241"/>
    </row>
    <row r="622" spans="1:9" x14ac:dyDescent="0.25">
      <c r="A622" s="249">
        <v>45116</v>
      </c>
      <c r="B622" s="237">
        <v>3230</v>
      </c>
      <c r="C622" s="238" t="s">
        <v>535</v>
      </c>
      <c r="D622" s="239" t="s">
        <v>763</v>
      </c>
      <c r="E622" s="237">
        <v>1800</v>
      </c>
      <c r="F622" s="242" t="s">
        <v>58</v>
      </c>
      <c r="G622" s="239" t="s">
        <v>928</v>
      </c>
      <c r="H622" s="240">
        <f t="shared" si="9"/>
        <v>50191</v>
      </c>
      <c r="I622" s="241"/>
    </row>
    <row r="623" spans="1:9" x14ac:dyDescent="0.25">
      <c r="A623" s="249">
        <v>45116</v>
      </c>
      <c r="B623" s="237">
        <v>194</v>
      </c>
      <c r="C623" s="238" t="s">
        <v>539</v>
      </c>
      <c r="D623" s="239" t="s">
        <v>765</v>
      </c>
      <c r="E623" s="237">
        <v>720</v>
      </c>
      <c r="F623" s="242" t="s">
        <v>220</v>
      </c>
      <c r="G623" s="239" t="s">
        <v>928</v>
      </c>
      <c r="H623" s="240">
        <f t="shared" si="9"/>
        <v>49665</v>
      </c>
      <c r="I623" s="241" t="s">
        <v>866</v>
      </c>
    </row>
    <row r="624" spans="1:9" x14ac:dyDescent="0.25">
      <c r="A624" s="249">
        <v>45116</v>
      </c>
      <c r="B624" s="237">
        <v>575</v>
      </c>
      <c r="C624" s="238" t="s">
        <v>27</v>
      </c>
      <c r="D624" s="239" t="s">
        <v>772</v>
      </c>
      <c r="E624" s="237">
        <v>1060</v>
      </c>
      <c r="F624" s="242" t="s">
        <v>516</v>
      </c>
      <c r="G624" s="239" t="s">
        <v>928</v>
      </c>
      <c r="H624" s="240">
        <f t="shared" si="9"/>
        <v>49180</v>
      </c>
      <c r="I624" s="241"/>
    </row>
    <row r="625" spans="1:9" x14ac:dyDescent="0.25">
      <c r="A625" s="249">
        <v>45116</v>
      </c>
      <c r="B625" s="237">
        <v>49</v>
      </c>
      <c r="C625" s="238" t="s">
        <v>35</v>
      </c>
      <c r="D625" s="239" t="s">
        <v>937</v>
      </c>
      <c r="E625" s="237">
        <v>2640</v>
      </c>
      <c r="F625" s="242" t="s">
        <v>515</v>
      </c>
      <c r="G625" s="239" t="s">
        <v>928</v>
      </c>
      <c r="H625" s="240">
        <f t="shared" si="9"/>
        <v>46589</v>
      </c>
      <c r="I625" s="241"/>
    </row>
    <row r="626" spans="1:9" x14ac:dyDescent="0.25">
      <c r="A626" s="249">
        <v>45116</v>
      </c>
      <c r="B626" s="237">
        <v>5000</v>
      </c>
      <c r="C626" s="238" t="s">
        <v>300</v>
      </c>
      <c r="D626" s="239" t="s">
        <v>763</v>
      </c>
      <c r="E626" s="237">
        <v>120</v>
      </c>
      <c r="F626" s="242" t="s">
        <v>393</v>
      </c>
      <c r="G626" s="239" t="s">
        <v>930</v>
      </c>
      <c r="H626" s="240">
        <f t="shared" si="9"/>
        <v>51469</v>
      </c>
      <c r="I626" s="241"/>
    </row>
    <row r="627" spans="1:9" x14ac:dyDescent="0.25">
      <c r="A627" s="249">
        <v>45116</v>
      </c>
      <c r="B627" s="237">
        <v>20</v>
      </c>
      <c r="C627" s="238" t="s">
        <v>27</v>
      </c>
      <c r="D627" s="239" t="s">
        <v>772</v>
      </c>
      <c r="E627" s="237">
        <v>120</v>
      </c>
      <c r="F627" s="242" t="s">
        <v>19</v>
      </c>
      <c r="G627" s="239" t="s">
        <v>930</v>
      </c>
      <c r="H627" s="240">
        <f t="shared" si="9"/>
        <v>51369</v>
      </c>
      <c r="I627" s="241"/>
    </row>
    <row r="628" spans="1:9" x14ac:dyDescent="0.25">
      <c r="A628" s="249">
        <v>45116</v>
      </c>
      <c r="B628" s="237">
        <v>155</v>
      </c>
      <c r="C628" s="238" t="s">
        <v>27</v>
      </c>
      <c r="D628" s="239" t="s">
        <v>772</v>
      </c>
      <c r="E628" s="237">
        <v>210</v>
      </c>
      <c r="F628" s="242" t="s">
        <v>521</v>
      </c>
      <c r="G628" s="239" t="s">
        <v>930</v>
      </c>
      <c r="H628" s="240">
        <f t="shared" si="9"/>
        <v>51314</v>
      </c>
      <c r="I628" s="241"/>
    </row>
    <row r="629" spans="1:9" x14ac:dyDescent="0.25">
      <c r="A629" s="249">
        <v>45116</v>
      </c>
      <c r="B629" s="237">
        <v>1515</v>
      </c>
      <c r="C629" s="238" t="s">
        <v>27</v>
      </c>
      <c r="D629" s="239" t="s">
        <v>772</v>
      </c>
      <c r="E629" s="237">
        <v>450</v>
      </c>
      <c r="F629" s="242" t="s">
        <v>34</v>
      </c>
      <c r="G629" s="239" t="s">
        <v>935</v>
      </c>
      <c r="H629" s="240">
        <f t="shared" si="9"/>
        <v>52379</v>
      </c>
      <c r="I629" s="241"/>
    </row>
    <row r="630" spans="1:9" x14ac:dyDescent="0.25">
      <c r="A630" s="249">
        <v>45116</v>
      </c>
      <c r="B630" s="237">
        <v>1210</v>
      </c>
      <c r="C630" s="238" t="s">
        <v>27</v>
      </c>
      <c r="D630" s="239" t="s">
        <v>772</v>
      </c>
      <c r="E630" s="237">
        <v>240</v>
      </c>
      <c r="F630" s="242" t="s">
        <v>399</v>
      </c>
      <c r="G630" s="239" t="s">
        <v>930</v>
      </c>
      <c r="H630" s="240">
        <f t="shared" si="9"/>
        <v>53349</v>
      </c>
      <c r="I630" s="241"/>
    </row>
    <row r="631" spans="1:9" x14ac:dyDescent="0.25">
      <c r="A631" s="249">
        <v>45116</v>
      </c>
      <c r="B631" s="237">
        <v>18110</v>
      </c>
      <c r="C631" s="238" t="s">
        <v>300</v>
      </c>
      <c r="D631" s="239" t="s">
        <v>763</v>
      </c>
      <c r="E631" s="237">
        <v>440</v>
      </c>
      <c r="F631" s="242" t="s">
        <v>265</v>
      </c>
      <c r="G631" s="239" t="s">
        <v>935</v>
      </c>
      <c r="H631" s="240">
        <f t="shared" si="9"/>
        <v>71019</v>
      </c>
      <c r="I631" s="241"/>
    </row>
    <row r="632" spans="1:9" x14ac:dyDescent="0.25">
      <c r="A632" s="249">
        <v>45116</v>
      </c>
      <c r="B632" s="237">
        <v>1881</v>
      </c>
      <c r="C632" s="238" t="s">
        <v>549</v>
      </c>
      <c r="D632" s="239" t="s">
        <v>765</v>
      </c>
      <c r="E632" s="237">
        <v>520</v>
      </c>
      <c r="F632" s="242" t="s">
        <v>56</v>
      </c>
      <c r="G632" s="239" t="s">
        <v>928</v>
      </c>
      <c r="H632" s="240">
        <f t="shared" si="9"/>
        <v>72380</v>
      </c>
      <c r="I632" s="241" t="s">
        <v>830</v>
      </c>
    </row>
    <row r="633" spans="1:9" x14ac:dyDescent="0.25">
      <c r="A633" s="249">
        <v>45116</v>
      </c>
      <c r="B633" s="237">
        <v>17725</v>
      </c>
      <c r="C633" s="238" t="s">
        <v>6</v>
      </c>
      <c r="D633" s="239" t="s">
        <v>766</v>
      </c>
      <c r="E633" s="237">
        <v>55</v>
      </c>
      <c r="F633" s="242" t="s">
        <v>522</v>
      </c>
      <c r="G633" s="239" t="s">
        <v>464</v>
      </c>
      <c r="H633" s="240">
        <f t="shared" si="9"/>
        <v>90050</v>
      </c>
      <c r="I633" s="241"/>
    </row>
    <row r="634" spans="1:9" x14ac:dyDescent="0.25">
      <c r="A634" s="249">
        <v>45116</v>
      </c>
      <c r="B634" s="237">
        <v>126</v>
      </c>
      <c r="C634" s="238" t="s">
        <v>93</v>
      </c>
      <c r="D634" s="239" t="s">
        <v>768</v>
      </c>
      <c r="E634" s="237">
        <v>690</v>
      </c>
      <c r="F634" s="242" t="s">
        <v>74</v>
      </c>
      <c r="G634" s="239" t="s">
        <v>464</v>
      </c>
      <c r="H634" s="240">
        <f t="shared" si="9"/>
        <v>89486</v>
      </c>
      <c r="I634" s="241" t="s">
        <v>867</v>
      </c>
    </row>
    <row r="635" spans="1:9" x14ac:dyDescent="0.25">
      <c r="A635" s="249">
        <v>45116</v>
      </c>
      <c r="B635" s="237">
        <v>150</v>
      </c>
      <c r="C635" s="238" t="s">
        <v>27</v>
      </c>
      <c r="D635" s="239" t="s">
        <v>772</v>
      </c>
      <c r="E635" s="237">
        <v>2658</v>
      </c>
      <c r="F635" s="242" t="s">
        <v>12</v>
      </c>
      <c r="G635" s="239" t="s">
        <v>974</v>
      </c>
      <c r="H635" s="240">
        <f t="shared" si="9"/>
        <v>86978</v>
      </c>
      <c r="I635" s="241"/>
    </row>
    <row r="636" spans="1:9" x14ac:dyDescent="0.25">
      <c r="A636" s="249">
        <v>45116</v>
      </c>
      <c r="B636" s="237">
        <v>3640</v>
      </c>
      <c r="C636" s="261" t="s">
        <v>556</v>
      </c>
      <c r="D636" s="262" t="s">
        <v>772</v>
      </c>
      <c r="E636" s="237">
        <v>1301</v>
      </c>
      <c r="F636" s="242" t="s">
        <v>79</v>
      </c>
      <c r="G636" s="239" t="s">
        <v>929</v>
      </c>
      <c r="H636" s="240">
        <f t="shared" si="9"/>
        <v>89317</v>
      </c>
      <c r="I636" s="241"/>
    </row>
    <row r="637" spans="1:9" x14ac:dyDescent="0.25">
      <c r="A637" s="249">
        <v>45116</v>
      </c>
      <c r="B637" s="237">
        <v>18720</v>
      </c>
      <c r="C637" s="238" t="s">
        <v>88</v>
      </c>
      <c r="D637" s="239" t="s">
        <v>766</v>
      </c>
      <c r="E637" s="237">
        <v>495</v>
      </c>
      <c r="F637" s="242" t="s">
        <v>27</v>
      </c>
      <c r="G637" s="239" t="s">
        <v>943</v>
      </c>
      <c r="H637" s="240">
        <f t="shared" si="9"/>
        <v>107542</v>
      </c>
      <c r="I637" s="241"/>
    </row>
    <row r="638" spans="1:9" x14ac:dyDescent="0.25">
      <c r="A638" s="249">
        <v>45116</v>
      </c>
      <c r="B638" s="237">
        <v>202</v>
      </c>
      <c r="C638" s="238" t="s">
        <v>747</v>
      </c>
      <c r="D638" s="239" t="s">
        <v>768</v>
      </c>
      <c r="E638" s="237">
        <v>3190</v>
      </c>
      <c r="F638" s="242" t="s">
        <v>51</v>
      </c>
      <c r="G638" s="239" t="s">
        <v>928</v>
      </c>
      <c r="H638" s="240">
        <f t="shared" si="9"/>
        <v>104554</v>
      </c>
      <c r="I638" s="241"/>
    </row>
    <row r="639" spans="1:9" x14ac:dyDescent="0.25">
      <c r="A639" s="249">
        <v>45116</v>
      </c>
      <c r="B639" s="237">
        <v>6803</v>
      </c>
      <c r="C639" s="238" t="s">
        <v>60</v>
      </c>
      <c r="D639" s="239" t="s">
        <v>763</v>
      </c>
      <c r="E639" s="237">
        <v>50</v>
      </c>
      <c r="F639" s="242" t="s">
        <v>13</v>
      </c>
      <c r="G639" s="239" t="s">
        <v>930</v>
      </c>
      <c r="H639" s="240">
        <f t="shared" si="9"/>
        <v>111307</v>
      </c>
      <c r="I639" s="241"/>
    </row>
    <row r="640" spans="1:9" x14ac:dyDescent="0.25">
      <c r="A640" s="249">
        <v>45116</v>
      </c>
      <c r="B640" s="237">
        <v>11930</v>
      </c>
      <c r="C640" s="238" t="s">
        <v>85</v>
      </c>
      <c r="D640" s="239" t="s">
        <v>766</v>
      </c>
      <c r="E640" s="237">
        <v>120</v>
      </c>
      <c r="F640" s="242" t="s">
        <v>38</v>
      </c>
      <c r="G640" s="239" t="s">
        <v>930</v>
      </c>
      <c r="H640" s="240">
        <f t="shared" si="9"/>
        <v>123117</v>
      </c>
      <c r="I640" s="241"/>
    </row>
    <row r="641" spans="1:9" x14ac:dyDescent="0.25">
      <c r="A641" s="249">
        <v>45116</v>
      </c>
      <c r="B641" s="237">
        <v>230</v>
      </c>
      <c r="C641" s="238" t="s">
        <v>561</v>
      </c>
      <c r="D641" s="239" t="s">
        <v>768</v>
      </c>
      <c r="E641" s="250"/>
      <c r="F641" s="243" t="s">
        <v>16</v>
      </c>
      <c r="G641" s="316"/>
      <c r="H641" s="240">
        <f t="shared" si="9"/>
        <v>123347</v>
      </c>
      <c r="I641" s="241">
        <v>2300</v>
      </c>
    </row>
    <row r="642" spans="1:9" x14ac:dyDescent="0.25">
      <c r="A642" s="249">
        <v>45116</v>
      </c>
      <c r="B642" s="237">
        <v>218</v>
      </c>
      <c r="C642" s="238" t="s">
        <v>541</v>
      </c>
      <c r="D642" s="239" t="s">
        <v>937</v>
      </c>
      <c r="E642" s="237">
        <v>600</v>
      </c>
      <c r="F642" s="242" t="s">
        <v>230</v>
      </c>
      <c r="G642" s="239" t="s">
        <v>928</v>
      </c>
      <c r="H642" s="240">
        <f t="shared" si="9"/>
        <v>122965</v>
      </c>
      <c r="I642" s="241" t="s">
        <v>829</v>
      </c>
    </row>
    <row r="643" spans="1:9" x14ac:dyDescent="0.25">
      <c r="A643" s="249">
        <v>45116</v>
      </c>
      <c r="B643" s="237"/>
      <c r="C643" s="238"/>
      <c r="D643" s="239"/>
      <c r="E643" s="237">
        <v>2425</v>
      </c>
      <c r="F643" s="242" t="s">
        <v>737</v>
      </c>
      <c r="G643" s="239" t="s">
        <v>928</v>
      </c>
      <c r="H643" s="240">
        <f t="shared" si="9"/>
        <v>120540</v>
      </c>
      <c r="I643" s="241" t="s">
        <v>868</v>
      </c>
    </row>
    <row r="644" spans="1:9" x14ac:dyDescent="0.25">
      <c r="A644" s="249">
        <v>45116</v>
      </c>
      <c r="B644" s="237"/>
      <c r="C644" s="238"/>
      <c r="D644" s="239"/>
      <c r="E644" s="237">
        <v>55</v>
      </c>
      <c r="F644" s="242" t="s">
        <v>8</v>
      </c>
      <c r="G644" s="239" t="s">
        <v>930</v>
      </c>
      <c r="H644" s="240">
        <f t="shared" si="9"/>
        <v>120485</v>
      </c>
      <c r="I644" s="241"/>
    </row>
    <row r="645" spans="1:9" x14ac:dyDescent="0.25">
      <c r="A645" s="249">
        <v>45116</v>
      </c>
      <c r="B645" s="237"/>
      <c r="C645" s="238"/>
      <c r="D645" s="239"/>
      <c r="E645" s="237">
        <v>1485</v>
      </c>
      <c r="F645" s="242" t="s">
        <v>826</v>
      </c>
      <c r="G645" s="239" t="s">
        <v>928</v>
      </c>
      <c r="H645" s="240">
        <f t="shared" si="9"/>
        <v>119000</v>
      </c>
      <c r="I645" s="241" t="s">
        <v>869</v>
      </c>
    </row>
    <row r="646" spans="1:9" x14ac:dyDescent="0.25">
      <c r="A646" s="249">
        <v>45116</v>
      </c>
      <c r="B646" s="237"/>
      <c r="C646" s="238"/>
      <c r="D646" s="239"/>
      <c r="E646" s="237">
        <v>350</v>
      </c>
      <c r="F646" s="242" t="s">
        <v>532</v>
      </c>
      <c r="G646" s="239" t="s">
        <v>464</v>
      </c>
      <c r="H646" s="240">
        <f t="shared" ref="H646:H709" si="10">H645+B646-E646</f>
        <v>118650</v>
      </c>
      <c r="I646" s="241"/>
    </row>
    <row r="647" spans="1:9" x14ac:dyDescent="0.25">
      <c r="A647" s="249">
        <v>45116</v>
      </c>
      <c r="B647" s="237"/>
      <c r="C647" s="238"/>
      <c r="D647" s="239"/>
      <c r="E647" s="237">
        <v>72</v>
      </c>
      <c r="F647" s="242" t="s">
        <v>33</v>
      </c>
      <c r="G647" s="239" t="s">
        <v>464</v>
      </c>
      <c r="H647" s="240">
        <f t="shared" si="10"/>
        <v>118578</v>
      </c>
      <c r="I647" s="241"/>
    </row>
    <row r="648" spans="1:9" x14ac:dyDescent="0.25">
      <c r="A648" s="249">
        <v>45116</v>
      </c>
      <c r="B648" s="237"/>
      <c r="C648" s="238"/>
      <c r="D648" s="239"/>
      <c r="E648" s="237">
        <v>175</v>
      </c>
      <c r="F648" s="242" t="s">
        <v>373</v>
      </c>
      <c r="G648" s="239" t="s">
        <v>930</v>
      </c>
      <c r="H648" s="240">
        <f t="shared" si="10"/>
        <v>118403</v>
      </c>
      <c r="I648" s="241"/>
    </row>
    <row r="649" spans="1:9" x14ac:dyDescent="0.25">
      <c r="A649" s="249">
        <v>45116</v>
      </c>
      <c r="B649" s="237"/>
      <c r="C649" s="238"/>
      <c r="D649" s="239"/>
      <c r="E649" s="237">
        <v>2070</v>
      </c>
      <c r="F649" s="242" t="s">
        <v>505</v>
      </c>
      <c r="G649" s="239" t="s">
        <v>928</v>
      </c>
      <c r="H649" s="240">
        <f t="shared" si="10"/>
        <v>116333</v>
      </c>
      <c r="I649" s="241"/>
    </row>
    <row r="650" spans="1:9" x14ac:dyDescent="0.25">
      <c r="A650" s="249">
        <v>45116</v>
      </c>
      <c r="B650" s="237"/>
      <c r="C650" s="238"/>
      <c r="D650" s="239"/>
      <c r="E650" s="237">
        <v>5000</v>
      </c>
      <c r="F650" s="242" t="s">
        <v>43</v>
      </c>
      <c r="G650" s="239" t="s">
        <v>941</v>
      </c>
      <c r="H650" s="240">
        <f t="shared" si="10"/>
        <v>111333</v>
      </c>
      <c r="I650" s="241"/>
    </row>
    <row r="651" spans="1:9" x14ac:dyDescent="0.25">
      <c r="A651" s="249">
        <v>45116</v>
      </c>
      <c r="B651" s="237"/>
      <c r="C651" s="238"/>
      <c r="D651" s="239"/>
      <c r="E651" s="237">
        <v>23000</v>
      </c>
      <c r="F651" s="242" t="s">
        <v>870</v>
      </c>
      <c r="G651" s="239" t="s">
        <v>928</v>
      </c>
      <c r="H651" s="240">
        <f t="shared" si="10"/>
        <v>88333</v>
      </c>
      <c r="I651" s="241" t="s">
        <v>796</v>
      </c>
    </row>
    <row r="652" spans="1:9" x14ac:dyDescent="0.25">
      <c r="A652" s="249">
        <v>45116</v>
      </c>
      <c r="B652" s="237"/>
      <c r="C652" s="238"/>
      <c r="D652" s="239"/>
      <c r="E652" s="237">
        <v>910</v>
      </c>
      <c r="F652" s="242" t="s">
        <v>803</v>
      </c>
      <c r="G652" s="239" t="s">
        <v>928</v>
      </c>
      <c r="H652" s="240">
        <f t="shared" si="10"/>
        <v>87423</v>
      </c>
      <c r="I652" s="241" t="s">
        <v>871</v>
      </c>
    </row>
    <row r="653" spans="1:9" x14ac:dyDescent="0.25">
      <c r="A653" s="249">
        <v>45116</v>
      </c>
      <c r="B653" s="237"/>
      <c r="C653" s="238"/>
      <c r="D653" s="239"/>
      <c r="E653" s="237">
        <v>90</v>
      </c>
      <c r="F653" s="242" t="s">
        <v>223</v>
      </c>
      <c r="G653" s="239" t="s">
        <v>930</v>
      </c>
      <c r="H653" s="240">
        <f t="shared" si="10"/>
        <v>87333</v>
      </c>
      <c r="I653" s="241"/>
    </row>
    <row r="654" spans="1:9" x14ac:dyDescent="0.25">
      <c r="A654" s="249">
        <v>45116</v>
      </c>
      <c r="B654" s="237"/>
      <c r="C654" s="238"/>
      <c r="D654" s="239"/>
      <c r="E654" s="237">
        <v>5000</v>
      </c>
      <c r="F654" s="242" t="s">
        <v>872</v>
      </c>
      <c r="G654" s="239" t="s">
        <v>928</v>
      </c>
      <c r="H654" s="240">
        <f t="shared" si="10"/>
        <v>82333</v>
      </c>
      <c r="I654" s="241" t="s">
        <v>873</v>
      </c>
    </row>
    <row r="655" spans="1:9" x14ac:dyDescent="0.25">
      <c r="A655" s="249">
        <v>45116</v>
      </c>
      <c r="B655" s="237"/>
      <c r="C655" s="238"/>
      <c r="D655" s="239"/>
      <c r="E655" s="309">
        <v>5000</v>
      </c>
      <c r="F655" s="243" t="s">
        <v>368</v>
      </c>
      <c r="G655" s="316" t="s">
        <v>928</v>
      </c>
      <c r="H655" s="240">
        <f t="shared" si="10"/>
        <v>77333</v>
      </c>
      <c r="I655" s="241"/>
    </row>
    <row r="656" spans="1:9" x14ac:dyDescent="0.25">
      <c r="A656" s="249">
        <v>45116</v>
      </c>
      <c r="B656" s="237"/>
      <c r="C656" s="238"/>
      <c r="D656" s="239"/>
      <c r="E656" s="237">
        <v>20</v>
      </c>
      <c r="F656" s="242" t="s">
        <v>74</v>
      </c>
      <c r="G656" s="239" t="s">
        <v>464</v>
      </c>
      <c r="H656" s="240">
        <f t="shared" si="10"/>
        <v>77313</v>
      </c>
      <c r="I656" s="241"/>
    </row>
    <row r="657" spans="1:9" x14ac:dyDescent="0.25">
      <c r="A657" s="249">
        <v>45116</v>
      </c>
      <c r="B657" s="237"/>
      <c r="C657" s="238"/>
      <c r="D657" s="239"/>
      <c r="E657" s="237">
        <v>200</v>
      </c>
      <c r="F657" s="242" t="s">
        <v>544</v>
      </c>
      <c r="G657" s="239" t="s">
        <v>931</v>
      </c>
      <c r="H657" s="240">
        <f t="shared" si="10"/>
        <v>77113</v>
      </c>
      <c r="I657" s="241"/>
    </row>
    <row r="658" spans="1:9" x14ac:dyDescent="0.25">
      <c r="A658" s="249">
        <v>45116</v>
      </c>
      <c r="B658" s="237"/>
      <c r="C658" s="238"/>
      <c r="D658" s="239"/>
      <c r="E658" s="237">
        <v>1185</v>
      </c>
      <c r="F658" s="242" t="s">
        <v>27</v>
      </c>
      <c r="G658" s="239" t="s">
        <v>943</v>
      </c>
      <c r="H658" s="240">
        <f t="shared" si="10"/>
        <v>75928</v>
      </c>
      <c r="I658" s="241"/>
    </row>
    <row r="659" spans="1:9" x14ac:dyDescent="0.25">
      <c r="A659" s="249">
        <v>45116</v>
      </c>
      <c r="B659" s="237"/>
      <c r="C659" s="238"/>
      <c r="D659" s="239"/>
      <c r="E659" s="237">
        <v>2830</v>
      </c>
      <c r="F659" s="242" t="s">
        <v>664</v>
      </c>
      <c r="G659" s="239" t="s">
        <v>928</v>
      </c>
      <c r="H659" s="240">
        <f t="shared" si="10"/>
        <v>73098</v>
      </c>
      <c r="I659" s="241" t="s">
        <v>829</v>
      </c>
    </row>
    <row r="660" spans="1:9" x14ac:dyDescent="0.25">
      <c r="A660" s="249">
        <v>45116</v>
      </c>
      <c r="B660" s="237"/>
      <c r="C660" s="238"/>
      <c r="D660" s="239"/>
      <c r="E660" s="237">
        <v>80</v>
      </c>
      <c r="F660" s="242" t="s">
        <v>546</v>
      </c>
      <c r="G660" s="239" t="s">
        <v>464</v>
      </c>
      <c r="H660" s="240">
        <f t="shared" si="10"/>
        <v>73018</v>
      </c>
      <c r="I660" s="241"/>
    </row>
    <row r="661" spans="1:9" x14ac:dyDescent="0.25">
      <c r="A661" s="249">
        <v>45116</v>
      </c>
      <c r="B661" s="237"/>
      <c r="C661" s="238"/>
      <c r="D661" s="239"/>
      <c r="E661" s="237">
        <v>400</v>
      </c>
      <c r="F661" s="242" t="s">
        <v>27</v>
      </c>
      <c r="G661" s="239" t="s">
        <v>943</v>
      </c>
      <c r="H661" s="240">
        <f t="shared" si="10"/>
        <v>72618</v>
      </c>
      <c r="I661" s="241"/>
    </row>
    <row r="662" spans="1:9" x14ac:dyDescent="0.25">
      <c r="A662" s="249">
        <v>45116</v>
      </c>
      <c r="B662" s="237"/>
      <c r="C662" s="238"/>
      <c r="D662" s="239"/>
      <c r="E662" s="237">
        <v>1260</v>
      </c>
      <c r="F662" s="242" t="s">
        <v>14</v>
      </c>
      <c r="G662" s="239" t="s">
        <v>935</v>
      </c>
      <c r="H662" s="240">
        <f t="shared" si="10"/>
        <v>71358</v>
      </c>
      <c r="I662" s="241"/>
    </row>
    <row r="663" spans="1:9" x14ac:dyDescent="0.25">
      <c r="A663" s="249">
        <v>45116</v>
      </c>
      <c r="B663" s="237"/>
      <c r="C663" s="238"/>
      <c r="D663" s="239"/>
      <c r="E663" s="237">
        <v>20</v>
      </c>
      <c r="F663" s="242" t="s">
        <v>10</v>
      </c>
      <c r="G663" s="239" t="s">
        <v>930</v>
      </c>
      <c r="H663" s="240">
        <f t="shared" si="10"/>
        <v>71338</v>
      </c>
      <c r="I663" s="241"/>
    </row>
    <row r="664" spans="1:9" x14ac:dyDescent="0.25">
      <c r="A664" s="249">
        <v>45116</v>
      </c>
      <c r="B664" s="237"/>
      <c r="C664" s="238"/>
      <c r="D664" s="239"/>
      <c r="E664" s="237">
        <v>10</v>
      </c>
      <c r="F664" s="242" t="s">
        <v>399</v>
      </c>
      <c r="G664" s="239" t="s">
        <v>930</v>
      </c>
      <c r="H664" s="240">
        <f t="shared" si="10"/>
        <v>71328</v>
      </c>
      <c r="I664" s="241"/>
    </row>
    <row r="665" spans="1:9" x14ac:dyDescent="0.25">
      <c r="A665" s="249">
        <v>45116</v>
      </c>
      <c r="B665" s="237"/>
      <c r="C665" s="238"/>
      <c r="D665" s="239"/>
      <c r="E665" s="237">
        <v>239</v>
      </c>
      <c r="F665" s="242" t="s">
        <v>358</v>
      </c>
      <c r="G665" s="239" t="s">
        <v>938</v>
      </c>
      <c r="H665" s="240">
        <f t="shared" si="10"/>
        <v>71089</v>
      </c>
      <c r="I665" s="241"/>
    </row>
    <row r="666" spans="1:9" x14ac:dyDescent="0.25">
      <c r="A666" s="249">
        <v>45116</v>
      </c>
      <c r="B666" s="237"/>
      <c r="C666" s="238"/>
      <c r="D666" s="239"/>
      <c r="E666" s="237">
        <v>51</v>
      </c>
      <c r="F666" s="242" t="s">
        <v>874</v>
      </c>
      <c r="G666" s="239" t="s">
        <v>464</v>
      </c>
      <c r="H666" s="240">
        <f t="shared" si="10"/>
        <v>71038</v>
      </c>
      <c r="I666" s="241" t="s">
        <v>875</v>
      </c>
    </row>
    <row r="667" spans="1:9" x14ac:dyDescent="0.25">
      <c r="A667" s="249">
        <v>45116</v>
      </c>
      <c r="B667" s="237"/>
      <c r="C667" s="238"/>
      <c r="D667" s="239"/>
      <c r="E667" s="237">
        <v>110</v>
      </c>
      <c r="F667" s="242" t="s">
        <v>551</v>
      </c>
      <c r="G667" s="239" t="s">
        <v>930</v>
      </c>
      <c r="H667" s="240">
        <f t="shared" si="10"/>
        <v>70928</v>
      </c>
      <c r="I667" s="241"/>
    </row>
    <row r="668" spans="1:9" x14ac:dyDescent="0.25">
      <c r="A668" s="249">
        <v>45116</v>
      </c>
      <c r="B668" s="237"/>
      <c r="C668" s="238"/>
      <c r="D668" s="239"/>
      <c r="E668" s="237">
        <v>840</v>
      </c>
      <c r="F668" s="242" t="s">
        <v>557</v>
      </c>
      <c r="G668" s="239" t="s">
        <v>928</v>
      </c>
      <c r="H668" s="240">
        <f t="shared" si="10"/>
        <v>70088</v>
      </c>
      <c r="I668" s="241"/>
    </row>
    <row r="669" spans="1:9" x14ac:dyDescent="0.25">
      <c r="A669" s="249">
        <v>45116</v>
      </c>
      <c r="B669" s="237"/>
      <c r="C669" s="238"/>
      <c r="D669" s="239"/>
      <c r="E669" s="237">
        <v>90</v>
      </c>
      <c r="F669" s="242" t="s">
        <v>510</v>
      </c>
      <c r="G669" s="239" t="s">
        <v>930</v>
      </c>
      <c r="H669" s="240">
        <f t="shared" si="10"/>
        <v>69998</v>
      </c>
      <c r="I669" s="241"/>
    </row>
    <row r="670" spans="1:9" x14ac:dyDescent="0.25">
      <c r="A670" s="249">
        <v>45116</v>
      </c>
      <c r="B670" s="237"/>
      <c r="C670" s="238"/>
      <c r="D670" s="239"/>
      <c r="E670" s="237">
        <v>180</v>
      </c>
      <c r="F670" s="242" t="s">
        <v>210</v>
      </c>
      <c r="G670" s="239" t="s">
        <v>930</v>
      </c>
      <c r="H670" s="240">
        <f t="shared" si="10"/>
        <v>69818</v>
      </c>
      <c r="I670" s="241"/>
    </row>
    <row r="671" spans="1:9" x14ac:dyDescent="0.25">
      <c r="A671" s="249">
        <v>45116</v>
      </c>
      <c r="B671" s="237"/>
      <c r="C671" s="238"/>
      <c r="D671" s="239"/>
      <c r="E671" s="237">
        <v>45</v>
      </c>
      <c r="F671" s="242" t="s">
        <v>255</v>
      </c>
      <c r="G671" s="239" t="s">
        <v>930</v>
      </c>
      <c r="H671" s="240">
        <f t="shared" si="10"/>
        <v>69773</v>
      </c>
      <c r="I671" s="241"/>
    </row>
    <row r="672" spans="1:9" x14ac:dyDescent="0.25">
      <c r="A672" s="249">
        <v>45116</v>
      </c>
      <c r="B672" s="237"/>
      <c r="C672" s="238"/>
      <c r="D672" s="239"/>
      <c r="E672" s="237">
        <v>120</v>
      </c>
      <c r="F672" s="242" t="s">
        <v>32</v>
      </c>
      <c r="G672" s="239" t="s">
        <v>930</v>
      </c>
      <c r="H672" s="240">
        <f t="shared" si="10"/>
        <v>69653</v>
      </c>
      <c r="I672" s="241"/>
    </row>
    <row r="673" spans="1:9" x14ac:dyDescent="0.25">
      <c r="A673" s="249">
        <v>45116</v>
      </c>
      <c r="B673" s="237"/>
      <c r="C673" s="238"/>
      <c r="D673" s="239"/>
      <c r="E673" s="237">
        <v>140</v>
      </c>
      <c r="F673" s="242" t="s">
        <v>552</v>
      </c>
      <c r="G673" s="239" t="s">
        <v>930</v>
      </c>
      <c r="H673" s="240">
        <f t="shared" si="10"/>
        <v>69513</v>
      </c>
      <c r="I673" s="241"/>
    </row>
    <row r="674" spans="1:9" x14ac:dyDescent="0.25">
      <c r="A674" s="249">
        <v>45116</v>
      </c>
      <c r="B674" s="237"/>
      <c r="C674" s="238"/>
      <c r="D674" s="239"/>
      <c r="E674" s="237">
        <v>45</v>
      </c>
      <c r="F674" s="242" t="s">
        <v>86</v>
      </c>
      <c r="G674" s="239" t="s">
        <v>930</v>
      </c>
      <c r="H674" s="240">
        <f t="shared" si="10"/>
        <v>69468</v>
      </c>
      <c r="I674" s="241"/>
    </row>
    <row r="675" spans="1:9" x14ac:dyDescent="0.25">
      <c r="A675" s="249">
        <v>45116</v>
      </c>
      <c r="B675" s="237"/>
      <c r="C675" s="238"/>
      <c r="D675" s="239"/>
      <c r="E675" s="237">
        <v>100</v>
      </c>
      <c r="F675" s="242" t="s">
        <v>9</v>
      </c>
      <c r="G675" s="239" t="s">
        <v>930</v>
      </c>
      <c r="H675" s="240">
        <f t="shared" si="10"/>
        <v>69368</v>
      </c>
      <c r="I675" s="241"/>
    </row>
    <row r="676" spans="1:9" x14ac:dyDescent="0.25">
      <c r="A676" s="249">
        <v>45116</v>
      </c>
      <c r="B676" s="237"/>
      <c r="C676" s="238"/>
      <c r="D676" s="239"/>
      <c r="E676" s="237">
        <v>210</v>
      </c>
      <c r="F676" s="242" t="s">
        <v>11</v>
      </c>
      <c r="G676" s="239" t="s">
        <v>935</v>
      </c>
      <c r="H676" s="240">
        <f t="shared" si="10"/>
        <v>69158</v>
      </c>
      <c r="I676" s="241"/>
    </row>
    <row r="677" spans="1:9" x14ac:dyDescent="0.25">
      <c r="A677" s="249">
        <v>45116</v>
      </c>
      <c r="B677" s="237"/>
      <c r="C677" s="238"/>
      <c r="D677" s="239"/>
      <c r="E677" s="237">
        <v>305</v>
      </c>
      <c r="F677" s="242" t="s">
        <v>8</v>
      </c>
      <c r="G677" s="239" t="s">
        <v>930</v>
      </c>
      <c r="H677" s="240">
        <f t="shared" si="10"/>
        <v>68853</v>
      </c>
      <c r="I677" s="241"/>
    </row>
    <row r="678" spans="1:9" x14ac:dyDescent="0.25">
      <c r="A678" s="249">
        <v>45116</v>
      </c>
      <c r="B678" s="237"/>
      <c r="C678" s="238"/>
      <c r="D678" s="239"/>
      <c r="E678" s="237">
        <v>210</v>
      </c>
      <c r="F678" s="242" t="s">
        <v>265</v>
      </c>
      <c r="G678" s="239" t="s">
        <v>935</v>
      </c>
      <c r="H678" s="240">
        <f t="shared" si="10"/>
        <v>68643</v>
      </c>
      <c r="I678" s="241"/>
    </row>
    <row r="679" spans="1:9" x14ac:dyDescent="0.25">
      <c r="A679" s="249">
        <v>45116</v>
      </c>
      <c r="B679" s="237"/>
      <c r="C679" s="238"/>
      <c r="D679" s="239"/>
      <c r="E679" s="237">
        <v>15</v>
      </c>
      <c r="F679" s="242" t="s">
        <v>104</v>
      </c>
      <c r="G679" s="239" t="s">
        <v>464</v>
      </c>
      <c r="H679" s="240">
        <f t="shared" si="10"/>
        <v>68628</v>
      </c>
      <c r="I679" s="241"/>
    </row>
    <row r="680" spans="1:9" x14ac:dyDescent="0.25">
      <c r="A680" s="249">
        <v>45116</v>
      </c>
      <c r="B680" s="237"/>
      <c r="C680" s="238"/>
      <c r="D680" s="239"/>
      <c r="E680" s="237">
        <v>475</v>
      </c>
      <c r="F680" s="242" t="s">
        <v>313</v>
      </c>
      <c r="G680" s="239" t="s">
        <v>929</v>
      </c>
      <c r="H680" s="240">
        <f t="shared" si="10"/>
        <v>68153</v>
      </c>
      <c r="I680" s="241"/>
    </row>
    <row r="681" spans="1:9" x14ac:dyDescent="0.25">
      <c r="A681" s="249">
        <v>45116</v>
      </c>
      <c r="B681" s="237"/>
      <c r="C681" s="238"/>
      <c r="D681" s="239"/>
      <c r="E681" s="237">
        <v>100</v>
      </c>
      <c r="F681" s="242" t="s">
        <v>553</v>
      </c>
      <c r="G681" s="239" t="s">
        <v>464</v>
      </c>
      <c r="H681" s="240">
        <f t="shared" si="10"/>
        <v>68053</v>
      </c>
      <c r="I681" s="241"/>
    </row>
    <row r="682" spans="1:9" x14ac:dyDescent="0.25">
      <c r="A682" s="249">
        <v>45116</v>
      </c>
      <c r="B682" s="237"/>
      <c r="C682" s="238"/>
      <c r="D682" s="239"/>
      <c r="E682" s="237">
        <v>608</v>
      </c>
      <c r="F682" s="242" t="s">
        <v>215</v>
      </c>
      <c r="G682" s="239" t="s">
        <v>935</v>
      </c>
      <c r="H682" s="240">
        <f t="shared" si="10"/>
        <v>67445</v>
      </c>
      <c r="I682" s="241"/>
    </row>
    <row r="683" spans="1:9" x14ac:dyDescent="0.25">
      <c r="A683" s="249">
        <v>45116</v>
      </c>
      <c r="B683" s="237"/>
      <c r="C683" s="238"/>
      <c r="D683" s="239"/>
      <c r="E683" s="237">
        <v>10</v>
      </c>
      <c r="F683" s="242" t="s">
        <v>555</v>
      </c>
      <c r="G683" s="239" t="s">
        <v>929</v>
      </c>
      <c r="H683" s="240">
        <f t="shared" si="10"/>
        <v>67435</v>
      </c>
      <c r="I683" s="241"/>
    </row>
    <row r="684" spans="1:9" x14ac:dyDescent="0.25">
      <c r="A684" s="249">
        <v>45116</v>
      </c>
      <c r="B684" s="237"/>
      <c r="C684" s="238"/>
      <c r="D684" s="239"/>
      <c r="E684" s="237">
        <v>1385</v>
      </c>
      <c r="F684" s="242" t="s">
        <v>58</v>
      </c>
      <c r="G684" s="239" t="s">
        <v>928</v>
      </c>
      <c r="H684" s="240">
        <f t="shared" si="10"/>
        <v>66050</v>
      </c>
      <c r="I684" s="241"/>
    </row>
    <row r="685" spans="1:9" x14ac:dyDescent="0.25">
      <c r="A685" s="249">
        <v>45116</v>
      </c>
      <c r="B685" s="237"/>
      <c r="C685" s="238"/>
      <c r="D685" s="239"/>
      <c r="E685" s="237">
        <v>25</v>
      </c>
      <c r="F685" s="242" t="s">
        <v>464</v>
      </c>
      <c r="G685" s="239" t="s">
        <v>464</v>
      </c>
      <c r="H685" s="240">
        <f t="shared" si="10"/>
        <v>66025</v>
      </c>
      <c r="I685" s="241"/>
    </row>
    <row r="686" spans="1:9" x14ac:dyDescent="0.25">
      <c r="A686" s="249">
        <v>45116</v>
      </c>
      <c r="B686" s="237"/>
      <c r="C686" s="238"/>
      <c r="D686" s="239"/>
      <c r="E686" s="237">
        <v>140</v>
      </c>
      <c r="F686" s="242" t="s">
        <v>341</v>
      </c>
      <c r="G686" s="239" t="s">
        <v>930</v>
      </c>
      <c r="H686" s="240">
        <f t="shared" si="10"/>
        <v>65885</v>
      </c>
      <c r="I686" s="241"/>
    </row>
    <row r="687" spans="1:9" x14ac:dyDescent="0.25">
      <c r="A687" s="249">
        <v>45116</v>
      </c>
      <c r="B687" s="237"/>
      <c r="C687" s="238"/>
      <c r="D687" s="239"/>
      <c r="E687" s="237">
        <v>150</v>
      </c>
      <c r="F687" s="242" t="s">
        <v>255</v>
      </c>
      <c r="G687" s="239" t="s">
        <v>930</v>
      </c>
      <c r="H687" s="240">
        <f t="shared" si="10"/>
        <v>65735</v>
      </c>
      <c r="I687" s="241"/>
    </row>
    <row r="688" spans="1:9" x14ac:dyDescent="0.25">
      <c r="A688" s="249">
        <v>45116</v>
      </c>
      <c r="B688" s="237"/>
      <c r="C688" s="238"/>
      <c r="D688" s="239"/>
      <c r="E688" s="237">
        <v>120</v>
      </c>
      <c r="F688" s="242" t="s">
        <v>39</v>
      </c>
      <c r="G688" s="239" t="s">
        <v>930</v>
      </c>
      <c r="H688" s="240">
        <f t="shared" si="10"/>
        <v>65615</v>
      </c>
      <c r="I688" s="241"/>
    </row>
    <row r="689" spans="1:9" x14ac:dyDescent="0.25">
      <c r="A689" s="249">
        <v>45116</v>
      </c>
      <c r="B689" s="237"/>
      <c r="C689" s="238"/>
      <c r="D689" s="239"/>
      <c r="E689" s="237">
        <v>565</v>
      </c>
      <c r="F689" s="242" t="s">
        <v>27</v>
      </c>
      <c r="G689" s="239" t="s">
        <v>943</v>
      </c>
      <c r="H689" s="240">
        <f t="shared" si="10"/>
        <v>65050</v>
      </c>
      <c r="I689" s="241"/>
    </row>
    <row r="690" spans="1:9" x14ac:dyDescent="0.25">
      <c r="A690" s="249">
        <v>45116</v>
      </c>
      <c r="B690" s="237"/>
      <c r="C690" s="238"/>
      <c r="D690" s="239"/>
      <c r="E690" s="237">
        <v>185</v>
      </c>
      <c r="F690" s="242" t="s">
        <v>358</v>
      </c>
      <c r="G690" s="239" t="s">
        <v>938</v>
      </c>
      <c r="H690" s="240">
        <f t="shared" si="10"/>
        <v>64865</v>
      </c>
      <c r="I690" s="241"/>
    </row>
    <row r="691" spans="1:9" x14ac:dyDescent="0.25">
      <c r="A691" s="249">
        <v>45116</v>
      </c>
      <c r="B691" s="237"/>
      <c r="C691" s="238"/>
      <c r="D691" s="239"/>
      <c r="E691" s="237">
        <v>40</v>
      </c>
      <c r="F691" s="242" t="s">
        <v>358</v>
      </c>
      <c r="G691" s="239" t="s">
        <v>938</v>
      </c>
      <c r="H691" s="240">
        <f t="shared" si="10"/>
        <v>64825</v>
      </c>
      <c r="I691" s="241" t="s">
        <v>773</v>
      </c>
    </row>
    <row r="692" spans="1:9" x14ac:dyDescent="0.25">
      <c r="A692" s="249">
        <v>45116</v>
      </c>
      <c r="B692" s="237"/>
      <c r="C692" s="238"/>
      <c r="D692" s="239"/>
      <c r="E692" s="237">
        <v>45</v>
      </c>
      <c r="F692" s="242" t="s">
        <v>339</v>
      </c>
      <c r="G692" s="239" t="s">
        <v>935</v>
      </c>
      <c r="H692" s="240">
        <f t="shared" si="10"/>
        <v>64780</v>
      </c>
      <c r="I692" s="241"/>
    </row>
    <row r="693" spans="1:9" x14ac:dyDescent="0.25">
      <c r="A693" s="249">
        <v>45116</v>
      </c>
      <c r="B693" s="237"/>
      <c r="C693" s="238"/>
      <c r="D693" s="239"/>
      <c r="E693" s="237">
        <v>100</v>
      </c>
      <c r="F693" s="242" t="s">
        <v>494</v>
      </c>
      <c r="G693" s="239" t="s">
        <v>930</v>
      </c>
      <c r="H693" s="240">
        <f t="shared" si="10"/>
        <v>64680</v>
      </c>
      <c r="I693" s="241"/>
    </row>
    <row r="694" spans="1:9" x14ac:dyDescent="0.25">
      <c r="A694" s="249">
        <v>45116</v>
      </c>
      <c r="B694" s="237"/>
      <c r="C694" s="238"/>
      <c r="D694" s="239"/>
      <c r="E694" s="237">
        <v>130</v>
      </c>
      <c r="F694" s="242" t="s">
        <v>32</v>
      </c>
      <c r="G694" s="239" t="s">
        <v>930</v>
      </c>
      <c r="H694" s="240">
        <f t="shared" si="10"/>
        <v>64550</v>
      </c>
      <c r="I694" s="241"/>
    </row>
    <row r="695" spans="1:9" x14ac:dyDescent="0.25">
      <c r="A695" s="249">
        <v>45116</v>
      </c>
      <c r="B695" s="237"/>
      <c r="C695" s="238"/>
      <c r="D695" s="239"/>
      <c r="E695" s="237">
        <v>100</v>
      </c>
      <c r="F695" s="242" t="s">
        <v>552</v>
      </c>
      <c r="G695" s="239" t="s">
        <v>930</v>
      </c>
      <c r="H695" s="240">
        <f t="shared" si="10"/>
        <v>64450</v>
      </c>
      <c r="I695" s="241"/>
    </row>
    <row r="696" spans="1:9" x14ac:dyDescent="0.25">
      <c r="A696" s="249">
        <v>45116</v>
      </c>
      <c r="B696" s="237"/>
      <c r="C696" s="238"/>
      <c r="D696" s="239"/>
      <c r="E696" s="237">
        <v>80</v>
      </c>
      <c r="F696" s="242" t="s">
        <v>559</v>
      </c>
      <c r="G696" s="239" t="s">
        <v>929</v>
      </c>
      <c r="H696" s="240">
        <f t="shared" si="10"/>
        <v>64370</v>
      </c>
      <c r="I696" s="241"/>
    </row>
    <row r="697" spans="1:9" x14ac:dyDescent="0.25">
      <c r="A697" s="249">
        <v>45116</v>
      </c>
      <c r="B697" s="237"/>
      <c r="C697" s="238"/>
      <c r="D697" s="239"/>
      <c r="E697" s="237">
        <v>200</v>
      </c>
      <c r="F697" s="242" t="s">
        <v>353</v>
      </c>
      <c r="G697" s="239" t="s">
        <v>929</v>
      </c>
      <c r="H697" s="240">
        <f t="shared" si="10"/>
        <v>64170</v>
      </c>
      <c r="I697" s="241"/>
    </row>
    <row r="698" spans="1:9" x14ac:dyDescent="0.25">
      <c r="A698" s="249">
        <v>45116</v>
      </c>
      <c r="B698" s="237"/>
      <c r="C698" s="238"/>
      <c r="D698" s="239"/>
      <c r="E698" s="237">
        <v>145</v>
      </c>
      <c r="F698" s="242" t="s">
        <v>498</v>
      </c>
      <c r="G698" s="239" t="s">
        <v>930</v>
      </c>
      <c r="H698" s="240">
        <f t="shared" si="10"/>
        <v>64025</v>
      </c>
      <c r="I698" s="241"/>
    </row>
    <row r="699" spans="1:9" x14ac:dyDescent="0.25">
      <c r="A699" s="249">
        <v>45116</v>
      </c>
      <c r="B699" s="237"/>
      <c r="C699" s="238"/>
      <c r="D699" s="239"/>
      <c r="E699" s="237">
        <v>1225</v>
      </c>
      <c r="F699" s="242" t="s">
        <v>27</v>
      </c>
      <c r="G699" s="239" t="s">
        <v>943</v>
      </c>
      <c r="H699" s="240">
        <f t="shared" si="10"/>
        <v>62800</v>
      </c>
      <c r="I699" s="241"/>
    </row>
    <row r="700" spans="1:9" x14ac:dyDescent="0.25">
      <c r="A700" s="249">
        <v>45116</v>
      </c>
      <c r="B700" s="237"/>
      <c r="C700" s="238"/>
      <c r="D700" s="239"/>
      <c r="E700" s="237">
        <v>2765</v>
      </c>
      <c r="F700" s="242" t="s">
        <v>20</v>
      </c>
      <c r="G700" s="239" t="s">
        <v>928</v>
      </c>
      <c r="H700" s="240">
        <f t="shared" si="10"/>
        <v>60035</v>
      </c>
      <c r="I700" s="241"/>
    </row>
    <row r="701" spans="1:9" x14ac:dyDescent="0.25">
      <c r="A701" s="249">
        <v>45116</v>
      </c>
      <c r="B701" s="237"/>
      <c r="C701" s="238"/>
      <c r="D701" s="239"/>
      <c r="E701" s="237">
        <v>250</v>
      </c>
      <c r="F701" s="242" t="s">
        <v>562</v>
      </c>
      <c r="G701" s="239" t="s">
        <v>929</v>
      </c>
      <c r="H701" s="240">
        <f t="shared" si="10"/>
        <v>59785</v>
      </c>
      <c r="I701" s="241"/>
    </row>
    <row r="702" spans="1:9" x14ac:dyDescent="0.25">
      <c r="A702" s="249">
        <v>45116</v>
      </c>
      <c r="B702" s="237"/>
      <c r="C702" s="238"/>
      <c r="D702" s="239"/>
      <c r="E702" s="237">
        <v>5000</v>
      </c>
      <c r="F702" s="242" t="s">
        <v>876</v>
      </c>
      <c r="G702" s="239" t="s">
        <v>930</v>
      </c>
      <c r="H702" s="240">
        <f t="shared" si="10"/>
        <v>54785</v>
      </c>
      <c r="I702" s="241" t="s">
        <v>877</v>
      </c>
    </row>
    <row r="703" spans="1:9" x14ac:dyDescent="0.25">
      <c r="A703" s="249">
        <v>45116</v>
      </c>
      <c r="B703" s="237"/>
      <c r="C703" s="238"/>
      <c r="D703" s="239"/>
      <c r="E703" s="237">
        <v>10000</v>
      </c>
      <c r="F703" s="242" t="s">
        <v>387</v>
      </c>
      <c r="G703" s="239" t="s">
        <v>929</v>
      </c>
      <c r="H703" s="240">
        <f t="shared" si="10"/>
        <v>44785</v>
      </c>
      <c r="I703" s="241"/>
    </row>
    <row r="704" spans="1:9" x14ac:dyDescent="0.25">
      <c r="A704" s="249">
        <v>45116</v>
      </c>
      <c r="B704" s="237"/>
      <c r="C704" s="238"/>
      <c r="D704" s="239"/>
      <c r="E704" s="237">
        <v>2100</v>
      </c>
      <c r="F704" s="242" t="s">
        <v>538</v>
      </c>
      <c r="G704" s="239" t="s">
        <v>464</v>
      </c>
      <c r="H704" s="240">
        <f t="shared" si="10"/>
        <v>42685</v>
      </c>
      <c r="I704" s="241"/>
    </row>
    <row r="705" spans="1:9" x14ac:dyDescent="0.25">
      <c r="A705" s="244">
        <v>45116</v>
      </c>
      <c r="B705" s="245"/>
      <c r="C705" s="246"/>
      <c r="D705" s="247"/>
      <c r="E705" s="245">
        <v>500</v>
      </c>
      <c r="F705" s="248" t="s">
        <v>530</v>
      </c>
      <c r="G705" s="247" t="s">
        <v>931</v>
      </c>
      <c r="H705" s="240">
        <f t="shared" si="10"/>
        <v>42185</v>
      </c>
      <c r="I705" s="241"/>
    </row>
    <row r="706" spans="1:9" x14ac:dyDescent="0.25">
      <c r="A706" s="249">
        <v>45117</v>
      </c>
      <c r="B706" s="237"/>
      <c r="C706" s="238"/>
      <c r="D706" s="239"/>
      <c r="E706" s="237">
        <v>6115</v>
      </c>
      <c r="F706" s="242" t="s">
        <v>565</v>
      </c>
      <c r="G706" s="239" t="s">
        <v>928</v>
      </c>
      <c r="H706" s="240">
        <f t="shared" si="10"/>
        <v>36070</v>
      </c>
      <c r="I706" s="241"/>
    </row>
    <row r="707" spans="1:9" x14ac:dyDescent="0.25">
      <c r="A707" s="249">
        <v>45117</v>
      </c>
      <c r="B707" s="237">
        <v>14145</v>
      </c>
      <c r="C707" s="238" t="s">
        <v>9</v>
      </c>
      <c r="D707" s="239" t="s">
        <v>763</v>
      </c>
      <c r="E707" s="237">
        <v>8374</v>
      </c>
      <c r="F707" s="242" t="s">
        <v>793</v>
      </c>
      <c r="G707" s="239" t="s">
        <v>928</v>
      </c>
      <c r="H707" s="240">
        <f t="shared" si="10"/>
        <v>41841</v>
      </c>
      <c r="I707" s="241" t="s">
        <v>285</v>
      </c>
    </row>
    <row r="708" spans="1:9" x14ac:dyDescent="0.25">
      <c r="A708" s="249">
        <v>45117</v>
      </c>
      <c r="B708" s="237">
        <v>1542</v>
      </c>
      <c r="C708" s="238" t="s">
        <v>28</v>
      </c>
      <c r="D708" s="239" t="s">
        <v>765</v>
      </c>
      <c r="E708" s="237">
        <v>35</v>
      </c>
      <c r="F708" s="242" t="s">
        <v>33</v>
      </c>
      <c r="G708" s="239" t="s">
        <v>464</v>
      </c>
      <c r="H708" s="240">
        <f t="shared" si="10"/>
        <v>43348</v>
      </c>
      <c r="I708" s="241"/>
    </row>
    <row r="709" spans="1:9" x14ac:dyDescent="0.25">
      <c r="A709" s="249">
        <v>45117</v>
      </c>
      <c r="B709" s="237">
        <v>16960</v>
      </c>
      <c r="C709" s="238" t="s">
        <v>80</v>
      </c>
      <c r="D709" s="239" t="s">
        <v>763</v>
      </c>
      <c r="E709" s="237">
        <v>45</v>
      </c>
      <c r="F709" s="242" t="s">
        <v>73</v>
      </c>
      <c r="G709" s="239" t="s">
        <v>945</v>
      </c>
      <c r="H709" s="240">
        <f t="shared" si="10"/>
        <v>60263</v>
      </c>
      <c r="I709" s="241"/>
    </row>
    <row r="710" spans="1:9" x14ac:dyDescent="0.25">
      <c r="A710" s="249">
        <v>45117</v>
      </c>
      <c r="B710" s="237">
        <v>764</v>
      </c>
      <c r="C710" s="238" t="s">
        <v>81</v>
      </c>
      <c r="D710" s="239" t="s">
        <v>765</v>
      </c>
      <c r="E710" s="237">
        <v>80</v>
      </c>
      <c r="F710" s="242" t="s">
        <v>10</v>
      </c>
      <c r="G710" s="239" t="s">
        <v>930</v>
      </c>
      <c r="H710" s="240">
        <f t="shared" ref="H710:H773" si="11">H709+B710-E710</f>
        <v>60947</v>
      </c>
      <c r="I710" s="241"/>
    </row>
    <row r="711" spans="1:9" x14ac:dyDescent="0.25">
      <c r="A711" s="249">
        <v>45117</v>
      </c>
      <c r="B711" s="237">
        <v>500</v>
      </c>
      <c r="C711" s="238" t="s">
        <v>566</v>
      </c>
      <c r="D711" s="239" t="s">
        <v>931</v>
      </c>
      <c r="E711" s="237">
        <v>2575</v>
      </c>
      <c r="F711" s="242" t="s">
        <v>568</v>
      </c>
      <c r="G711" s="239" t="s">
        <v>929</v>
      </c>
      <c r="H711" s="240">
        <f t="shared" si="11"/>
        <v>58872</v>
      </c>
      <c r="I711" s="241"/>
    </row>
    <row r="712" spans="1:9" x14ac:dyDescent="0.25">
      <c r="A712" s="249">
        <v>45117</v>
      </c>
      <c r="B712" s="237">
        <v>25</v>
      </c>
      <c r="C712" s="238" t="s">
        <v>399</v>
      </c>
      <c r="D712" s="239" t="s">
        <v>931</v>
      </c>
      <c r="E712" s="237">
        <v>1068</v>
      </c>
      <c r="F712" s="242" t="s">
        <v>505</v>
      </c>
      <c r="G712" s="239" t="s">
        <v>928</v>
      </c>
      <c r="H712" s="240">
        <f t="shared" si="11"/>
        <v>57829</v>
      </c>
      <c r="I712" s="241" t="s">
        <v>794</v>
      </c>
    </row>
    <row r="713" spans="1:9" x14ac:dyDescent="0.25">
      <c r="A713" s="249">
        <v>45117</v>
      </c>
      <c r="B713" s="237">
        <v>85</v>
      </c>
      <c r="C713" s="238" t="s">
        <v>541</v>
      </c>
      <c r="D713" s="239" t="s">
        <v>937</v>
      </c>
      <c r="E713" s="237">
        <v>8567</v>
      </c>
      <c r="F713" s="242" t="s">
        <v>793</v>
      </c>
      <c r="G713" s="239" t="s">
        <v>928</v>
      </c>
      <c r="H713" s="240">
        <f t="shared" si="11"/>
        <v>49347</v>
      </c>
      <c r="I713" s="241" t="s">
        <v>878</v>
      </c>
    </row>
    <row r="714" spans="1:9" x14ac:dyDescent="0.25">
      <c r="A714" s="249">
        <v>45117</v>
      </c>
      <c r="B714" s="237">
        <v>200</v>
      </c>
      <c r="C714" s="238" t="s">
        <v>573</v>
      </c>
      <c r="D714" s="239" t="s">
        <v>931</v>
      </c>
      <c r="E714" s="237">
        <v>833</v>
      </c>
      <c r="F714" s="242" t="s">
        <v>571</v>
      </c>
      <c r="G714" s="239" t="s">
        <v>928</v>
      </c>
      <c r="H714" s="240">
        <f t="shared" si="11"/>
        <v>48714</v>
      </c>
      <c r="I714" s="241"/>
    </row>
    <row r="715" spans="1:9" x14ac:dyDescent="0.25">
      <c r="A715" s="249">
        <v>45117</v>
      </c>
      <c r="B715" s="237">
        <v>605</v>
      </c>
      <c r="C715" s="238" t="s">
        <v>27</v>
      </c>
      <c r="D715" s="239" t="s">
        <v>772</v>
      </c>
      <c r="E715" s="237">
        <v>4087</v>
      </c>
      <c r="F715" s="242" t="s">
        <v>44</v>
      </c>
      <c r="G715" s="239" t="s">
        <v>928</v>
      </c>
      <c r="H715" s="240">
        <f t="shared" si="11"/>
        <v>45232</v>
      </c>
      <c r="I715" s="241"/>
    </row>
    <row r="716" spans="1:9" x14ac:dyDescent="0.25">
      <c r="A716" s="249">
        <v>45117</v>
      </c>
      <c r="B716" s="237">
        <v>5210</v>
      </c>
      <c r="C716" s="238" t="s">
        <v>6</v>
      </c>
      <c r="D716" s="239" t="s">
        <v>766</v>
      </c>
      <c r="E716" s="237">
        <v>290</v>
      </c>
      <c r="F716" s="242" t="s">
        <v>34</v>
      </c>
      <c r="G716" s="239" t="s">
        <v>935</v>
      </c>
      <c r="H716" s="240">
        <f t="shared" si="11"/>
        <v>50152</v>
      </c>
      <c r="I716" s="241"/>
    </row>
    <row r="717" spans="1:9" x14ac:dyDescent="0.25">
      <c r="A717" s="249">
        <v>45117</v>
      </c>
      <c r="B717" s="237">
        <v>19562</v>
      </c>
      <c r="C717" s="238" t="s">
        <v>88</v>
      </c>
      <c r="D717" s="239" t="s">
        <v>766</v>
      </c>
      <c r="E717" s="237">
        <v>770</v>
      </c>
      <c r="F717" s="242" t="s">
        <v>79</v>
      </c>
      <c r="G717" s="239" t="s">
        <v>929</v>
      </c>
      <c r="H717" s="240">
        <f t="shared" si="11"/>
        <v>68944</v>
      </c>
      <c r="I717" s="241" t="s">
        <v>828</v>
      </c>
    </row>
    <row r="718" spans="1:9" x14ac:dyDescent="0.25">
      <c r="A718" s="249">
        <v>45117</v>
      </c>
      <c r="B718" s="237">
        <v>10</v>
      </c>
      <c r="C718" s="238" t="s">
        <v>747</v>
      </c>
      <c r="D718" s="239" t="s">
        <v>768</v>
      </c>
      <c r="E718" s="237">
        <v>280</v>
      </c>
      <c r="F718" s="242" t="s">
        <v>7</v>
      </c>
      <c r="G718" s="239" t="s">
        <v>930</v>
      </c>
      <c r="H718" s="240">
        <f t="shared" si="11"/>
        <v>68674</v>
      </c>
      <c r="I718" s="241"/>
    </row>
    <row r="719" spans="1:9" x14ac:dyDescent="0.25">
      <c r="A719" s="249">
        <v>45117</v>
      </c>
      <c r="B719" s="237">
        <v>505</v>
      </c>
      <c r="C719" s="238" t="s">
        <v>27</v>
      </c>
      <c r="D719" s="239" t="s">
        <v>772</v>
      </c>
      <c r="E719" s="237">
        <v>265</v>
      </c>
      <c r="F719" s="242" t="s">
        <v>66</v>
      </c>
      <c r="G719" s="239" t="s">
        <v>928</v>
      </c>
      <c r="H719" s="240">
        <f t="shared" si="11"/>
        <v>68914</v>
      </c>
      <c r="I719" s="241"/>
    </row>
    <row r="720" spans="1:9" x14ac:dyDescent="0.25">
      <c r="A720" s="249">
        <v>45117</v>
      </c>
      <c r="B720" s="237">
        <v>19283</v>
      </c>
      <c r="C720" s="238" t="s">
        <v>15</v>
      </c>
      <c r="D720" s="239" t="s">
        <v>766</v>
      </c>
      <c r="E720" s="237">
        <v>240</v>
      </c>
      <c r="F720" s="242" t="s">
        <v>399</v>
      </c>
      <c r="G720" s="239" t="s">
        <v>930</v>
      </c>
      <c r="H720" s="240">
        <f t="shared" si="11"/>
        <v>87957</v>
      </c>
      <c r="I720" s="241"/>
    </row>
    <row r="721" spans="1:9" x14ac:dyDescent="0.25">
      <c r="A721" s="249">
        <v>45117</v>
      </c>
      <c r="B721" s="237">
        <v>570</v>
      </c>
      <c r="C721" s="238" t="s">
        <v>90</v>
      </c>
      <c r="D721" s="239" t="s">
        <v>768</v>
      </c>
      <c r="E721" s="237">
        <v>3225</v>
      </c>
      <c r="F721" s="242" t="s">
        <v>12</v>
      </c>
      <c r="G721" s="239" t="s">
        <v>974</v>
      </c>
      <c r="H721" s="240">
        <f t="shared" si="11"/>
        <v>85302</v>
      </c>
      <c r="I721" s="241"/>
    </row>
    <row r="722" spans="1:9" x14ac:dyDescent="0.25">
      <c r="A722" s="249">
        <v>45117</v>
      </c>
      <c r="B722" s="237">
        <v>21</v>
      </c>
      <c r="C722" s="238" t="s">
        <v>595</v>
      </c>
      <c r="D722" s="239"/>
      <c r="E722" s="237">
        <v>665</v>
      </c>
      <c r="F722" s="242" t="s">
        <v>572</v>
      </c>
      <c r="G722" s="239" t="s">
        <v>928</v>
      </c>
      <c r="H722" s="240">
        <f t="shared" si="11"/>
        <v>84658</v>
      </c>
      <c r="I722" s="241"/>
    </row>
    <row r="723" spans="1:9" x14ac:dyDescent="0.25">
      <c r="A723" s="249">
        <v>45117</v>
      </c>
      <c r="B723" s="237">
        <v>22020</v>
      </c>
      <c r="C723" s="238" t="s">
        <v>363</v>
      </c>
      <c r="D723" s="239" t="s">
        <v>763</v>
      </c>
      <c r="E723" s="237">
        <v>50</v>
      </c>
      <c r="F723" s="242" t="s">
        <v>13</v>
      </c>
      <c r="G723" s="239" t="s">
        <v>930</v>
      </c>
      <c r="H723" s="240">
        <f t="shared" si="11"/>
        <v>106628</v>
      </c>
      <c r="I723" s="241"/>
    </row>
    <row r="724" spans="1:9" x14ac:dyDescent="0.25">
      <c r="A724" s="249">
        <v>45117</v>
      </c>
      <c r="B724" s="237">
        <v>923</v>
      </c>
      <c r="C724" s="238" t="s">
        <v>921</v>
      </c>
      <c r="D724" s="239" t="s">
        <v>765</v>
      </c>
      <c r="E724" s="237">
        <v>120</v>
      </c>
      <c r="F724" s="242" t="s">
        <v>38</v>
      </c>
      <c r="G724" s="239" t="s">
        <v>930</v>
      </c>
      <c r="H724" s="240">
        <f t="shared" si="11"/>
        <v>107431</v>
      </c>
      <c r="I724" s="241"/>
    </row>
    <row r="725" spans="1:9" x14ac:dyDescent="0.25">
      <c r="A725" s="249">
        <v>45117</v>
      </c>
      <c r="B725" s="237">
        <v>11189</v>
      </c>
      <c r="C725" s="238" t="s">
        <v>85</v>
      </c>
      <c r="D725" s="239" t="s">
        <v>766</v>
      </c>
      <c r="E725" s="237">
        <v>100</v>
      </c>
      <c r="F725" s="242" t="s">
        <v>301</v>
      </c>
      <c r="G725" s="239" t="s">
        <v>930</v>
      </c>
      <c r="H725" s="240">
        <f t="shared" si="11"/>
        <v>118520</v>
      </c>
      <c r="I725" s="241"/>
    </row>
    <row r="726" spans="1:9" x14ac:dyDescent="0.25">
      <c r="A726" s="249">
        <v>45117</v>
      </c>
      <c r="B726" s="237">
        <v>6620</v>
      </c>
      <c r="C726" s="238" t="s">
        <v>60</v>
      </c>
      <c r="D726" s="239" t="s">
        <v>763</v>
      </c>
      <c r="E726" s="237">
        <v>1130</v>
      </c>
      <c r="F726" s="242" t="s">
        <v>51</v>
      </c>
      <c r="G726" s="239" t="s">
        <v>928</v>
      </c>
      <c r="H726" s="240">
        <f t="shared" si="11"/>
        <v>124010</v>
      </c>
      <c r="I726" s="241"/>
    </row>
    <row r="727" spans="1:9" x14ac:dyDescent="0.25">
      <c r="A727" s="249">
        <v>45117</v>
      </c>
      <c r="B727" s="237"/>
      <c r="C727" s="238"/>
      <c r="D727" s="239"/>
      <c r="E727" s="237">
        <v>4950</v>
      </c>
      <c r="F727" s="242" t="s">
        <v>574</v>
      </c>
      <c r="G727" s="239" t="s">
        <v>929</v>
      </c>
      <c r="H727" s="240">
        <f t="shared" si="11"/>
        <v>119060</v>
      </c>
      <c r="I727" s="241"/>
    </row>
    <row r="728" spans="1:9" x14ac:dyDescent="0.25">
      <c r="A728" s="249">
        <v>45117</v>
      </c>
      <c r="B728" s="237"/>
      <c r="C728" s="238"/>
      <c r="D728" s="239"/>
      <c r="E728" s="237">
        <v>182</v>
      </c>
      <c r="F728" s="242" t="s">
        <v>86</v>
      </c>
      <c r="G728" s="239" t="s">
        <v>930</v>
      </c>
      <c r="H728" s="240">
        <f t="shared" si="11"/>
        <v>118878</v>
      </c>
      <c r="I728" s="241"/>
    </row>
    <row r="729" spans="1:9" x14ac:dyDescent="0.25">
      <c r="A729" s="249">
        <v>45117</v>
      </c>
      <c r="B729" s="237"/>
      <c r="C729" s="238"/>
      <c r="D729" s="239"/>
      <c r="E729" s="237">
        <v>85</v>
      </c>
      <c r="F729" s="242" t="s">
        <v>510</v>
      </c>
      <c r="G729" s="239" t="s">
        <v>930</v>
      </c>
      <c r="H729" s="240">
        <f t="shared" si="11"/>
        <v>118793</v>
      </c>
      <c r="I729" s="241"/>
    </row>
    <row r="730" spans="1:9" x14ac:dyDescent="0.25">
      <c r="A730" s="249">
        <v>45117</v>
      </c>
      <c r="B730" s="237"/>
      <c r="C730" s="238"/>
      <c r="D730" s="239"/>
      <c r="E730" s="237">
        <v>120</v>
      </c>
      <c r="F730" s="242" t="s">
        <v>497</v>
      </c>
      <c r="G730" s="239" t="s">
        <v>929</v>
      </c>
      <c r="H730" s="240">
        <f t="shared" si="11"/>
        <v>118673</v>
      </c>
      <c r="I730" s="241"/>
    </row>
    <row r="731" spans="1:9" x14ac:dyDescent="0.25">
      <c r="A731" s="249">
        <v>45117</v>
      </c>
      <c r="B731" s="237"/>
      <c r="C731" s="238"/>
      <c r="D731" s="239"/>
      <c r="E731" s="237">
        <v>100</v>
      </c>
      <c r="F731" s="242" t="s">
        <v>9</v>
      </c>
      <c r="G731" s="239" t="s">
        <v>930</v>
      </c>
      <c r="H731" s="240">
        <f t="shared" si="11"/>
        <v>118573</v>
      </c>
      <c r="I731" s="241"/>
    </row>
    <row r="732" spans="1:9" x14ac:dyDescent="0.25">
      <c r="A732" s="249">
        <v>45117</v>
      </c>
      <c r="B732" s="237"/>
      <c r="C732" s="238"/>
      <c r="D732" s="239"/>
      <c r="E732" s="237">
        <v>120</v>
      </c>
      <c r="F732" s="242" t="s">
        <v>39</v>
      </c>
      <c r="G732" s="239" t="s">
        <v>930</v>
      </c>
      <c r="H732" s="240">
        <f t="shared" si="11"/>
        <v>118453</v>
      </c>
      <c r="I732" s="241"/>
    </row>
    <row r="733" spans="1:9" x14ac:dyDescent="0.25">
      <c r="A733" s="249">
        <v>45117</v>
      </c>
      <c r="B733" s="237"/>
      <c r="C733" s="238"/>
      <c r="D733" s="239"/>
      <c r="E733" s="237">
        <v>135</v>
      </c>
      <c r="F733" s="242" t="s">
        <v>34</v>
      </c>
      <c r="G733" s="239" t="s">
        <v>935</v>
      </c>
      <c r="H733" s="240">
        <f t="shared" si="11"/>
        <v>118318</v>
      </c>
      <c r="I733" s="241"/>
    </row>
    <row r="734" spans="1:9" x14ac:dyDescent="0.25">
      <c r="A734" s="249">
        <v>45117</v>
      </c>
      <c r="B734" s="237"/>
      <c r="C734" s="238"/>
      <c r="D734" s="239"/>
      <c r="E734" s="237">
        <v>305</v>
      </c>
      <c r="F734" s="242" t="s">
        <v>8</v>
      </c>
      <c r="G734" s="239" t="s">
        <v>930</v>
      </c>
      <c r="H734" s="240">
        <f t="shared" si="11"/>
        <v>118013</v>
      </c>
      <c r="I734" s="241"/>
    </row>
    <row r="735" spans="1:9" x14ac:dyDescent="0.25">
      <c r="A735" s="249">
        <v>45117</v>
      </c>
      <c r="B735" s="237"/>
      <c r="C735" s="238"/>
      <c r="D735" s="239"/>
      <c r="E735" s="237">
        <v>1600</v>
      </c>
      <c r="F735" s="242" t="s">
        <v>575</v>
      </c>
      <c r="G735" s="239" t="s">
        <v>928</v>
      </c>
      <c r="H735" s="240">
        <f t="shared" si="11"/>
        <v>116413</v>
      </c>
      <c r="I735" s="241"/>
    </row>
    <row r="736" spans="1:9" x14ac:dyDescent="0.25">
      <c r="A736" s="249">
        <v>45117</v>
      </c>
      <c r="B736" s="237"/>
      <c r="C736" s="238"/>
      <c r="D736" s="239"/>
      <c r="E736" s="237">
        <v>3685</v>
      </c>
      <c r="F736" s="242" t="s">
        <v>576</v>
      </c>
      <c r="G736" s="239" t="s">
        <v>928</v>
      </c>
      <c r="H736" s="240">
        <f t="shared" si="11"/>
        <v>112728</v>
      </c>
      <c r="I736" s="241"/>
    </row>
    <row r="737" spans="1:9" x14ac:dyDescent="0.25">
      <c r="A737" s="249">
        <v>45117</v>
      </c>
      <c r="B737" s="237"/>
      <c r="C737" s="238"/>
      <c r="D737" s="239"/>
      <c r="E737" s="237">
        <v>135</v>
      </c>
      <c r="F737" s="242" t="s">
        <v>577</v>
      </c>
      <c r="G737" s="239" t="s">
        <v>935</v>
      </c>
      <c r="H737" s="240">
        <f t="shared" si="11"/>
        <v>112593</v>
      </c>
      <c r="I737" s="241"/>
    </row>
    <row r="738" spans="1:9" x14ac:dyDescent="0.25">
      <c r="A738" s="249">
        <v>45117</v>
      </c>
      <c r="B738" s="237"/>
      <c r="C738" s="238"/>
      <c r="D738" s="239"/>
      <c r="E738" s="237">
        <v>1135</v>
      </c>
      <c r="F738" s="242" t="s">
        <v>56</v>
      </c>
      <c r="G738" s="239" t="s">
        <v>928</v>
      </c>
      <c r="H738" s="240">
        <f t="shared" si="11"/>
        <v>111458</v>
      </c>
      <c r="I738" s="241"/>
    </row>
    <row r="739" spans="1:9" x14ac:dyDescent="0.25">
      <c r="A739" s="249">
        <v>45117</v>
      </c>
      <c r="B739" s="237"/>
      <c r="C739" s="238"/>
      <c r="D739" s="239"/>
      <c r="E739" s="237">
        <v>130</v>
      </c>
      <c r="F739" s="242" t="s">
        <v>341</v>
      </c>
      <c r="G739" s="239" t="s">
        <v>930</v>
      </c>
      <c r="H739" s="240">
        <f t="shared" si="11"/>
        <v>111328</v>
      </c>
      <c r="I739" s="241"/>
    </row>
    <row r="740" spans="1:9" x14ac:dyDescent="0.25">
      <c r="A740" s="249">
        <v>45117</v>
      </c>
      <c r="B740" s="237"/>
      <c r="C740" s="238"/>
      <c r="D740" s="239"/>
      <c r="E740" s="237">
        <v>425</v>
      </c>
      <c r="F740" s="242" t="s">
        <v>505</v>
      </c>
      <c r="G740" s="239" t="s">
        <v>928</v>
      </c>
      <c r="H740" s="240">
        <f t="shared" si="11"/>
        <v>110903</v>
      </c>
      <c r="I740" s="241" t="s">
        <v>828</v>
      </c>
    </row>
    <row r="741" spans="1:9" x14ac:dyDescent="0.25">
      <c r="A741" s="249">
        <v>45117</v>
      </c>
      <c r="B741" s="237"/>
      <c r="C741" s="238"/>
      <c r="D741" s="239"/>
      <c r="E741" s="237">
        <v>195</v>
      </c>
      <c r="F741" s="242" t="s">
        <v>255</v>
      </c>
      <c r="G741" s="239" t="s">
        <v>930</v>
      </c>
      <c r="H741" s="240">
        <f t="shared" si="11"/>
        <v>110708</v>
      </c>
      <c r="I741" s="241"/>
    </row>
    <row r="742" spans="1:9" x14ac:dyDescent="0.25">
      <c r="A742" s="249">
        <v>45117</v>
      </c>
      <c r="B742" s="237"/>
      <c r="C742" s="238"/>
      <c r="D742" s="239"/>
      <c r="E742" s="237">
        <v>579</v>
      </c>
      <c r="F742" s="242" t="s">
        <v>252</v>
      </c>
      <c r="G742" s="239" t="s">
        <v>935</v>
      </c>
      <c r="H742" s="240">
        <f t="shared" si="11"/>
        <v>110129</v>
      </c>
      <c r="I742" s="241"/>
    </row>
    <row r="743" spans="1:9" x14ac:dyDescent="0.25">
      <c r="A743" s="249">
        <v>45117</v>
      </c>
      <c r="B743" s="237"/>
      <c r="C743" s="238"/>
      <c r="D743" s="239"/>
      <c r="E743" s="237">
        <v>2000</v>
      </c>
      <c r="F743" s="242" t="s">
        <v>737</v>
      </c>
      <c r="G743" s="239" t="s">
        <v>928</v>
      </c>
      <c r="H743" s="240">
        <f t="shared" si="11"/>
        <v>108129</v>
      </c>
      <c r="I743" s="241" t="s">
        <v>879</v>
      </c>
    </row>
    <row r="744" spans="1:9" x14ac:dyDescent="0.25">
      <c r="A744" s="249">
        <v>45117</v>
      </c>
      <c r="B744" s="237"/>
      <c r="C744" s="238"/>
      <c r="D744" s="239"/>
      <c r="E744" s="237">
        <v>2145</v>
      </c>
      <c r="F744" s="242" t="s">
        <v>580</v>
      </c>
      <c r="G744" s="239" t="s">
        <v>928</v>
      </c>
      <c r="H744" s="240">
        <f t="shared" si="11"/>
        <v>105984</v>
      </c>
      <c r="I744" s="241"/>
    </row>
    <row r="745" spans="1:9" x14ac:dyDescent="0.25">
      <c r="A745" s="249">
        <v>45117</v>
      </c>
      <c r="B745" s="237"/>
      <c r="C745" s="238"/>
      <c r="D745" s="239"/>
      <c r="E745" s="237">
        <v>1000</v>
      </c>
      <c r="F745" s="242" t="s">
        <v>230</v>
      </c>
      <c r="G745" s="239" t="s">
        <v>928</v>
      </c>
      <c r="H745" s="240">
        <f t="shared" si="11"/>
        <v>104984</v>
      </c>
      <c r="I745" s="241" t="s">
        <v>855</v>
      </c>
    </row>
    <row r="746" spans="1:9" x14ac:dyDescent="0.25">
      <c r="A746" s="249">
        <v>45117</v>
      </c>
      <c r="B746" s="237"/>
      <c r="C746" s="238"/>
      <c r="D746" s="239"/>
      <c r="E746" s="237">
        <v>105</v>
      </c>
      <c r="F746" s="242" t="s">
        <v>582</v>
      </c>
      <c r="G746" s="239" t="s">
        <v>930</v>
      </c>
      <c r="H746" s="240">
        <f t="shared" si="11"/>
        <v>104879</v>
      </c>
      <c r="I746" s="241"/>
    </row>
    <row r="747" spans="1:9" x14ac:dyDescent="0.25">
      <c r="A747" s="249">
        <v>45117</v>
      </c>
      <c r="B747" s="237"/>
      <c r="C747" s="238"/>
      <c r="D747" s="239"/>
      <c r="E747" s="237">
        <v>5245</v>
      </c>
      <c r="F747" s="242" t="s">
        <v>793</v>
      </c>
      <c r="G747" s="239" t="s">
        <v>928</v>
      </c>
      <c r="H747" s="240">
        <f t="shared" si="11"/>
        <v>99634</v>
      </c>
      <c r="I747" s="241" t="s">
        <v>880</v>
      </c>
    </row>
    <row r="748" spans="1:9" x14ac:dyDescent="0.25">
      <c r="A748" s="249">
        <v>45117</v>
      </c>
      <c r="B748" s="237"/>
      <c r="C748" s="238"/>
      <c r="D748" s="239"/>
      <c r="E748" s="237">
        <v>3000</v>
      </c>
      <c r="F748" s="242" t="s">
        <v>182</v>
      </c>
      <c r="G748" s="239" t="s">
        <v>941</v>
      </c>
      <c r="H748" s="240">
        <f t="shared" si="11"/>
        <v>96634</v>
      </c>
      <c r="I748" s="241"/>
    </row>
    <row r="749" spans="1:9" x14ac:dyDescent="0.25">
      <c r="A749" s="249">
        <v>45117</v>
      </c>
      <c r="B749" s="237"/>
      <c r="C749" s="238"/>
      <c r="D749" s="239"/>
      <c r="E749" s="237">
        <v>11000</v>
      </c>
      <c r="F749" s="242" t="s">
        <v>584</v>
      </c>
      <c r="G749" s="239" t="s">
        <v>936</v>
      </c>
      <c r="H749" s="240">
        <f t="shared" si="11"/>
        <v>85634</v>
      </c>
      <c r="I749" s="241"/>
    </row>
    <row r="750" spans="1:9" x14ac:dyDescent="0.25">
      <c r="A750" s="249">
        <v>45117</v>
      </c>
      <c r="B750" s="237"/>
      <c r="C750" s="238"/>
      <c r="D750" s="239"/>
      <c r="E750" s="237">
        <v>1000</v>
      </c>
      <c r="F750" s="242" t="s">
        <v>881</v>
      </c>
      <c r="G750" s="239" t="s">
        <v>928</v>
      </c>
      <c r="H750" s="240">
        <f t="shared" si="11"/>
        <v>84634</v>
      </c>
      <c r="I750" s="241" t="s">
        <v>789</v>
      </c>
    </row>
    <row r="751" spans="1:9" x14ac:dyDescent="0.25">
      <c r="A751" s="249">
        <v>45117</v>
      </c>
      <c r="B751" s="237"/>
      <c r="C751" s="238"/>
      <c r="D751" s="239"/>
      <c r="E751" s="237">
        <v>43</v>
      </c>
      <c r="F751" s="242" t="s">
        <v>339</v>
      </c>
      <c r="G751" s="239" t="s">
        <v>935</v>
      </c>
      <c r="H751" s="240">
        <f t="shared" si="11"/>
        <v>84591</v>
      </c>
      <c r="I751" s="241"/>
    </row>
    <row r="752" spans="1:9" x14ac:dyDescent="0.25">
      <c r="A752" s="249">
        <v>45117</v>
      </c>
      <c r="B752" s="237"/>
      <c r="C752" s="238"/>
      <c r="D752" s="239"/>
      <c r="E752" s="237">
        <v>850</v>
      </c>
      <c r="F752" s="242" t="s">
        <v>586</v>
      </c>
      <c r="G752" s="239" t="s">
        <v>928</v>
      </c>
      <c r="H752" s="240">
        <f t="shared" si="11"/>
        <v>83741</v>
      </c>
      <c r="I752" s="241"/>
    </row>
    <row r="753" spans="1:9" x14ac:dyDescent="0.25">
      <c r="A753" s="249">
        <v>45117</v>
      </c>
      <c r="B753" s="237"/>
      <c r="C753" s="238"/>
      <c r="D753" s="239"/>
      <c r="E753" s="237">
        <v>100</v>
      </c>
      <c r="F753" s="242" t="s">
        <v>494</v>
      </c>
      <c r="G753" s="239" t="s">
        <v>930</v>
      </c>
      <c r="H753" s="240">
        <f t="shared" si="11"/>
        <v>83641</v>
      </c>
      <c r="I753" s="241"/>
    </row>
    <row r="754" spans="1:9" x14ac:dyDescent="0.25">
      <c r="A754" s="249">
        <v>45117</v>
      </c>
      <c r="B754" s="237"/>
      <c r="C754" s="238"/>
      <c r="D754" s="239"/>
      <c r="E754" s="237">
        <v>615</v>
      </c>
      <c r="F754" s="242" t="s">
        <v>439</v>
      </c>
      <c r="G754" s="239" t="s">
        <v>929</v>
      </c>
      <c r="H754" s="240">
        <f t="shared" si="11"/>
        <v>83026</v>
      </c>
      <c r="I754" s="241"/>
    </row>
    <row r="755" spans="1:9" x14ac:dyDescent="0.25">
      <c r="A755" s="249">
        <v>45117</v>
      </c>
      <c r="B755" s="237"/>
      <c r="C755" s="238"/>
      <c r="D755" s="239"/>
      <c r="E755" s="237">
        <v>3690</v>
      </c>
      <c r="F755" s="242" t="s">
        <v>587</v>
      </c>
      <c r="G755" s="239" t="s">
        <v>929</v>
      </c>
      <c r="H755" s="240">
        <f t="shared" si="11"/>
        <v>79336</v>
      </c>
      <c r="I755" s="241"/>
    </row>
    <row r="756" spans="1:9" x14ac:dyDescent="0.25">
      <c r="A756" s="249">
        <v>45117</v>
      </c>
      <c r="B756" s="237"/>
      <c r="C756" s="238"/>
      <c r="D756" s="239"/>
      <c r="E756" s="237">
        <v>170</v>
      </c>
      <c r="F756" s="242" t="s">
        <v>498</v>
      </c>
      <c r="G756" s="239" t="s">
        <v>930</v>
      </c>
      <c r="H756" s="240">
        <f t="shared" si="11"/>
        <v>79166</v>
      </c>
      <c r="I756" s="241"/>
    </row>
    <row r="757" spans="1:9" x14ac:dyDescent="0.25">
      <c r="A757" s="249">
        <v>45117</v>
      </c>
      <c r="B757" s="237"/>
      <c r="C757" s="238"/>
      <c r="D757" s="239"/>
      <c r="E757" s="237">
        <v>100</v>
      </c>
      <c r="F757" s="242" t="s">
        <v>588</v>
      </c>
      <c r="G757" s="239" t="s">
        <v>930</v>
      </c>
      <c r="H757" s="240">
        <f t="shared" si="11"/>
        <v>79066</v>
      </c>
      <c r="I757" s="241"/>
    </row>
    <row r="758" spans="1:9" x14ac:dyDescent="0.25">
      <c r="A758" s="249">
        <v>45117</v>
      </c>
      <c r="B758" s="237"/>
      <c r="C758" s="238"/>
      <c r="D758" s="239"/>
      <c r="E758" s="237">
        <v>5</v>
      </c>
      <c r="F758" s="242" t="s">
        <v>458</v>
      </c>
      <c r="G758" s="239" t="s">
        <v>464</v>
      </c>
      <c r="H758" s="240">
        <f t="shared" si="11"/>
        <v>79061</v>
      </c>
      <c r="I758" s="241"/>
    </row>
    <row r="759" spans="1:9" x14ac:dyDescent="0.25">
      <c r="A759" s="249">
        <v>45117</v>
      </c>
      <c r="B759" s="237"/>
      <c r="C759" s="238"/>
      <c r="D759" s="239"/>
      <c r="E759" s="237">
        <v>1695</v>
      </c>
      <c r="F759" s="242" t="s">
        <v>439</v>
      </c>
      <c r="G759" s="239" t="s">
        <v>929</v>
      </c>
      <c r="H759" s="240">
        <f t="shared" si="11"/>
        <v>77366</v>
      </c>
      <c r="I759" s="241" t="s">
        <v>301</v>
      </c>
    </row>
    <row r="760" spans="1:9" x14ac:dyDescent="0.25">
      <c r="A760" s="249">
        <v>45117</v>
      </c>
      <c r="B760" s="237"/>
      <c r="C760" s="238"/>
      <c r="D760" s="239"/>
      <c r="E760" s="237">
        <v>160</v>
      </c>
      <c r="F760" s="242" t="s">
        <v>15</v>
      </c>
      <c r="G760" s="239" t="s">
        <v>930</v>
      </c>
      <c r="H760" s="240">
        <f t="shared" si="11"/>
        <v>77206</v>
      </c>
      <c r="I760" s="241"/>
    </row>
    <row r="761" spans="1:9" x14ac:dyDescent="0.25">
      <c r="A761" s="249">
        <v>45117</v>
      </c>
      <c r="B761" s="237"/>
      <c r="C761" s="238"/>
      <c r="D761" s="239"/>
      <c r="E761" s="237">
        <v>7350</v>
      </c>
      <c r="F761" s="242" t="s">
        <v>590</v>
      </c>
      <c r="G761" s="239" t="s">
        <v>929</v>
      </c>
      <c r="H761" s="240">
        <f t="shared" si="11"/>
        <v>69856</v>
      </c>
      <c r="I761" s="241"/>
    </row>
    <row r="762" spans="1:9" x14ac:dyDescent="0.25">
      <c r="A762" s="249">
        <v>45117</v>
      </c>
      <c r="B762" s="237"/>
      <c r="C762" s="238"/>
      <c r="D762" s="239"/>
      <c r="E762" s="237">
        <v>90</v>
      </c>
      <c r="F762" s="242" t="s">
        <v>223</v>
      </c>
      <c r="G762" s="239" t="s">
        <v>930</v>
      </c>
      <c r="H762" s="240">
        <f t="shared" si="11"/>
        <v>69766</v>
      </c>
      <c r="I762" s="241"/>
    </row>
    <row r="763" spans="1:9" x14ac:dyDescent="0.25">
      <c r="A763" s="249">
        <v>45117</v>
      </c>
      <c r="B763" s="237"/>
      <c r="C763" s="238"/>
      <c r="D763" s="239"/>
      <c r="E763" s="237">
        <v>5000</v>
      </c>
      <c r="F763" s="242" t="s">
        <v>594</v>
      </c>
      <c r="G763" s="239" t="s">
        <v>928</v>
      </c>
      <c r="H763" s="240">
        <f t="shared" si="11"/>
        <v>64766</v>
      </c>
      <c r="I763" s="241"/>
    </row>
    <row r="764" spans="1:9" x14ac:dyDescent="0.25">
      <c r="A764" s="249">
        <v>45117</v>
      </c>
      <c r="B764" s="237"/>
      <c r="C764" s="238"/>
      <c r="D764" s="239"/>
      <c r="E764" s="237">
        <v>2145</v>
      </c>
      <c r="F764" s="242" t="s">
        <v>45</v>
      </c>
      <c r="G764" s="239" t="s">
        <v>928</v>
      </c>
      <c r="H764" s="240">
        <f t="shared" si="11"/>
        <v>62621</v>
      </c>
      <c r="I764" s="241"/>
    </row>
    <row r="765" spans="1:9" x14ac:dyDescent="0.25">
      <c r="A765" s="249">
        <v>45117</v>
      </c>
      <c r="B765" s="237"/>
      <c r="C765" s="238"/>
      <c r="D765" s="239"/>
      <c r="E765" s="237">
        <v>4800</v>
      </c>
      <c r="F765" s="242" t="s">
        <v>882</v>
      </c>
      <c r="G765" s="239" t="s">
        <v>928</v>
      </c>
      <c r="H765" s="240">
        <f t="shared" si="11"/>
        <v>57821</v>
      </c>
      <c r="I765" s="241" t="s">
        <v>883</v>
      </c>
    </row>
    <row r="766" spans="1:9" x14ac:dyDescent="0.25">
      <c r="A766" s="249">
        <v>45117</v>
      </c>
      <c r="B766" s="237"/>
      <c r="C766" s="238"/>
      <c r="D766" s="239"/>
      <c r="E766" s="237">
        <v>200</v>
      </c>
      <c r="F766" s="242" t="s">
        <v>600</v>
      </c>
      <c r="G766" s="239" t="s">
        <v>929</v>
      </c>
      <c r="H766" s="240">
        <f t="shared" si="11"/>
        <v>57621</v>
      </c>
      <c r="I766" s="241"/>
    </row>
    <row r="767" spans="1:9" x14ac:dyDescent="0.25">
      <c r="A767" s="249">
        <v>45117</v>
      </c>
      <c r="B767" s="237"/>
      <c r="C767" s="238"/>
      <c r="D767" s="239"/>
      <c r="E767" s="237">
        <v>10000</v>
      </c>
      <c r="F767" s="242" t="s">
        <v>543</v>
      </c>
      <c r="G767" s="239" t="s">
        <v>928</v>
      </c>
      <c r="H767" s="240">
        <f t="shared" si="11"/>
        <v>47621</v>
      </c>
      <c r="I767" s="241" t="s">
        <v>884</v>
      </c>
    </row>
    <row r="768" spans="1:9" x14ac:dyDescent="0.25">
      <c r="A768" s="249">
        <v>45117</v>
      </c>
      <c r="B768" s="237"/>
      <c r="C768" s="238"/>
      <c r="D768" s="239"/>
      <c r="E768" s="237">
        <v>1780</v>
      </c>
      <c r="F768" s="242" t="s">
        <v>14</v>
      </c>
      <c r="G768" s="239" t="s">
        <v>935</v>
      </c>
      <c r="H768" s="240">
        <f t="shared" si="11"/>
        <v>45841</v>
      </c>
      <c r="I768" s="241"/>
    </row>
    <row r="769" spans="1:9" x14ac:dyDescent="0.25">
      <c r="A769" s="249">
        <v>45117</v>
      </c>
      <c r="B769" s="237"/>
      <c r="C769" s="238"/>
      <c r="D769" s="239"/>
      <c r="E769" s="237">
        <v>25</v>
      </c>
      <c r="F769" s="242" t="s">
        <v>598</v>
      </c>
      <c r="G769" s="239" t="s">
        <v>464</v>
      </c>
      <c r="H769" s="240">
        <f t="shared" si="11"/>
        <v>45816</v>
      </c>
      <c r="I769" s="241"/>
    </row>
    <row r="770" spans="1:9" x14ac:dyDescent="0.25">
      <c r="A770" s="249">
        <v>45117</v>
      </c>
      <c r="B770" s="237"/>
      <c r="C770" s="238"/>
      <c r="D770" s="239"/>
      <c r="E770" s="237">
        <v>20</v>
      </c>
      <c r="F770" s="242" t="s">
        <v>599</v>
      </c>
      <c r="G770" s="239" t="s">
        <v>930</v>
      </c>
      <c r="H770" s="240">
        <f t="shared" si="11"/>
        <v>45796</v>
      </c>
      <c r="I770" s="241"/>
    </row>
    <row r="771" spans="1:9" x14ac:dyDescent="0.25">
      <c r="A771" s="249">
        <v>45117</v>
      </c>
      <c r="B771" s="237"/>
      <c r="C771" s="238"/>
      <c r="D771" s="239"/>
      <c r="E771" s="237">
        <v>75</v>
      </c>
      <c r="F771" s="242" t="s">
        <v>26</v>
      </c>
      <c r="G771" s="239" t="s">
        <v>930</v>
      </c>
      <c r="H771" s="240">
        <f t="shared" si="11"/>
        <v>45721</v>
      </c>
      <c r="I771" s="241"/>
    </row>
    <row r="772" spans="1:9" x14ac:dyDescent="0.25">
      <c r="A772" s="249">
        <v>45117</v>
      </c>
      <c r="B772" s="237"/>
      <c r="C772" s="238"/>
      <c r="D772" s="239"/>
      <c r="E772" s="237">
        <v>1363</v>
      </c>
      <c r="F772" s="242" t="s">
        <v>580</v>
      </c>
      <c r="G772" s="239" t="s">
        <v>928</v>
      </c>
      <c r="H772" s="240">
        <f t="shared" si="11"/>
        <v>44358</v>
      </c>
      <c r="I772" s="241"/>
    </row>
    <row r="773" spans="1:9" x14ac:dyDescent="0.25">
      <c r="A773" s="249">
        <v>45117</v>
      </c>
      <c r="B773" s="237"/>
      <c r="C773" s="238"/>
      <c r="D773" s="239"/>
      <c r="E773" s="237">
        <v>160</v>
      </c>
      <c r="F773" s="242" t="s">
        <v>602</v>
      </c>
      <c r="G773" s="239" t="s">
        <v>929</v>
      </c>
      <c r="H773" s="240">
        <f t="shared" si="11"/>
        <v>44198</v>
      </c>
      <c r="I773" s="241"/>
    </row>
    <row r="774" spans="1:9" x14ac:dyDescent="0.25">
      <c r="A774" s="249">
        <v>45117</v>
      </c>
      <c r="B774" s="237"/>
      <c r="C774" s="238"/>
      <c r="D774" s="239"/>
      <c r="E774" s="237">
        <v>110</v>
      </c>
      <c r="F774" s="242" t="s">
        <v>552</v>
      </c>
      <c r="G774" s="239" t="s">
        <v>930</v>
      </c>
      <c r="H774" s="240">
        <f t="shared" ref="H774:H837" si="12">H773+B774-E774</f>
        <v>44088</v>
      </c>
      <c r="I774" s="241"/>
    </row>
    <row r="775" spans="1:9" x14ac:dyDescent="0.25">
      <c r="A775" s="249">
        <v>45117</v>
      </c>
      <c r="B775" s="237"/>
      <c r="C775" s="238"/>
      <c r="D775" s="239"/>
      <c r="E775" s="237">
        <v>260</v>
      </c>
      <c r="F775" s="242" t="s">
        <v>603</v>
      </c>
      <c r="G775" s="239" t="s">
        <v>929</v>
      </c>
      <c r="H775" s="240">
        <f t="shared" si="12"/>
        <v>43828</v>
      </c>
      <c r="I775" s="241"/>
    </row>
    <row r="776" spans="1:9" x14ac:dyDescent="0.25">
      <c r="A776" s="249">
        <v>45117</v>
      </c>
      <c r="B776" s="237"/>
      <c r="C776" s="238"/>
      <c r="D776" s="239"/>
      <c r="E776" s="237">
        <v>135</v>
      </c>
      <c r="F776" s="242" t="s">
        <v>32</v>
      </c>
      <c r="G776" s="239" t="s">
        <v>930</v>
      </c>
      <c r="H776" s="240">
        <f t="shared" si="12"/>
        <v>43693</v>
      </c>
      <c r="I776" s="241"/>
    </row>
    <row r="777" spans="1:9" x14ac:dyDescent="0.25">
      <c r="A777" s="249">
        <v>45117</v>
      </c>
      <c r="B777" s="237"/>
      <c r="C777" s="238"/>
      <c r="D777" s="239"/>
      <c r="E777" s="237">
        <v>390</v>
      </c>
      <c r="F777" s="242" t="s">
        <v>27</v>
      </c>
      <c r="G777" s="239" t="s">
        <v>943</v>
      </c>
      <c r="H777" s="240">
        <f t="shared" si="12"/>
        <v>43303</v>
      </c>
      <c r="I777" s="241"/>
    </row>
    <row r="778" spans="1:9" x14ac:dyDescent="0.25">
      <c r="A778" s="249">
        <v>45117</v>
      </c>
      <c r="B778" s="237"/>
      <c r="C778" s="238"/>
      <c r="D778" s="239"/>
      <c r="E778" s="237">
        <v>495</v>
      </c>
      <c r="F778" s="242" t="s">
        <v>27</v>
      </c>
      <c r="G778" s="239" t="s">
        <v>943</v>
      </c>
      <c r="H778" s="240">
        <f t="shared" si="12"/>
        <v>42808</v>
      </c>
      <c r="I778" s="241"/>
    </row>
    <row r="779" spans="1:9" x14ac:dyDescent="0.25">
      <c r="A779" s="249">
        <v>45117</v>
      </c>
      <c r="B779" s="237"/>
      <c r="C779" s="238"/>
      <c r="D779" s="239"/>
      <c r="E779" s="237">
        <v>6</v>
      </c>
      <c r="F779" s="242" t="s">
        <v>604</v>
      </c>
      <c r="G779" s="239" t="s">
        <v>464</v>
      </c>
      <c r="H779" s="240">
        <f t="shared" si="12"/>
        <v>42802</v>
      </c>
      <c r="I779" s="241"/>
    </row>
    <row r="780" spans="1:9" x14ac:dyDescent="0.25">
      <c r="A780" s="249">
        <v>45117</v>
      </c>
      <c r="B780" s="237"/>
      <c r="C780" s="238"/>
      <c r="D780" s="239"/>
      <c r="E780" s="237">
        <v>147</v>
      </c>
      <c r="F780" s="242" t="s">
        <v>358</v>
      </c>
      <c r="G780" s="239" t="s">
        <v>938</v>
      </c>
      <c r="H780" s="240">
        <f t="shared" si="12"/>
        <v>42655</v>
      </c>
      <c r="I780" s="241" t="s">
        <v>412</v>
      </c>
    </row>
    <row r="781" spans="1:9" x14ac:dyDescent="0.25">
      <c r="A781" s="249">
        <v>45117</v>
      </c>
      <c r="B781" s="237"/>
      <c r="C781" s="238"/>
      <c r="D781" s="239"/>
      <c r="E781" s="237">
        <v>2500</v>
      </c>
      <c r="F781" s="242" t="s">
        <v>41</v>
      </c>
      <c r="G781" s="239" t="s">
        <v>930</v>
      </c>
      <c r="H781" s="240">
        <f t="shared" si="12"/>
        <v>40155</v>
      </c>
      <c r="I781" s="241"/>
    </row>
    <row r="782" spans="1:9" x14ac:dyDescent="0.25">
      <c r="A782" s="249">
        <v>45117</v>
      </c>
      <c r="B782" s="237"/>
      <c r="C782" s="238"/>
      <c r="D782" s="239"/>
      <c r="E782" s="237">
        <v>500</v>
      </c>
      <c r="F782" s="242" t="s">
        <v>593</v>
      </c>
      <c r="G782" s="239" t="s">
        <v>464</v>
      </c>
      <c r="H782" s="240">
        <f t="shared" si="12"/>
        <v>39655</v>
      </c>
      <c r="I782" s="241"/>
    </row>
    <row r="783" spans="1:9" x14ac:dyDescent="0.25">
      <c r="A783" s="249">
        <v>45117</v>
      </c>
      <c r="B783" s="237"/>
      <c r="C783" s="238"/>
      <c r="D783" s="239"/>
      <c r="E783" s="237">
        <v>3400</v>
      </c>
      <c r="F783" s="242" t="s">
        <v>74</v>
      </c>
      <c r="G783" s="239" t="s">
        <v>464</v>
      </c>
      <c r="H783" s="240">
        <f t="shared" si="12"/>
        <v>36255</v>
      </c>
      <c r="I783" s="241" t="s">
        <v>885</v>
      </c>
    </row>
    <row r="784" spans="1:9" x14ac:dyDescent="0.25">
      <c r="A784" s="249">
        <v>45117</v>
      </c>
      <c r="B784" s="237"/>
      <c r="C784" s="238"/>
      <c r="D784" s="239"/>
      <c r="E784" s="237">
        <v>20</v>
      </c>
      <c r="F784" s="242" t="s">
        <v>25</v>
      </c>
      <c r="G784" s="239" t="s">
        <v>464</v>
      </c>
      <c r="H784" s="240">
        <f t="shared" si="12"/>
        <v>36235</v>
      </c>
      <c r="I784" s="241" t="s">
        <v>412</v>
      </c>
    </row>
    <row r="785" spans="1:9" x14ac:dyDescent="0.25">
      <c r="A785" s="249">
        <v>45117</v>
      </c>
      <c r="B785" s="237"/>
      <c r="C785" s="238"/>
      <c r="D785" s="239"/>
      <c r="E785" s="237">
        <v>10</v>
      </c>
      <c r="F785" s="242" t="s">
        <v>408</v>
      </c>
      <c r="G785" s="239" t="s">
        <v>931</v>
      </c>
      <c r="H785" s="240">
        <f t="shared" si="12"/>
        <v>36225</v>
      </c>
      <c r="I785" s="241"/>
    </row>
    <row r="786" spans="1:9" x14ac:dyDescent="0.25">
      <c r="A786" s="249">
        <v>45117</v>
      </c>
      <c r="B786" s="237"/>
      <c r="C786" s="238"/>
      <c r="D786" s="239"/>
      <c r="E786" s="237">
        <v>28</v>
      </c>
      <c r="F786" s="242" t="s">
        <v>74</v>
      </c>
      <c r="G786" s="239" t="s">
        <v>931</v>
      </c>
      <c r="H786" s="240">
        <f t="shared" si="12"/>
        <v>36197</v>
      </c>
      <c r="I786" s="241" t="s">
        <v>412</v>
      </c>
    </row>
    <row r="787" spans="1:9" x14ac:dyDescent="0.25">
      <c r="A787" s="249">
        <v>45117</v>
      </c>
      <c r="B787" s="237"/>
      <c r="C787" s="238"/>
      <c r="D787" s="239"/>
      <c r="E787" s="237">
        <v>500</v>
      </c>
      <c r="F787" s="242" t="s">
        <v>74</v>
      </c>
      <c r="G787" s="239" t="s">
        <v>464</v>
      </c>
      <c r="H787" s="240">
        <f t="shared" si="12"/>
        <v>35697</v>
      </c>
      <c r="I787" s="241" t="s">
        <v>773</v>
      </c>
    </row>
    <row r="788" spans="1:9" x14ac:dyDescent="0.25">
      <c r="A788" s="249">
        <v>45117</v>
      </c>
      <c r="B788" s="237"/>
      <c r="C788" s="238"/>
      <c r="D788" s="239"/>
      <c r="E788" s="237">
        <v>48</v>
      </c>
      <c r="F788" s="242" t="s">
        <v>25</v>
      </c>
      <c r="G788" s="239" t="s">
        <v>464</v>
      </c>
      <c r="H788" s="240">
        <f t="shared" si="12"/>
        <v>35649</v>
      </c>
      <c r="I788" s="241" t="s">
        <v>412</v>
      </c>
    </row>
    <row r="789" spans="1:9" x14ac:dyDescent="0.25">
      <c r="A789" s="249">
        <v>45117</v>
      </c>
      <c r="B789" s="237"/>
      <c r="C789" s="238"/>
      <c r="D789" s="239"/>
      <c r="E789" s="237">
        <v>470</v>
      </c>
      <c r="F789" s="242" t="s">
        <v>358</v>
      </c>
      <c r="G789" s="239" t="s">
        <v>938</v>
      </c>
      <c r="H789" s="240">
        <f t="shared" si="12"/>
        <v>35179</v>
      </c>
      <c r="I789" s="241" t="s">
        <v>412</v>
      </c>
    </row>
    <row r="790" spans="1:9" x14ac:dyDescent="0.25">
      <c r="A790" s="244">
        <v>45117</v>
      </c>
      <c r="B790" s="245"/>
      <c r="C790" s="246"/>
      <c r="D790" s="247"/>
      <c r="E790" s="245">
        <v>100</v>
      </c>
      <c r="F790" s="248" t="s">
        <v>266</v>
      </c>
      <c r="G790" s="239" t="s">
        <v>930</v>
      </c>
      <c r="H790" s="240">
        <f t="shared" si="12"/>
        <v>35079</v>
      </c>
      <c r="I790" s="241" t="s">
        <v>412</v>
      </c>
    </row>
    <row r="791" spans="1:9" x14ac:dyDescent="0.25">
      <c r="A791" s="249">
        <v>45118</v>
      </c>
      <c r="B791" s="237"/>
      <c r="C791" s="238"/>
      <c r="D791" s="239"/>
      <c r="E791" s="237">
        <v>3175</v>
      </c>
      <c r="F791" s="242" t="s">
        <v>505</v>
      </c>
      <c r="G791" s="239" t="s">
        <v>928</v>
      </c>
      <c r="H791" s="240">
        <f t="shared" si="12"/>
        <v>31904</v>
      </c>
      <c r="I791" s="241" t="s">
        <v>794</v>
      </c>
    </row>
    <row r="792" spans="1:9" x14ac:dyDescent="0.25">
      <c r="A792" s="249">
        <v>45118</v>
      </c>
      <c r="B792" s="237">
        <v>13330</v>
      </c>
      <c r="C792" s="238" t="s">
        <v>9</v>
      </c>
      <c r="D792" s="239" t="s">
        <v>763</v>
      </c>
      <c r="E792" s="237">
        <v>710</v>
      </c>
      <c r="F792" s="242" t="s">
        <v>605</v>
      </c>
      <c r="G792" s="239" t="s">
        <v>928</v>
      </c>
      <c r="H792" s="240">
        <f t="shared" si="12"/>
        <v>44524</v>
      </c>
      <c r="I792" s="241"/>
    </row>
    <row r="793" spans="1:9" x14ac:dyDescent="0.25">
      <c r="A793" s="249">
        <v>45118</v>
      </c>
      <c r="B793" s="237">
        <v>396</v>
      </c>
      <c r="C793" s="238" t="s">
        <v>28</v>
      </c>
      <c r="D793" s="239" t="s">
        <v>765</v>
      </c>
      <c r="E793" s="237">
        <v>55</v>
      </c>
      <c r="F793" s="242" t="s">
        <v>464</v>
      </c>
      <c r="G793" s="239" t="s">
        <v>464</v>
      </c>
      <c r="H793" s="240">
        <f t="shared" si="12"/>
        <v>44865</v>
      </c>
      <c r="I793" s="241" t="s">
        <v>33</v>
      </c>
    </row>
    <row r="794" spans="1:9" x14ac:dyDescent="0.25">
      <c r="A794" s="249">
        <v>45118</v>
      </c>
      <c r="B794" s="237">
        <v>5</v>
      </c>
      <c r="C794" s="238" t="s">
        <v>609</v>
      </c>
      <c r="D794" s="239"/>
      <c r="E794" s="237">
        <v>2000</v>
      </c>
      <c r="F794" s="242" t="s">
        <v>27</v>
      </c>
      <c r="G794" s="239" t="s">
        <v>943</v>
      </c>
      <c r="H794" s="240">
        <f t="shared" si="12"/>
        <v>42870</v>
      </c>
      <c r="I794" s="241"/>
    </row>
    <row r="795" spans="1:9" x14ac:dyDescent="0.25">
      <c r="A795" s="249">
        <v>45118</v>
      </c>
      <c r="B795" s="237">
        <v>760</v>
      </c>
      <c r="C795" s="238" t="s">
        <v>610</v>
      </c>
      <c r="D795" s="239" t="s">
        <v>772</v>
      </c>
      <c r="E795" s="237">
        <v>50</v>
      </c>
      <c r="F795" s="242" t="s">
        <v>464</v>
      </c>
      <c r="G795" s="239" t="s">
        <v>464</v>
      </c>
      <c r="H795" s="240">
        <f t="shared" si="12"/>
        <v>43580</v>
      </c>
      <c r="I795" s="241" t="s">
        <v>33</v>
      </c>
    </row>
    <row r="796" spans="1:9" x14ac:dyDescent="0.25">
      <c r="A796" s="249">
        <v>45118</v>
      </c>
      <c r="B796" s="237">
        <v>12640</v>
      </c>
      <c r="C796" s="238" t="s">
        <v>80</v>
      </c>
      <c r="D796" s="239" t="s">
        <v>763</v>
      </c>
      <c r="E796" s="237">
        <v>270</v>
      </c>
      <c r="F796" s="242" t="s">
        <v>8</v>
      </c>
      <c r="G796" s="239" t="s">
        <v>930</v>
      </c>
      <c r="H796" s="240">
        <f t="shared" si="12"/>
        <v>55950</v>
      </c>
      <c r="I796" s="241"/>
    </row>
    <row r="797" spans="1:9" x14ac:dyDescent="0.25">
      <c r="A797" s="249">
        <v>45118</v>
      </c>
      <c r="B797" s="237">
        <v>477</v>
      </c>
      <c r="C797" s="238" t="s">
        <v>81</v>
      </c>
      <c r="D797" s="239" t="s">
        <v>765</v>
      </c>
      <c r="E797" s="237">
        <v>100</v>
      </c>
      <c r="F797" s="242" t="s">
        <v>10</v>
      </c>
      <c r="G797" s="239" t="s">
        <v>930</v>
      </c>
      <c r="H797" s="240">
        <f t="shared" si="12"/>
        <v>56327</v>
      </c>
      <c r="I797" s="241"/>
    </row>
    <row r="798" spans="1:9" x14ac:dyDescent="0.25">
      <c r="A798" s="249">
        <v>45118</v>
      </c>
      <c r="B798" s="237">
        <v>170</v>
      </c>
      <c r="C798" s="238" t="s">
        <v>610</v>
      </c>
      <c r="D798" s="239" t="s">
        <v>772</v>
      </c>
      <c r="E798" s="237">
        <v>3990</v>
      </c>
      <c r="F798" s="242" t="s">
        <v>56</v>
      </c>
      <c r="G798" s="239" t="s">
        <v>928</v>
      </c>
      <c r="H798" s="240">
        <f t="shared" si="12"/>
        <v>52507</v>
      </c>
      <c r="I798" s="241"/>
    </row>
    <row r="799" spans="1:9" x14ac:dyDescent="0.25">
      <c r="A799" s="249">
        <v>45118</v>
      </c>
      <c r="B799" s="237">
        <v>110</v>
      </c>
      <c r="C799" s="238" t="s">
        <v>610</v>
      </c>
      <c r="D799" s="239" t="s">
        <v>772</v>
      </c>
      <c r="E799" s="237">
        <v>1145</v>
      </c>
      <c r="F799" s="242" t="s">
        <v>886</v>
      </c>
      <c r="G799" s="239" t="s">
        <v>928</v>
      </c>
      <c r="H799" s="240">
        <f t="shared" si="12"/>
        <v>51472</v>
      </c>
      <c r="I799" s="241" t="s">
        <v>887</v>
      </c>
    </row>
    <row r="800" spans="1:9" x14ac:dyDescent="0.25">
      <c r="A800" s="249">
        <v>45118</v>
      </c>
      <c r="B800" s="237">
        <v>2065</v>
      </c>
      <c r="C800" s="238" t="s">
        <v>625</v>
      </c>
      <c r="D800" s="239"/>
      <c r="E800" s="237">
        <v>585</v>
      </c>
      <c r="F800" s="242" t="s">
        <v>37</v>
      </c>
      <c r="G800" s="239" t="s">
        <v>928</v>
      </c>
      <c r="H800" s="240">
        <f t="shared" si="12"/>
        <v>52952</v>
      </c>
      <c r="I800" s="241"/>
    </row>
    <row r="801" spans="1:9" x14ac:dyDescent="0.25">
      <c r="A801" s="249">
        <v>45118</v>
      </c>
      <c r="B801" s="237">
        <v>21345</v>
      </c>
      <c r="C801" s="238" t="s">
        <v>363</v>
      </c>
      <c r="D801" s="239" t="s">
        <v>763</v>
      </c>
      <c r="E801" s="237">
        <v>6300</v>
      </c>
      <c r="F801" s="242" t="s">
        <v>888</v>
      </c>
      <c r="G801" s="239" t="s">
        <v>928</v>
      </c>
      <c r="H801" s="240">
        <f t="shared" si="12"/>
        <v>67997</v>
      </c>
      <c r="I801" s="241" t="s">
        <v>889</v>
      </c>
    </row>
    <row r="802" spans="1:9" x14ac:dyDescent="0.25">
      <c r="A802" s="249">
        <v>45118</v>
      </c>
      <c r="B802" s="237">
        <v>1625</v>
      </c>
      <c r="C802" s="238" t="s">
        <v>921</v>
      </c>
      <c r="D802" s="239" t="s">
        <v>765</v>
      </c>
      <c r="E802" s="237">
        <v>120</v>
      </c>
      <c r="F802" s="242" t="s">
        <v>393</v>
      </c>
      <c r="G802" s="239" t="s">
        <v>930</v>
      </c>
      <c r="H802" s="240">
        <f t="shared" si="12"/>
        <v>69502</v>
      </c>
      <c r="I802" s="241"/>
    </row>
    <row r="803" spans="1:9" x14ac:dyDescent="0.25">
      <c r="A803" s="249">
        <v>45118</v>
      </c>
      <c r="B803" s="237">
        <v>5135</v>
      </c>
      <c r="C803" s="238" t="s">
        <v>300</v>
      </c>
      <c r="D803" s="239" t="s">
        <v>763</v>
      </c>
      <c r="E803" s="237">
        <v>360</v>
      </c>
      <c r="F803" s="242" t="s">
        <v>34</v>
      </c>
      <c r="G803" s="239" t="s">
        <v>935</v>
      </c>
      <c r="H803" s="240">
        <f t="shared" si="12"/>
        <v>74277</v>
      </c>
      <c r="I803" s="241"/>
    </row>
    <row r="804" spans="1:9" x14ac:dyDescent="0.25">
      <c r="A804" s="249">
        <v>45118</v>
      </c>
      <c r="B804" s="237">
        <v>72</v>
      </c>
      <c r="C804" s="238" t="s">
        <v>636</v>
      </c>
      <c r="D804" s="239" t="s">
        <v>765</v>
      </c>
      <c r="E804" s="237">
        <v>500</v>
      </c>
      <c r="F804" s="242" t="s">
        <v>505</v>
      </c>
      <c r="G804" s="239" t="s">
        <v>928</v>
      </c>
      <c r="H804" s="240">
        <f t="shared" si="12"/>
        <v>73849</v>
      </c>
      <c r="I804" s="241" t="s">
        <v>828</v>
      </c>
    </row>
    <row r="805" spans="1:9" x14ac:dyDescent="0.25">
      <c r="A805" s="249">
        <v>45118</v>
      </c>
      <c r="B805" s="237">
        <v>200</v>
      </c>
      <c r="C805" s="238" t="s">
        <v>639</v>
      </c>
      <c r="D805" s="239"/>
      <c r="E805" s="237">
        <v>1440</v>
      </c>
      <c r="F805" s="242" t="s">
        <v>17</v>
      </c>
      <c r="G805" s="239" t="s">
        <v>928</v>
      </c>
      <c r="H805" s="240">
        <f t="shared" si="12"/>
        <v>72609</v>
      </c>
      <c r="I805" s="241" t="s">
        <v>890</v>
      </c>
    </row>
    <row r="806" spans="1:9" x14ac:dyDescent="0.25">
      <c r="A806" s="249">
        <v>45118</v>
      </c>
      <c r="B806" s="237">
        <v>6230</v>
      </c>
      <c r="C806" s="238" t="s">
        <v>121</v>
      </c>
      <c r="D806" s="239" t="s">
        <v>766</v>
      </c>
      <c r="E806" s="237">
        <v>215</v>
      </c>
      <c r="F806" s="242" t="s">
        <v>399</v>
      </c>
      <c r="G806" s="239" t="s">
        <v>930</v>
      </c>
      <c r="H806" s="240">
        <f t="shared" si="12"/>
        <v>78624</v>
      </c>
      <c r="I806" s="241"/>
    </row>
    <row r="807" spans="1:9" x14ac:dyDescent="0.25">
      <c r="A807" s="249">
        <v>45118</v>
      </c>
      <c r="B807" s="237">
        <v>16198</v>
      </c>
      <c r="C807" s="238" t="s">
        <v>88</v>
      </c>
      <c r="D807" s="239" t="s">
        <v>766</v>
      </c>
      <c r="E807" s="237">
        <v>250</v>
      </c>
      <c r="F807" s="242" t="s">
        <v>7</v>
      </c>
      <c r="G807" s="239" t="s">
        <v>930</v>
      </c>
      <c r="H807" s="240">
        <f t="shared" si="12"/>
        <v>94572</v>
      </c>
      <c r="I807" s="241"/>
    </row>
    <row r="808" spans="1:9" x14ac:dyDescent="0.25">
      <c r="A808" s="249">
        <v>45118</v>
      </c>
      <c r="B808" s="237">
        <v>810</v>
      </c>
      <c r="C808" s="238" t="s">
        <v>747</v>
      </c>
      <c r="D808" s="239" t="s">
        <v>768</v>
      </c>
      <c r="E808" s="237">
        <v>70</v>
      </c>
      <c r="F808" s="242" t="s">
        <v>265</v>
      </c>
      <c r="G808" s="239" t="s">
        <v>935</v>
      </c>
      <c r="H808" s="240">
        <f t="shared" si="12"/>
        <v>95312</v>
      </c>
      <c r="I808" s="241"/>
    </row>
    <row r="809" spans="1:9" x14ac:dyDescent="0.25">
      <c r="A809" s="249">
        <v>45118</v>
      </c>
      <c r="B809" s="237">
        <v>17395</v>
      </c>
      <c r="C809" s="238" t="s">
        <v>85</v>
      </c>
      <c r="D809" s="239" t="s">
        <v>766</v>
      </c>
      <c r="E809" s="237">
        <v>280</v>
      </c>
      <c r="F809" s="242" t="s">
        <v>613</v>
      </c>
      <c r="G809" s="239" t="s">
        <v>928</v>
      </c>
      <c r="H809" s="240">
        <f t="shared" si="12"/>
        <v>112427</v>
      </c>
      <c r="I809" s="241"/>
    </row>
    <row r="810" spans="1:9" x14ac:dyDescent="0.25">
      <c r="A810" s="249">
        <v>45118</v>
      </c>
      <c r="B810" s="237">
        <v>18107</v>
      </c>
      <c r="C810" s="238" t="s">
        <v>15</v>
      </c>
      <c r="D810" s="239" t="s">
        <v>766</v>
      </c>
      <c r="E810" s="237">
        <v>400</v>
      </c>
      <c r="F810" s="242" t="s">
        <v>27</v>
      </c>
      <c r="G810" s="239" t="s">
        <v>943</v>
      </c>
      <c r="H810" s="240">
        <f t="shared" si="12"/>
        <v>130134</v>
      </c>
      <c r="I810" s="241"/>
    </row>
    <row r="811" spans="1:9" x14ac:dyDescent="0.25">
      <c r="A811" s="249">
        <v>45118</v>
      </c>
      <c r="B811" s="237">
        <v>272</v>
      </c>
      <c r="C811" s="238" t="s">
        <v>90</v>
      </c>
      <c r="D811" s="239" t="s">
        <v>768</v>
      </c>
      <c r="E811" s="237">
        <v>2025</v>
      </c>
      <c r="F811" s="242" t="s">
        <v>63</v>
      </c>
      <c r="G811" s="239" t="s">
        <v>928</v>
      </c>
      <c r="H811" s="240">
        <f t="shared" si="12"/>
        <v>128381</v>
      </c>
      <c r="I811" s="241"/>
    </row>
    <row r="812" spans="1:9" x14ac:dyDescent="0.25">
      <c r="A812" s="249">
        <v>45118</v>
      </c>
      <c r="B812" s="237"/>
      <c r="C812" s="238"/>
      <c r="D812" s="239"/>
      <c r="E812" s="237">
        <v>1000</v>
      </c>
      <c r="F812" s="242" t="s">
        <v>616</v>
      </c>
      <c r="G812" s="239" t="s">
        <v>928</v>
      </c>
      <c r="H812" s="240">
        <f t="shared" si="12"/>
        <v>127381</v>
      </c>
      <c r="I812" s="241"/>
    </row>
    <row r="813" spans="1:9" x14ac:dyDescent="0.25">
      <c r="A813" s="249">
        <v>45118</v>
      </c>
      <c r="B813" s="237"/>
      <c r="C813" s="238"/>
      <c r="D813" s="239"/>
      <c r="E813" s="237">
        <v>125</v>
      </c>
      <c r="F813" s="242" t="s">
        <v>38</v>
      </c>
      <c r="G813" s="239" t="s">
        <v>930</v>
      </c>
      <c r="H813" s="240">
        <f t="shared" si="12"/>
        <v>127256</v>
      </c>
      <c r="I813" s="241"/>
    </row>
    <row r="814" spans="1:9" x14ac:dyDescent="0.25">
      <c r="A814" s="249">
        <v>45118</v>
      </c>
      <c r="B814" s="237"/>
      <c r="C814" s="238"/>
      <c r="D814" s="239"/>
      <c r="E814" s="237">
        <v>1000</v>
      </c>
      <c r="F814" s="242" t="s">
        <v>737</v>
      </c>
      <c r="G814" s="239" t="s">
        <v>928</v>
      </c>
      <c r="H814" s="240">
        <f t="shared" si="12"/>
        <v>126256</v>
      </c>
      <c r="I814" s="241" t="s">
        <v>786</v>
      </c>
    </row>
    <row r="815" spans="1:9" x14ac:dyDescent="0.25">
      <c r="A815" s="249">
        <v>45118</v>
      </c>
      <c r="B815" s="237"/>
      <c r="C815" s="238"/>
      <c r="D815" s="239"/>
      <c r="E815" s="237">
        <v>5680</v>
      </c>
      <c r="F815" s="242" t="s">
        <v>891</v>
      </c>
      <c r="G815" s="239" t="s">
        <v>928</v>
      </c>
      <c r="H815" s="240">
        <f t="shared" si="12"/>
        <v>120576</v>
      </c>
      <c r="I815" s="241" t="s">
        <v>892</v>
      </c>
    </row>
    <row r="816" spans="1:9" x14ac:dyDescent="0.25">
      <c r="A816" s="249">
        <v>45118</v>
      </c>
      <c r="B816" s="237"/>
      <c r="C816" s="238"/>
      <c r="D816" s="239"/>
      <c r="E816" s="237">
        <v>50</v>
      </c>
      <c r="F816" s="243" t="s">
        <v>963</v>
      </c>
      <c r="G816" s="239" t="s">
        <v>931</v>
      </c>
      <c r="H816" s="240">
        <f t="shared" si="12"/>
        <v>120526</v>
      </c>
      <c r="I816" s="241"/>
    </row>
    <row r="817" spans="1:9" x14ac:dyDescent="0.25">
      <c r="A817" s="249">
        <v>45118</v>
      </c>
      <c r="B817" s="237"/>
      <c r="C817" s="238"/>
      <c r="D817" s="239"/>
      <c r="E817" s="237">
        <v>6065</v>
      </c>
      <c r="F817" s="242" t="s">
        <v>16</v>
      </c>
      <c r="G817" s="239" t="s">
        <v>936</v>
      </c>
      <c r="H817" s="240">
        <f t="shared" si="12"/>
        <v>114461</v>
      </c>
      <c r="I817" s="241"/>
    </row>
    <row r="818" spans="1:9" x14ac:dyDescent="0.25">
      <c r="A818" s="249">
        <v>45118</v>
      </c>
      <c r="B818" s="237"/>
      <c r="C818" s="238"/>
      <c r="D818" s="239"/>
      <c r="E818" s="237">
        <v>2275</v>
      </c>
      <c r="F818" s="242" t="s">
        <v>230</v>
      </c>
      <c r="G818" s="239" t="s">
        <v>928</v>
      </c>
      <c r="H818" s="240">
        <f t="shared" si="12"/>
        <v>112186</v>
      </c>
      <c r="I818" s="241" t="s">
        <v>796</v>
      </c>
    </row>
    <row r="819" spans="1:9" x14ac:dyDescent="0.25">
      <c r="A819" s="249">
        <v>45118</v>
      </c>
      <c r="B819" s="237"/>
      <c r="C819" s="238"/>
      <c r="D819" s="239"/>
      <c r="E819" s="237">
        <v>2000</v>
      </c>
      <c r="F819" s="242" t="s">
        <v>785</v>
      </c>
      <c r="G819" s="239" t="s">
        <v>928</v>
      </c>
      <c r="H819" s="240">
        <f t="shared" si="12"/>
        <v>110186</v>
      </c>
      <c r="I819" s="241" t="s">
        <v>893</v>
      </c>
    </row>
    <row r="820" spans="1:9" x14ac:dyDescent="0.25">
      <c r="A820" s="249">
        <v>45118</v>
      </c>
      <c r="B820" s="237"/>
      <c r="C820" s="238"/>
      <c r="D820" s="239"/>
      <c r="E820" s="237">
        <v>80</v>
      </c>
      <c r="F820" s="242" t="s">
        <v>300</v>
      </c>
      <c r="G820" s="239" t="s">
        <v>930</v>
      </c>
      <c r="H820" s="240">
        <f t="shared" si="12"/>
        <v>110106</v>
      </c>
      <c r="I820" s="241"/>
    </row>
    <row r="821" spans="1:9" x14ac:dyDescent="0.25">
      <c r="A821" s="249">
        <v>45118</v>
      </c>
      <c r="B821" s="237"/>
      <c r="C821" s="238"/>
      <c r="D821" s="239"/>
      <c r="E821" s="237">
        <v>5000</v>
      </c>
      <c r="F821" s="242" t="s">
        <v>364</v>
      </c>
      <c r="G821" s="239" t="s">
        <v>928</v>
      </c>
      <c r="H821" s="240">
        <f t="shared" si="12"/>
        <v>105106</v>
      </c>
      <c r="I821" s="241" t="s">
        <v>894</v>
      </c>
    </row>
    <row r="822" spans="1:9" x14ac:dyDescent="0.25">
      <c r="A822" s="249">
        <v>45118</v>
      </c>
      <c r="B822" s="237"/>
      <c r="C822" s="238"/>
      <c r="D822" s="239"/>
      <c r="E822" s="237">
        <v>5000</v>
      </c>
      <c r="F822" s="242" t="s">
        <v>43</v>
      </c>
      <c r="G822" s="239" t="s">
        <v>941</v>
      </c>
      <c r="H822" s="240">
        <f t="shared" si="12"/>
        <v>100106</v>
      </c>
      <c r="I822" s="241"/>
    </row>
    <row r="823" spans="1:9" x14ac:dyDescent="0.25">
      <c r="A823" s="249">
        <v>45118</v>
      </c>
      <c r="B823" s="237"/>
      <c r="C823" s="238"/>
      <c r="D823" s="239"/>
      <c r="E823" s="237">
        <v>1185</v>
      </c>
      <c r="F823" s="242" t="s">
        <v>895</v>
      </c>
      <c r="G823" s="239" t="s">
        <v>928</v>
      </c>
      <c r="H823" s="240">
        <f t="shared" si="12"/>
        <v>98921</v>
      </c>
      <c r="I823" s="241" t="s">
        <v>896</v>
      </c>
    </row>
    <row r="824" spans="1:9" x14ac:dyDescent="0.25">
      <c r="A824" s="249">
        <v>45118</v>
      </c>
      <c r="B824" s="237"/>
      <c r="C824" s="238"/>
      <c r="D824" s="239"/>
      <c r="E824" s="237">
        <v>530</v>
      </c>
      <c r="F824" s="242" t="s">
        <v>603</v>
      </c>
      <c r="G824" s="239" t="s">
        <v>929</v>
      </c>
      <c r="H824" s="240">
        <f t="shared" si="12"/>
        <v>98391</v>
      </c>
      <c r="I824" s="241"/>
    </row>
    <row r="825" spans="1:9" x14ac:dyDescent="0.25">
      <c r="A825" s="249">
        <v>45118</v>
      </c>
      <c r="B825" s="237"/>
      <c r="C825" s="238"/>
      <c r="D825" s="239"/>
      <c r="E825" s="237">
        <v>90</v>
      </c>
      <c r="F825" s="242" t="s">
        <v>223</v>
      </c>
      <c r="G825" s="239" t="s">
        <v>930</v>
      </c>
      <c r="H825" s="240">
        <f t="shared" si="12"/>
        <v>98301</v>
      </c>
      <c r="I825" s="241"/>
    </row>
    <row r="826" spans="1:9" x14ac:dyDescent="0.25">
      <c r="A826" s="249">
        <v>45118</v>
      </c>
      <c r="B826" s="237"/>
      <c r="C826" s="238"/>
      <c r="D826" s="239"/>
      <c r="E826" s="237">
        <v>1310</v>
      </c>
      <c r="F826" s="242" t="s">
        <v>793</v>
      </c>
      <c r="G826" s="239" t="s">
        <v>928</v>
      </c>
      <c r="H826" s="240">
        <f t="shared" si="12"/>
        <v>96991</v>
      </c>
      <c r="I826" s="241" t="s">
        <v>787</v>
      </c>
    </row>
    <row r="827" spans="1:9" x14ac:dyDescent="0.25">
      <c r="A827" s="249">
        <v>45118</v>
      </c>
      <c r="B827" s="237"/>
      <c r="C827" s="238"/>
      <c r="D827" s="239"/>
      <c r="E827" s="237">
        <v>4000</v>
      </c>
      <c r="F827" s="242" t="s">
        <v>814</v>
      </c>
      <c r="G827" s="239" t="s">
        <v>928</v>
      </c>
      <c r="H827" s="240">
        <f t="shared" si="12"/>
        <v>92991</v>
      </c>
      <c r="I827" s="241" t="s">
        <v>897</v>
      </c>
    </row>
    <row r="828" spans="1:9" x14ac:dyDescent="0.25">
      <c r="A828" s="249">
        <v>45118</v>
      </c>
      <c r="B828" s="237"/>
      <c r="C828" s="238"/>
      <c r="D828" s="239"/>
      <c r="E828" s="237">
        <v>70</v>
      </c>
      <c r="F828" s="242" t="s">
        <v>628</v>
      </c>
      <c r="G828" s="239" t="s">
        <v>930</v>
      </c>
      <c r="H828" s="240">
        <f t="shared" si="12"/>
        <v>92921</v>
      </c>
      <c r="I828" s="241"/>
    </row>
    <row r="829" spans="1:9" x14ac:dyDescent="0.25">
      <c r="A829" s="249">
        <v>45118</v>
      </c>
      <c r="B829" s="237"/>
      <c r="C829" s="238"/>
      <c r="D829" s="239"/>
      <c r="E829" s="237">
        <v>1605</v>
      </c>
      <c r="F829" s="242" t="s">
        <v>14</v>
      </c>
      <c r="G829" s="239" t="s">
        <v>935</v>
      </c>
      <c r="H829" s="240">
        <f t="shared" si="12"/>
        <v>91316</v>
      </c>
      <c r="I829" s="241"/>
    </row>
    <row r="830" spans="1:9" x14ac:dyDescent="0.25">
      <c r="A830" s="249">
        <v>45118</v>
      </c>
      <c r="B830" s="237"/>
      <c r="C830" s="238"/>
      <c r="D830" s="239"/>
      <c r="E830" s="237">
        <v>600</v>
      </c>
      <c r="F830" s="242" t="s">
        <v>630</v>
      </c>
      <c r="G830" s="239" t="s">
        <v>464</v>
      </c>
      <c r="H830" s="240">
        <f t="shared" si="12"/>
        <v>90716</v>
      </c>
      <c r="I830" s="241"/>
    </row>
    <row r="831" spans="1:9" x14ac:dyDescent="0.25">
      <c r="A831" s="249">
        <v>45118</v>
      </c>
      <c r="B831" s="237"/>
      <c r="C831" s="238"/>
      <c r="D831" s="239"/>
      <c r="E831" s="237">
        <v>105</v>
      </c>
      <c r="F831" s="242" t="s">
        <v>376</v>
      </c>
      <c r="G831" s="239" t="s">
        <v>930</v>
      </c>
      <c r="H831" s="240">
        <f t="shared" si="12"/>
        <v>90611</v>
      </c>
      <c r="I831" s="241"/>
    </row>
    <row r="832" spans="1:9" x14ac:dyDescent="0.25">
      <c r="A832" s="249">
        <v>45118</v>
      </c>
      <c r="B832" s="237"/>
      <c r="C832" s="238"/>
      <c r="D832" s="239"/>
      <c r="E832" s="237">
        <v>105</v>
      </c>
      <c r="F832" s="242" t="s">
        <v>629</v>
      </c>
      <c r="G832" s="239" t="s">
        <v>930</v>
      </c>
      <c r="H832" s="240">
        <f t="shared" si="12"/>
        <v>90506</v>
      </c>
      <c r="I832" s="241"/>
    </row>
    <row r="833" spans="1:9" x14ac:dyDescent="0.25">
      <c r="A833" s="249">
        <v>45118</v>
      </c>
      <c r="B833" s="237"/>
      <c r="C833" s="238"/>
      <c r="D833" s="239"/>
      <c r="E833" s="237">
        <v>1980</v>
      </c>
      <c r="F833" s="242" t="s">
        <v>27</v>
      </c>
      <c r="G833" s="239" t="s">
        <v>943</v>
      </c>
      <c r="H833" s="240">
        <f t="shared" si="12"/>
        <v>88526</v>
      </c>
      <c r="I833" s="241"/>
    </row>
    <row r="834" spans="1:9" x14ac:dyDescent="0.25">
      <c r="A834" s="249">
        <v>45118</v>
      </c>
      <c r="B834" s="237"/>
      <c r="C834" s="238"/>
      <c r="D834" s="239"/>
      <c r="E834" s="237">
        <v>10000</v>
      </c>
      <c r="F834" s="242" t="s">
        <v>872</v>
      </c>
      <c r="G834" s="239" t="s">
        <v>928</v>
      </c>
      <c r="H834" s="240">
        <f t="shared" si="12"/>
        <v>78526</v>
      </c>
      <c r="I834" s="241" t="s">
        <v>898</v>
      </c>
    </row>
    <row r="835" spans="1:9" x14ac:dyDescent="0.25">
      <c r="A835" s="249">
        <v>45118</v>
      </c>
      <c r="B835" s="237"/>
      <c r="C835" s="238"/>
      <c r="D835" s="239"/>
      <c r="E835" s="237">
        <v>6950</v>
      </c>
      <c r="F835" s="242" t="s">
        <v>228</v>
      </c>
      <c r="G835" s="239" t="s">
        <v>928</v>
      </c>
      <c r="H835" s="240">
        <f t="shared" si="12"/>
        <v>71576</v>
      </c>
      <c r="I835" s="241"/>
    </row>
    <row r="836" spans="1:9" x14ac:dyDescent="0.25">
      <c r="A836" s="249">
        <v>45118</v>
      </c>
      <c r="B836" s="237"/>
      <c r="C836" s="238"/>
      <c r="D836" s="239"/>
      <c r="E836" s="237">
        <v>70</v>
      </c>
      <c r="F836" s="242" t="s">
        <v>26</v>
      </c>
      <c r="G836" s="239" t="s">
        <v>930</v>
      </c>
      <c r="H836" s="240">
        <f t="shared" si="12"/>
        <v>71506</v>
      </c>
      <c r="I836" s="241"/>
    </row>
    <row r="837" spans="1:9" x14ac:dyDescent="0.25">
      <c r="A837" s="249">
        <v>45118</v>
      </c>
      <c r="B837" s="237"/>
      <c r="C837" s="238"/>
      <c r="D837" s="239"/>
      <c r="E837" s="237">
        <v>80</v>
      </c>
      <c r="F837" s="242" t="s">
        <v>510</v>
      </c>
      <c r="G837" s="239" t="s">
        <v>930</v>
      </c>
      <c r="H837" s="240">
        <f t="shared" si="12"/>
        <v>71426</v>
      </c>
      <c r="I837" s="241"/>
    </row>
    <row r="838" spans="1:9" x14ac:dyDescent="0.25">
      <c r="A838" s="249">
        <v>45118</v>
      </c>
      <c r="B838" s="237"/>
      <c r="C838" s="238"/>
      <c r="D838" s="239"/>
      <c r="E838" s="237">
        <v>210</v>
      </c>
      <c r="F838" s="242" t="s">
        <v>640</v>
      </c>
      <c r="G838" s="239" t="s">
        <v>930</v>
      </c>
      <c r="H838" s="240">
        <f t="shared" ref="H838:H901" si="13">H837+B838-E838</f>
        <v>71216</v>
      </c>
      <c r="I838" s="241"/>
    </row>
    <row r="839" spans="1:9" x14ac:dyDescent="0.25">
      <c r="A839" s="249">
        <v>45118</v>
      </c>
      <c r="B839" s="237"/>
      <c r="C839" s="238"/>
      <c r="D839" s="239"/>
      <c r="E839" s="237">
        <v>196</v>
      </c>
      <c r="F839" s="242" t="s">
        <v>86</v>
      </c>
      <c r="G839" s="239" t="s">
        <v>930</v>
      </c>
      <c r="H839" s="240">
        <f t="shared" si="13"/>
        <v>71020</v>
      </c>
      <c r="I839" s="241"/>
    </row>
    <row r="840" spans="1:9" x14ac:dyDescent="0.25">
      <c r="A840" s="249">
        <v>45118</v>
      </c>
      <c r="B840" s="237"/>
      <c r="C840" s="238"/>
      <c r="D840" s="239"/>
      <c r="E840" s="237">
        <v>100</v>
      </c>
      <c r="F840" s="242" t="s">
        <v>9</v>
      </c>
      <c r="G840" s="239" t="s">
        <v>930</v>
      </c>
      <c r="H840" s="240">
        <f t="shared" si="13"/>
        <v>70920</v>
      </c>
      <c r="I840" s="241"/>
    </row>
    <row r="841" spans="1:9" x14ac:dyDescent="0.25">
      <c r="A841" s="249">
        <v>45118</v>
      </c>
      <c r="B841" s="237"/>
      <c r="C841" s="238"/>
      <c r="D841" s="239"/>
      <c r="E841" s="237">
        <v>180</v>
      </c>
      <c r="F841" s="242" t="s">
        <v>255</v>
      </c>
      <c r="G841" s="239" t="s">
        <v>930</v>
      </c>
      <c r="H841" s="240">
        <f t="shared" si="13"/>
        <v>70740</v>
      </c>
      <c r="I841" s="241"/>
    </row>
    <row r="842" spans="1:9" x14ac:dyDescent="0.25">
      <c r="A842" s="249">
        <v>45118</v>
      </c>
      <c r="B842" s="237"/>
      <c r="C842" s="238"/>
      <c r="D842" s="239"/>
      <c r="E842" s="237">
        <v>7</v>
      </c>
      <c r="F842" s="242" t="s">
        <v>458</v>
      </c>
      <c r="G842" s="239" t="s">
        <v>464</v>
      </c>
      <c r="H842" s="240">
        <f t="shared" si="13"/>
        <v>70733</v>
      </c>
      <c r="I842" s="241"/>
    </row>
    <row r="843" spans="1:9" x14ac:dyDescent="0.25">
      <c r="A843" s="249">
        <v>45118</v>
      </c>
      <c r="B843" s="237"/>
      <c r="C843" s="238"/>
      <c r="D843" s="239"/>
      <c r="E843" s="237">
        <v>2970</v>
      </c>
      <c r="F843" s="242" t="s">
        <v>27</v>
      </c>
      <c r="G843" s="239" t="s">
        <v>943</v>
      </c>
      <c r="H843" s="240">
        <f t="shared" si="13"/>
        <v>67763</v>
      </c>
      <c r="I843" s="241"/>
    </row>
    <row r="844" spans="1:9" x14ac:dyDescent="0.25">
      <c r="A844" s="249">
        <v>45118</v>
      </c>
      <c r="B844" s="237"/>
      <c r="C844" s="238"/>
      <c r="D844" s="239"/>
      <c r="E844" s="237">
        <v>175</v>
      </c>
      <c r="F844" s="242" t="s">
        <v>776</v>
      </c>
      <c r="G844" s="239" t="s">
        <v>930</v>
      </c>
      <c r="H844" s="240">
        <f t="shared" si="13"/>
        <v>67588</v>
      </c>
      <c r="I844" s="241" t="s">
        <v>790</v>
      </c>
    </row>
    <row r="845" spans="1:9" x14ac:dyDescent="0.25">
      <c r="A845" s="249">
        <v>45118</v>
      </c>
      <c r="B845" s="237"/>
      <c r="C845" s="238"/>
      <c r="D845" s="239"/>
      <c r="E845" s="237">
        <v>300</v>
      </c>
      <c r="F845" s="242" t="s">
        <v>34</v>
      </c>
      <c r="G845" s="239" t="s">
        <v>935</v>
      </c>
      <c r="H845" s="240">
        <f t="shared" si="13"/>
        <v>67288</v>
      </c>
      <c r="I845" s="241"/>
    </row>
    <row r="846" spans="1:9" x14ac:dyDescent="0.25">
      <c r="A846" s="249">
        <v>45118</v>
      </c>
      <c r="B846" s="237"/>
      <c r="C846" s="238"/>
      <c r="D846" s="239"/>
      <c r="E846" s="237">
        <v>825</v>
      </c>
      <c r="F846" s="242" t="s">
        <v>66</v>
      </c>
      <c r="G846" s="239" t="s">
        <v>928</v>
      </c>
      <c r="H846" s="240">
        <f t="shared" si="13"/>
        <v>66463</v>
      </c>
      <c r="I846" s="241"/>
    </row>
    <row r="847" spans="1:9" x14ac:dyDescent="0.25">
      <c r="A847" s="249">
        <v>45118</v>
      </c>
      <c r="B847" s="237"/>
      <c r="C847" s="238"/>
      <c r="D847" s="239"/>
      <c r="E847" s="237">
        <v>400</v>
      </c>
      <c r="F847" s="242" t="s">
        <v>278</v>
      </c>
      <c r="G847" s="239" t="s">
        <v>935</v>
      </c>
      <c r="H847" s="240">
        <f t="shared" si="13"/>
        <v>66063</v>
      </c>
      <c r="I847" s="241"/>
    </row>
    <row r="848" spans="1:9" x14ac:dyDescent="0.25">
      <c r="A848" s="249">
        <v>45118</v>
      </c>
      <c r="B848" s="237"/>
      <c r="C848" s="238"/>
      <c r="D848" s="239"/>
      <c r="E848" s="237">
        <v>90</v>
      </c>
      <c r="F848" s="242" t="s">
        <v>642</v>
      </c>
      <c r="G848" s="239" t="s">
        <v>935</v>
      </c>
      <c r="H848" s="240">
        <f t="shared" si="13"/>
        <v>65973</v>
      </c>
      <c r="I848" s="241"/>
    </row>
    <row r="849" spans="1:9" x14ac:dyDescent="0.25">
      <c r="A849" s="249">
        <v>45118</v>
      </c>
      <c r="B849" s="237"/>
      <c r="C849" s="238"/>
      <c r="D849" s="239"/>
      <c r="E849" s="237">
        <v>525</v>
      </c>
      <c r="F849" s="242" t="s">
        <v>79</v>
      </c>
      <c r="G849" s="239" t="s">
        <v>929</v>
      </c>
      <c r="H849" s="240">
        <f t="shared" si="13"/>
        <v>65448</v>
      </c>
      <c r="I849" s="241" t="s">
        <v>828</v>
      </c>
    </row>
    <row r="850" spans="1:9" x14ac:dyDescent="0.25">
      <c r="A850" s="249">
        <v>45118</v>
      </c>
      <c r="B850" s="237"/>
      <c r="C850" s="238"/>
      <c r="D850" s="239"/>
      <c r="E850" s="237">
        <v>2400</v>
      </c>
      <c r="F850" s="242" t="s">
        <v>645</v>
      </c>
      <c r="G850" s="239" t="s">
        <v>928</v>
      </c>
      <c r="H850" s="240">
        <f t="shared" si="13"/>
        <v>63048</v>
      </c>
      <c r="I850" s="241"/>
    </row>
    <row r="851" spans="1:9" x14ac:dyDescent="0.25">
      <c r="A851" s="249">
        <v>45118</v>
      </c>
      <c r="B851" s="237"/>
      <c r="C851" s="238"/>
      <c r="D851" s="239"/>
      <c r="E851" s="237">
        <v>804</v>
      </c>
      <c r="F851" s="242" t="s">
        <v>214</v>
      </c>
      <c r="G851" s="239" t="s">
        <v>928</v>
      </c>
      <c r="H851" s="240">
        <f t="shared" si="13"/>
        <v>62244</v>
      </c>
      <c r="I851" s="241"/>
    </row>
    <row r="852" spans="1:9" x14ac:dyDescent="0.25">
      <c r="A852" s="249">
        <v>45118</v>
      </c>
      <c r="B852" s="237"/>
      <c r="C852" s="238"/>
      <c r="D852" s="239"/>
      <c r="E852" s="237">
        <v>90</v>
      </c>
      <c r="F852" s="242" t="s">
        <v>339</v>
      </c>
      <c r="G852" s="239" t="s">
        <v>935</v>
      </c>
      <c r="H852" s="240">
        <f t="shared" si="13"/>
        <v>62154</v>
      </c>
      <c r="I852" s="241"/>
    </row>
    <row r="853" spans="1:9" x14ac:dyDescent="0.25">
      <c r="A853" s="249">
        <v>45118</v>
      </c>
      <c r="B853" s="237"/>
      <c r="C853" s="238"/>
      <c r="D853" s="239"/>
      <c r="E853" s="237">
        <v>100</v>
      </c>
      <c r="F853" s="242" t="s">
        <v>29</v>
      </c>
      <c r="G853" s="239" t="s">
        <v>930</v>
      </c>
      <c r="H853" s="240">
        <f t="shared" si="13"/>
        <v>62054</v>
      </c>
      <c r="I853" s="241"/>
    </row>
    <row r="854" spans="1:9" x14ac:dyDescent="0.25">
      <c r="A854" s="249">
        <v>45118</v>
      </c>
      <c r="B854" s="237"/>
      <c r="C854" s="238"/>
      <c r="D854" s="239"/>
      <c r="E854" s="237">
        <v>16</v>
      </c>
      <c r="F854" s="242" t="s">
        <v>458</v>
      </c>
      <c r="G854" s="239" t="s">
        <v>464</v>
      </c>
      <c r="H854" s="240">
        <f t="shared" si="13"/>
        <v>62038</v>
      </c>
      <c r="I854" s="241"/>
    </row>
    <row r="855" spans="1:9" x14ac:dyDescent="0.25">
      <c r="A855" s="249">
        <v>45118</v>
      </c>
      <c r="B855" s="237"/>
      <c r="C855" s="238"/>
      <c r="D855" s="239"/>
      <c r="E855" s="237">
        <v>1205</v>
      </c>
      <c r="F855" s="242" t="s">
        <v>580</v>
      </c>
      <c r="G855" s="239" t="s">
        <v>928</v>
      </c>
      <c r="H855" s="240">
        <f t="shared" si="13"/>
        <v>60833</v>
      </c>
      <c r="I855" s="241"/>
    </row>
    <row r="856" spans="1:9" x14ac:dyDescent="0.25">
      <c r="A856" s="249">
        <v>45118</v>
      </c>
      <c r="B856" s="237"/>
      <c r="C856" s="238"/>
      <c r="D856" s="239"/>
      <c r="E856" s="237">
        <v>3520</v>
      </c>
      <c r="F856" s="242" t="s">
        <v>647</v>
      </c>
      <c r="G856" s="239" t="s">
        <v>929</v>
      </c>
      <c r="H856" s="240">
        <f t="shared" si="13"/>
        <v>57313</v>
      </c>
      <c r="I856" s="241"/>
    </row>
    <row r="857" spans="1:9" x14ac:dyDescent="0.25">
      <c r="A857" s="249">
        <v>45118</v>
      </c>
      <c r="B857" s="237"/>
      <c r="C857" s="238"/>
      <c r="D857" s="239"/>
      <c r="E857" s="237">
        <v>305</v>
      </c>
      <c r="F857" s="242" t="s">
        <v>648</v>
      </c>
      <c r="G857" s="239" t="s">
        <v>930</v>
      </c>
      <c r="H857" s="240">
        <f t="shared" si="13"/>
        <v>57008</v>
      </c>
      <c r="I857" s="241"/>
    </row>
    <row r="858" spans="1:9" x14ac:dyDescent="0.25">
      <c r="A858" s="249">
        <v>45118</v>
      </c>
      <c r="B858" s="237"/>
      <c r="C858" s="238"/>
      <c r="D858" s="239"/>
      <c r="E858" s="237">
        <v>830</v>
      </c>
      <c r="F858" s="242" t="s">
        <v>649</v>
      </c>
      <c r="G858" s="239" t="s">
        <v>928</v>
      </c>
      <c r="H858" s="240">
        <f t="shared" si="13"/>
        <v>56178</v>
      </c>
      <c r="I858" s="241"/>
    </row>
    <row r="859" spans="1:9" x14ac:dyDescent="0.25">
      <c r="A859" s="249">
        <v>45118</v>
      </c>
      <c r="B859" s="237"/>
      <c r="C859" s="238"/>
      <c r="D859" s="239"/>
      <c r="E859" s="237">
        <v>168</v>
      </c>
      <c r="F859" s="242" t="s">
        <v>86</v>
      </c>
      <c r="G859" s="239" t="s">
        <v>930</v>
      </c>
      <c r="H859" s="240">
        <f t="shared" si="13"/>
        <v>56010</v>
      </c>
      <c r="I859" s="241"/>
    </row>
    <row r="860" spans="1:9" x14ac:dyDescent="0.25">
      <c r="A860" s="249">
        <v>45118</v>
      </c>
      <c r="B860" s="237"/>
      <c r="C860" s="238"/>
      <c r="D860" s="239"/>
      <c r="E860" s="237">
        <v>160</v>
      </c>
      <c r="F860" s="242" t="s">
        <v>15</v>
      </c>
      <c r="G860" s="239" t="s">
        <v>930</v>
      </c>
      <c r="H860" s="240">
        <f t="shared" si="13"/>
        <v>55850</v>
      </c>
      <c r="I860" s="241"/>
    </row>
    <row r="861" spans="1:9" x14ac:dyDescent="0.25">
      <c r="A861" s="249">
        <v>45118</v>
      </c>
      <c r="B861" s="237"/>
      <c r="C861" s="238"/>
      <c r="D861" s="239"/>
      <c r="E861" s="237">
        <v>100</v>
      </c>
      <c r="F861" s="242" t="s">
        <v>494</v>
      </c>
      <c r="G861" s="239" t="s">
        <v>930</v>
      </c>
      <c r="H861" s="240">
        <f t="shared" si="13"/>
        <v>55750</v>
      </c>
      <c r="I861" s="241"/>
    </row>
    <row r="862" spans="1:9" x14ac:dyDescent="0.25">
      <c r="A862" s="249">
        <v>45118</v>
      </c>
      <c r="B862" s="237"/>
      <c r="C862" s="238"/>
      <c r="D862" s="239"/>
      <c r="E862" s="237">
        <v>824</v>
      </c>
      <c r="F862" s="242" t="s">
        <v>45</v>
      </c>
      <c r="G862" s="239" t="s">
        <v>928</v>
      </c>
      <c r="H862" s="240">
        <f t="shared" si="13"/>
        <v>54926</v>
      </c>
      <c r="I862" s="241"/>
    </row>
    <row r="863" spans="1:9" x14ac:dyDescent="0.25">
      <c r="A863" s="249">
        <v>45118</v>
      </c>
      <c r="B863" s="237"/>
      <c r="C863" s="238"/>
      <c r="D863" s="239"/>
      <c r="E863" s="237">
        <v>100</v>
      </c>
      <c r="F863" s="242" t="s">
        <v>552</v>
      </c>
      <c r="G863" s="239" t="s">
        <v>930</v>
      </c>
      <c r="H863" s="240">
        <f t="shared" si="13"/>
        <v>54826</v>
      </c>
      <c r="I863" s="241"/>
    </row>
    <row r="864" spans="1:9" x14ac:dyDescent="0.25">
      <c r="A864" s="249">
        <v>45118</v>
      </c>
      <c r="B864" s="237"/>
      <c r="C864" s="238"/>
      <c r="D864" s="239"/>
      <c r="E864" s="237">
        <v>4875</v>
      </c>
      <c r="F864" s="242" t="s">
        <v>520</v>
      </c>
      <c r="G864" s="239" t="s">
        <v>928</v>
      </c>
      <c r="H864" s="240">
        <f t="shared" si="13"/>
        <v>49951</v>
      </c>
      <c r="I864" s="241"/>
    </row>
    <row r="865" spans="1:9" x14ac:dyDescent="0.25">
      <c r="A865" s="249">
        <v>45118</v>
      </c>
      <c r="B865" s="237"/>
      <c r="C865" s="238"/>
      <c r="D865" s="239"/>
      <c r="E865" s="237">
        <v>130</v>
      </c>
      <c r="F865" s="242" t="s">
        <v>498</v>
      </c>
      <c r="G865" s="239" t="s">
        <v>930</v>
      </c>
      <c r="H865" s="240">
        <f t="shared" si="13"/>
        <v>49821</v>
      </c>
      <c r="I865" s="241"/>
    </row>
    <row r="866" spans="1:9" x14ac:dyDescent="0.25">
      <c r="A866" s="249">
        <v>45118</v>
      </c>
      <c r="B866" s="237"/>
      <c r="C866" s="238"/>
      <c r="D866" s="239"/>
      <c r="E866" s="237">
        <v>100</v>
      </c>
      <c r="F866" s="242" t="s">
        <v>72</v>
      </c>
      <c r="G866" s="239" t="s">
        <v>930</v>
      </c>
      <c r="H866" s="240">
        <f t="shared" si="13"/>
        <v>49721</v>
      </c>
      <c r="I866" s="241"/>
    </row>
    <row r="867" spans="1:9" x14ac:dyDescent="0.25">
      <c r="A867" s="249">
        <v>45118</v>
      </c>
      <c r="B867" s="237"/>
      <c r="C867" s="238"/>
      <c r="D867" s="239"/>
      <c r="E867" s="237">
        <v>25</v>
      </c>
      <c r="F867" s="242" t="s">
        <v>458</v>
      </c>
      <c r="G867" s="239" t="s">
        <v>464</v>
      </c>
      <c r="H867" s="240">
        <f t="shared" si="13"/>
        <v>49696</v>
      </c>
      <c r="I867" s="241"/>
    </row>
    <row r="868" spans="1:9" x14ac:dyDescent="0.25">
      <c r="A868" s="249">
        <v>45118</v>
      </c>
      <c r="B868" s="237"/>
      <c r="C868" s="238"/>
      <c r="D868" s="239"/>
      <c r="E868" s="237">
        <v>190</v>
      </c>
      <c r="F868" s="242" t="s">
        <v>643</v>
      </c>
      <c r="G868" s="239" t="s">
        <v>930</v>
      </c>
      <c r="H868" s="240">
        <f t="shared" si="13"/>
        <v>49506</v>
      </c>
      <c r="I868" s="241"/>
    </row>
    <row r="869" spans="1:9" x14ac:dyDescent="0.25">
      <c r="A869" s="249">
        <v>45118</v>
      </c>
      <c r="B869" s="237"/>
      <c r="C869" s="238"/>
      <c r="D869" s="239"/>
      <c r="E869" s="237">
        <v>150</v>
      </c>
      <c r="F869" s="242" t="s">
        <v>32</v>
      </c>
      <c r="G869" s="239" t="s">
        <v>930</v>
      </c>
      <c r="H869" s="240">
        <f t="shared" si="13"/>
        <v>49356</v>
      </c>
      <c r="I869" s="241"/>
    </row>
    <row r="870" spans="1:9" x14ac:dyDescent="0.25">
      <c r="A870" s="249">
        <v>45118</v>
      </c>
      <c r="B870" s="237"/>
      <c r="C870" s="238"/>
      <c r="D870" s="239"/>
      <c r="E870" s="237">
        <v>15</v>
      </c>
      <c r="F870" s="242" t="s">
        <v>644</v>
      </c>
      <c r="G870" s="239" t="s">
        <v>464</v>
      </c>
      <c r="H870" s="240">
        <f t="shared" si="13"/>
        <v>49341</v>
      </c>
      <c r="I870" s="241"/>
    </row>
    <row r="871" spans="1:9" x14ac:dyDescent="0.25">
      <c r="A871" s="249">
        <v>45118</v>
      </c>
      <c r="B871" s="237"/>
      <c r="C871" s="238"/>
      <c r="D871" s="239"/>
      <c r="E871" s="237">
        <v>150</v>
      </c>
      <c r="F871" s="242" t="s">
        <v>643</v>
      </c>
      <c r="G871" s="239" t="s">
        <v>930</v>
      </c>
      <c r="H871" s="240">
        <f t="shared" si="13"/>
        <v>49191</v>
      </c>
      <c r="I871" s="241"/>
    </row>
    <row r="872" spans="1:9" x14ac:dyDescent="0.25">
      <c r="A872" s="249">
        <v>45118</v>
      </c>
      <c r="B872" s="237"/>
      <c r="C872" s="238"/>
      <c r="D872" s="239"/>
      <c r="E872" s="237">
        <v>115</v>
      </c>
      <c r="F872" s="242" t="s">
        <v>39</v>
      </c>
      <c r="G872" s="239" t="s">
        <v>930</v>
      </c>
      <c r="H872" s="240">
        <f t="shared" si="13"/>
        <v>49076</v>
      </c>
      <c r="I872" s="241"/>
    </row>
    <row r="873" spans="1:9" x14ac:dyDescent="0.25">
      <c r="A873" s="249">
        <v>45118</v>
      </c>
      <c r="B873" s="237"/>
      <c r="C873" s="238"/>
      <c r="D873" s="239"/>
      <c r="E873" s="237">
        <v>4500</v>
      </c>
      <c r="F873" s="242" t="s">
        <v>74</v>
      </c>
      <c r="G873" s="239" t="s">
        <v>464</v>
      </c>
      <c r="H873" s="240">
        <f t="shared" si="13"/>
        <v>44576</v>
      </c>
      <c r="I873" s="241" t="s">
        <v>899</v>
      </c>
    </row>
    <row r="874" spans="1:9" x14ac:dyDescent="0.25">
      <c r="A874" s="249">
        <v>45118</v>
      </c>
      <c r="B874" s="237"/>
      <c r="C874" s="238"/>
      <c r="D874" s="239"/>
      <c r="E874" s="237">
        <v>5000</v>
      </c>
      <c r="F874" s="242" t="s">
        <v>637</v>
      </c>
      <c r="G874" s="239" t="s">
        <v>928</v>
      </c>
      <c r="H874" s="240">
        <f t="shared" si="13"/>
        <v>39576</v>
      </c>
      <c r="I874" s="241"/>
    </row>
    <row r="875" spans="1:9" x14ac:dyDescent="0.25">
      <c r="A875" s="249">
        <v>45118</v>
      </c>
      <c r="B875" s="237"/>
      <c r="C875" s="238"/>
      <c r="D875" s="239"/>
      <c r="E875" s="237">
        <v>53</v>
      </c>
      <c r="F875" s="242" t="s">
        <v>631</v>
      </c>
      <c r="G875" s="239" t="s">
        <v>937</v>
      </c>
      <c r="H875" s="240">
        <f t="shared" si="13"/>
        <v>39523</v>
      </c>
      <c r="I875" s="241"/>
    </row>
    <row r="876" spans="1:9" x14ac:dyDescent="0.25">
      <c r="A876" s="244">
        <v>45118</v>
      </c>
      <c r="B876" s="245"/>
      <c r="C876" s="246"/>
      <c r="D876" s="247"/>
      <c r="E876" s="245">
        <v>20</v>
      </c>
      <c r="F876" s="248" t="s">
        <v>358</v>
      </c>
      <c r="G876" s="302" t="s">
        <v>938</v>
      </c>
      <c r="H876" s="240">
        <f t="shared" si="13"/>
        <v>39503</v>
      </c>
      <c r="I876" s="241"/>
    </row>
    <row r="877" spans="1:9" x14ac:dyDescent="0.25">
      <c r="A877" s="249">
        <v>45119</v>
      </c>
      <c r="B877" s="237"/>
      <c r="C877" s="238"/>
      <c r="D877" s="239"/>
      <c r="E877" s="237">
        <v>2725</v>
      </c>
      <c r="F877" s="242" t="s">
        <v>27</v>
      </c>
      <c r="G877" s="239" t="s">
        <v>943</v>
      </c>
      <c r="H877" s="240">
        <f t="shared" si="13"/>
        <v>36778</v>
      </c>
      <c r="I877" s="241"/>
    </row>
    <row r="878" spans="1:9" x14ac:dyDescent="0.25">
      <c r="A878" s="249">
        <v>45119</v>
      </c>
      <c r="B878" s="237">
        <v>15402</v>
      </c>
      <c r="C878" s="238" t="s">
        <v>9</v>
      </c>
      <c r="D878" s="239" t="s">
        <v>763</v>
      </c>
      <c r="E878" s="237">
        <v>520</v>
      </c>
      <c r="F878" s="242" t="s">
        <v>313</v>
      </c>
      <c r="G878" s="239" t="s">
        <v>929</v>
      </c>
      <c r="H878" s="240">
        <f t="shared" si="13"/>
        <v>51660</v>
      </c>
      <c r="I878" s="241"/>
    </row>
    <row r="879" spans="1:9" x14ac:dyDescent="0.25">
      <c r="A879" s="249">
        <v>45119</v>
      </c>
      <c r="B879" s="237">
        <v>722</v>
      </c>
      <c r="C879" s="238" t="s">
        <v>28</v>
      </c>
      <c r="D879" s="239" t="s">
        <v>765</v>
      </c>
      <c r="E879" s="237">
        <v>200</v>
      </c>
      <c r="F879" s="242" t="s">
        <v>52</v>
      </c>
      <c r="G879" s="239" t="s">
        <v>938</v>
      </c>
      <c r="H879" s="240">
        <f t="shared" si="13"/>
        <v>52182</v>
      </c>
      <c r="I879" s="241"/>
    </row>
    <row r="880" spans="1:9" x14ac:dyDescent="0.25">
      <c r="A880" s="249">
        <v>45119</v>
      </c>
      <c r="B880" s="237">
        <v>13312</v>
      </c>
      <c r="C880" s="238" t="s">
        <v>80</v>
      </c>
      <c r="D880" s="239" t="s">
        <v>763</v>
      </c>
      <c r="E880" s="237">
        <v>72</v>
      </c>
      <c r="F880" s="242" t="s">
        <v>33</v>
      </c>
      <c r="G880" s="239" t="s">
        <v>464</v>
      </c>
      <c r="H880" s="240">
        <f t="shared" si="13"/>
        <v>65422</v>
      </c>
      <c r="I880" s="241"/>
    </row>
    <row r="881" spans="1:9" x14ac:dyDescent="0.25">
      <c r="A881" s="249">
        <v>45119</v>
      </c>
      <c r="B881" s="237">
        <v>2110</v>
      </c>
      <c r="C881" s="238" t="s">
        <v>81</v>
      </c>
      <c r="D881" s="239" t="s">
        <v>765</v>
      </c>
      <c r="E881" s="237">
        <v>7240</v>
      </c>
      <c r="F881" s="242" t="s">
        <v>150</v>
      </c>
      <c r="G881" s="239" t="s">
        <v>974</v>
      </c>
      <c r="H881" s="240">
        <f t="shared" si="13"/>
        <v>60292</v>
      </c>
      <c r="I881" s="241" t="s">
        <v>778</v>
      </c>
    </row>
    <row r="882" spans="1:9" x14ac:dyDescent="0.25">
      <c r="A882" s="249">
        <v>45119</v>
      </c>
      <c r="B882" s="237">
        <v>4295</v>
      </c>
      <c r="C882" s="238" t="s">
        <v>19</v>
      </c>
      <c r="D882" s="239" t="s">
        <v>763</v>
      </c>
      <c r="E882" s="237">
        <v>2430</v>
      </c>
      <c r="F882" s="242" t="s">
        <v>69</v>
      </c>
      <c r="G882" s="239" t="s">
        <v>928</v>
      </c>
      <c r="H882" s="240">
        <f t="shared" si="13"/>
        <v>62157</v>
      </c>
      <c r="I882" s="241"/>
    </row>
    <row r="883" spans="1:9" x14ac:dyDescent="0.25">
      <c r="A883" s="249">
        <v>45119</v>
      </c>
      <c r="B883" s="237">
        <v>23</v>
      </c>
      <c r="C883" s="238" t="s">
        <v>541</v>
      </c>
      <c r="D883" s="239" t="s">
        <v>937</v>
      </c>
      <c r="E883" s="237">
        <v>9190</v>
      </c>
      <c r="F883" s="242" t="s">
        <v>653</v>
      </c>
      <c r="G883" s="239" t="s">
        <v>928</v>
      </c>
      <c r="H883" s="240">
        <f t="shared" si="13"/>
        <v>52990</v>
      </c>
      <c r="I883" s="241" t="s">
        <v>900</v>
      </c>
    </row>
    <row r="884" spans="1:9" x14ac:dyDescent="0.25">
      <c r="A884" s="249">
        <v>45119</v>
      </c>
      <c r="B884" s="237">
        <v>16870</v>
      </c>
      <c r="C884" s="238" t="s">
        <v>363</v>
      </c>
      <c r="D884" s="239" t="s">
        <v>763</v>
      </c>
      <c r="E884" s="237">
        <v>1410</v>
      </c>
      <c r="F884" s="242" t="s">
        <v>58</v>
      </c>
      <c r="G884" s="239" t="s">
        <v>928</v>
      </c>
      <c r="H884" s="240">
        <f t="shared" si="13"/>
        <v>68450</v>
      </c>
      <c r="I884" s="241"/>
    </row>
    <row r="885" spans="1:9" x14ac:dyDescent="0.25">
      <c r="A885" s="249">
        <v>45119</v>
      </c>
      <c r="B885" s="237">
        <v>2681</v>
      </c>
      <c r="C885" s="238" t="s">
        <v>465</v>
      </c>
      <c r="D885" s="239" t="s">
        <v>765</v>
      </c>
      <c r="E885" s="237">
        <v>614</v>
      </c>
      <c r="F885" s="242" t="s">
        <v>654</v>
      </c>
      <c r="G885" s="239" t="s">
        <v>928</v>
      </c>
      <c r="H885" s="240">
        <f t="shared" si="13"/>
        <v>70517</v>
      </c>
      <c r="I885" s="241" t="s">
        <v>787</v>
      </c>
    </row>
    <row r="886" spans="1:9" x14ac:dyDescent="0.25">
      <c r="A886" s="249">
        <v>45119</v>
      </c>
      <c r="B886" s="237">
        <v>3015</v>
      </c>
      <c r="C886" s="238" t="s">
        <v>60</v>
      </c>
      <c r="D886" s="239" t="s">
        <v>763</v>
      </c>
      <c r="E886" s="237">
        <v>5000</v>
      </c>
      <c r="F886" s="242" t="s">
        <v>655</v>
      </c>
      <c r="G886" s="239" t="s">
        <v>928</v>
      </c>
      <c r="H886" s="240">
        <f t="shared" si="13"/>
        <v>68532</v>
      </c>
      <c r="I886" s="241" t="s">
        <v>901</v>
      </c>
    </row>
    <row r="887" spans="1:9" x14ac:dyDescent="0.25">
      <c r="A887" s="249">
        <v>45119</v>
      </c>
      <c r="B887" s="237">
        <v>12801</v>
      </c>
      <c r="C887" s="238" t="s">
        <v>85</v>
      </c>
      <c r="D887" s="239" t="s">
        <v>766</v>
      </c>
      <c r="E887" s="237">
        <v>120</v>
      </c>
      <c r="F887" s="242" t="s">
        <v>393</v>
      </c>
      <c r="G887" s="239" t="s">
        <v>930</v>
      </c>
      <c r="H887" s="240">
        <f t="shared" si="13"/>
        <v>81213</v>
      </c>
      <c r="I887" s="241"/>
    </row>
    <row r="888" spans="1:9" x14ac:dyDescent="0.25">
      <c r="A888" s="249">
        <v>45119</v>
      </c>
      <c r="B888" s="237">
        <v>10585</v>
      </c>
      <c r="C888" s="238" t="s">
        <v>121</v>
      </c>
      <c r="D888" s="239" t="s">
        <v>766</v>
      </c>
      <c r="E888" s="237">
        <v>180</v>
      </c>
      <c r="F888" s="242" t="s">
        <v>399</v>
      </c>
      <c r="G888" s="239" t="s">
        <v>930</v>
      </c>
      <c r="H888" s="240">
        <f t="shared" si="13"/>
        <v>91618</v>
      </c>
      <c r="I888" s="241"/>
    </row>
    <row r="889" spans="1:9" x14ac:dyDescent="0.25">
      <c r="A889" s="249">
        <v>45119</v>
      </c>
      <c r="B889" s="237">
        <v>544</v>
      </c>
      <c r="C889" s="238" t="s">
        <v>710</v>
      </c>
      <c r="D889" s="239" t="s">
        <v>768</v>
      </c>
      <c r="E889" s="237">
        <v>270</v>
      </c>
      <c r="F889" s="242" t="s">
        <v>8</v>
      </c>
      <c r="G889" s="239" t="s">
        <v>930</v>
      </c>
      <c r="H889" s="240">
        <f t="shared" si="13"/>
        <v>91892</v>
      </c>
      <c r="I889" s="241"/>
    </row>
    <row r="890" spans="1:9" x14ac:dyDescent="0.25">
      <c r="A890" s="249">
        <v>45119</v>
      </c>
      <c r="B890" s="237">
        <v>22819</v>
      </c>
      <c r="C890" s="238" t="s">
        <v>15</v>
      </c>
      <c r="D890" s="239" t="s">
        <v>766</v>
      </c>
      <c r="E890" s="237">
        <v>475</v>
      </c>
      <c r="F890" s="242" t="s">
        <v>34</v>
      </c>
      <c r="G890" s="239" t="s">
        <v>935</v>
      </c>
      <c r="H890" s="240">
        <f t="shared" si="13"/>
        <v>114236</v>
      </c>
      <c r="I890" s="241"/>
    </row>
    <row r="891" spans="1:9" x14ac:dyDescent="0.25">
      <c r="A891" s="249">
        <v>45119</v>
      </c>
      <c r="B891" s="237">
        <v>658</v>
      </c>
      <c r="C891" s="238" t="s">
        <v>90</v>
      </c>
      <c r="D891" s="239" t="s">
        <v>768</v>
      </c>
      <c r="E891" s="237">
        <v>520</v>
      </c>
      <c r="F891" s="242" t="s">
        <v>656</v>
      </c>
      <c r="G891" s="239" t="s">
        <v>929</v>
      </c>
      <c r="H891" s="240">
        <f t="shared" si="13"/>
        <v>114374</v>
      </c>
      <c r="I891" s="241"/>
    </row>
    <row r="892" spans="1:9" x14ac:dyDescent="0.25">
      <c r="A892" s="249">
        <v>45119</v>
      </c>
      <c r="B892" s="237"/>
      <c r="C892" s="238"/>
      <c r="D892" s="239"/>
      <c r="E892" s="237">
        <v>737</v>
      </c>
      <c r="F892" s="242" t="s">
        <v>314</v>
      </c>
      <c r="G892" s="239" t="s">
        <v>928</v>
      </c>
      <c r="H892" s="240">
        <f t="shared" si="13"/>
        <v>113637</v>
      </c>
      <c r="I892" s="241"/>
    </row>
    <row r="893" spans="1:9" x14ac:dyDescent="0.25">
      <c r="A893" s="249">
        <v>45119</v>
      </c>
      <c r="B893" s="237"/>
      <c r="C893" s="238"/>
      <c r="D893" s="239"/>
      <c r="E893" s="237">
        <v>545</v>
      </c>
      <c r="F893" s="242" t="s">
        <v>657</v>
      </c>
      <c r="G893" s="239" t="s">
        <v>929</v>
      </c>
      <c r="H893" s="240">
        <f t="shared" si="13"/>
        <v>113092</v>
      </c>
      <c r="I893" s="241"/>
    </row>
    <row r="894" spans="1:9" x14ac:dyDescent="0.25">
      <c r="A894" s="249">
        <v>45119</v>
      </c>
      <c r="B894" s="237"/>
      <c r="C894" s="238"/>
      <c r="D894" s="239"/>
      <c r="E894" s="237">
        <v>1180</v>
      </c>
      <c r="F894" s="242" t="s">
        <v>317</v>
      </c>
      <c r="G894" s="239" t="s">
        <v>928</v>
      </c>
      <c r="H894" s="240">
        <f t="shared" si="13"/>
        <v>111912</v>
      </c>
      <c r="I894" s="241"/>
    </row>
    <row r="895" spans="1:9" x14ac:dyDescent="0.25">
      <c r="A895" s="249">
        <v>45119</v>
      </c>
      <c r="B895" s="237"/>
      <c r="C895" s="238"/>
      <c r="D895" s="239"/>
      <c r="E895" s="237">
        <v>6604</v>
      </c>
      <c r="F895" s="242" t="s">
        <v>47</v>
      </c>
      <c r="G895" s="239" t="s">
        <v>929</v>
      </c>
      <c r="H895" s="240">
        <f t="shared" si="13"/>
        <v>105308</v>
      </c>
      <c r="I895" s="241"/>
    </row>
    <row r="896" spans="1:9" x14ac:dyDescent="0.25">
      <c r="A896" s="249">
        <v>45119</v>
      </c>
      <c r="B896" s="237"/>
      <c r="C896" s="238"/>
      <c r="D896" s="239"/>
      <c r="E896" s="237">
        <v>120</v>
      </c>
      <c r="F896" s="242" t="s">
        <v>38</v>
      </c>
      <c r="G896" s="239" t="s">
        <v>930</v>
      </c>
      <c r="H896" s="240">
        <f t="shared" si="13"/>
        <v>105188</v>
      </c>
      <c r="I896" s="241"/>
    </row>
    <row r="897" spans="1:9" x14ac:dyDescent="0.25">
      <c r="A897" s="249">
        <v>45119</v>
      </c>
      <c r="B897" s="237"/>
      <c r="C897" s="238"/>
      <c r="D897" s="239"/>
      <c r="E897" s="237">
        <v>50</v>
      </c>
      <c r="F897" s="242" t="s">
        <v>13</v>
      </c>
      <c r="G897" s="239" t="s">
        <v>930</v>
      </c>
      <c r="H897" s="240">
        <f t="shared" si="13"/>
        <v>105138</v>
      </c>
      <c r="I897" s="241"/>
    </row>
    <row r="898" spans="1:9" x14ac:dyDescent="0.25">
      <c r="A898" s="249">
        <v>45119</v>
      </c>
      <c r="B898" s="237"/>
      <c r="C898" s="238"/>
      <c r="D898" s="239"/>
      <c r="E898" s="237">
        <v>1000</v>
      </c>
      <c r="F898" s="242" t="s">
        <v>220</v>
      </c>
      <c r="G898" s="239" t="s">
        <v>928</v>
      </c>
      <c r="H898" s="240">
        <f t="shared" si="13"/>
        <v>104138</v>
      </c>
      <c r="I898" s="241" t="s">
        <v>796</v>
      </c>
    </row>
    <row r="899" spans="1:9" x14ac:dyDescent="0.25">
      <c r="A899" s="249">
        <v>45119</v>
      </c>
      <c r="B899" s="237"/>
      <c r="C899" s="238"/>
      <c r="D899" s="239"/>
      <c r="E899" s="237">
        <v>4715</v>
      </c>
      <c r="F899" s="242" t="s">
        <v>659</v>
      </c>
      <c r="G899" s="239" t="s">
        <v>928</v>
      </c>
      <c r="H899" s="240">
        <f t="shared" si="13"/>
        <v>99423</v>
      </c>
      <c r="I899" s="241"/>
    </row>
    <row r="900" spans="1:9" x14ac:dyDescent="0.25">
      <c r="A900" s="249">
        <v>45119</v>
      </c>
      <c r="B900" s="237"/>
      <c r="C900" s="238"/>
      <c r="D900" s="239"/>
      <c r="E900" s="237">
        <v>20</v>
      </c>
      <c r="F900" s="242" t="s">
        <v>660</v>
      </c>
      <c r="G900" s="239" t="s">
        <v>464</v>
      </c>
      <c r="H900" s="240">
        <f t="shared" si="13"/>
        <v>99403</v>
      </c>
      <c r="I900" s="241"/>
    </row>
    <row r="901" spans="1:9" x14ac:dyDescent="0.25">
      <c r="A901" s="249">
        <v>45119</v>
      </c>
      <c r="B901" s="237"/>
      <c r="C901" s="238"/>
      <c r="D901" s="239"/>
      <c r="E901" s="237">
        <v>105</v>
      </c>
      <c r="F901" s="242" t="s">
        <v>376</v>
      </c>
      <c r="G901" s="239" t="s">
        <v>930</v>
      </c>
      <c r="H901" s="240">
        <f t="shared" si="13"/>
        <v>99298</v>
      </c>
      <c r="I901" s="241"/>
    </row>
    <row r="902" spans="1:9" x14ac:dyDescent="0.25">
      <c r="A902" s="249">
        <v>45119</v>
      </c>
      <c r="B902" s="237"/>
      <c r="C902" s="238"/>
      <c r="D902" s="239"/>
      <c r="E902" s="237">
        <v>800</v>
      </c>
      <c r="F902" s="242" t="s">
        <v>661</v>
      </c>
      <c r="G902" s="239" t="s">
        <v>929</v>
      </c>
      <c r="H902" s="240">
        <f t="shared" ref="H902:H965" si="14">H901+B902-E902</f>
        <v>98498</v>
      </c>
      <c r="I902" s="241"/>
    </row>
    <row r="903" spans="1:9" x14ac:dyDescent="0.25">
      <c r="A903" s="249">
        <v>45119</v>
      </c>
      <c r="B903" s="237"/>
      <c r="C903" s="238"/>
      <c r="D903" s="239"/>
      <c r="E903" s="237">
        <v>9090</v>
      </c>
      <c r="F903" s="242" t="s">
        <v>16</v>
      </c>
      <c r="G903" s="239" t="s">
        <v>936</v>
      </c>
      <c r="H903" s="240">
        <f t="shared" si="14"/>
        <v>89408</v>
      </c>
      <c r="I903" s="241"/>
    </row>
    <row r="904" spans="1:9" x14ac:dyDescent="0.25">
      <c r="A904" s="249">
        <v>45119</v>
      </c>
      <c r="B904" s="237"/>
      <c r="C904" s="238"/>
      <c r="D904" s="239"/>
      <c r="E904" s="237">
        <v>3155</v>
      </c>
      <c r="F904" s="242" t="s">
        <v>20</v>
      </c>
      <c r="G904" s="239" t="s">
        <v>929</v>
      </c>
      <c r="H904" s="240">
        <f t="shared" si="14"/>
        <v>86253</v>
      </c>
      <c r="I904" s="241"/>
    </row>
    <row r="905" spans="1:9" x14ac:dyDescent="0.25">
      <c r="A905" s="249">
        <v>45119</v>
      </c>
      <c r="B905" s="237"/>
      <c r="C905" s="238"/>
      <c r="D905" s="239"/>
      <c r="E905" s="237">
        <v>1000</v>
      </c>
      <c r="F905" s="242" t="s">
        <v>662</v>
      </c>
      <c r="G905" s="239" t="s">
        <v>928</v>
      </c>
      <c r="H905" s="240">
        <f t="shared" si="14"/>
        <v>85253</v>
      </c>
      <c r="I905" s="241" t="s">
        <v>902</v>
      </c>
    </row>
    <row r="906" spans="1:9" x14ac:dyDescent="0.25">
      <c r="A906" s="249">
        <v>45119</v>
      </c>
      <c r="B906" s="237"/>
      <c r="C906" s="238"/>
      <c r="D906" s="239"/>
      <c r="E906" s="237">
        <v>5000</v>
      </c>
      <c r="F906" s="243" t="s">
        <v>1097</v>
      </c>
      <c r="G906" s="239" t="s">
        <v>928</v>
      </c>
      <c r="H906" s="240">
        <f t="shared" si="14"/>
        <v>80253</v>
      </c>
      <c r="I906" s="241" t="s">
        <v>1096</v>
      </c>
    </row>
    <row r="907" spans="1:9" x14ac:dyDescent="0.25">
      <c r="A907" s="249">
        <v>45119</v>
      </c>
      <c r="B907" s="237"/>
      <c r="C907" s="238"/>
      <c r="D907" s="239"/>
      <c r="E907" s="237">
        <v>2000</v>
      </c>
      <c r="F907" s="242" t="s">
        <v>664</v>
      </c>
      <c r="G907" s="239" t="s">
        <v>928</v>
      </c>
      <c r="H907" s="240">
        <f t="shared" si="14"/>
        <v>78253</v>
      </c>
      <c r="I907" s="241" t="s">
        <v>412</v>
      </c>
    </row>
    <row r="908" spans="1:9" x14ac:dyDescent="0.25">
      <c r="A908" s="249">
        <v>45119</v>
      </c>
      <c r="B908" s="237"/>
      <c r="C908" s="238"/>
      <c r="D908" s="239"/>
      <c r="E908" s="237">
        <v>260</v>
      </c>
      <c r="F908" s="242" t="s">
        <v>59</v>
      </c>
      <c r="G908" s="239" t="s">
        <v>930</v>
      </c>
      <c r="H908" s="240">
        <f t="shared" si="14"/>
        <v>77993</v>
      </c>
      <c r="I908" s="241"/>
    </row>
    <row r="909" spans="1:9" x14ac:dyDescent="0.25">
      <c r="A909" s="249">
        <v>45119</v>
      </c>
      <c r="B909" s="237"/>
      <c r="C909" s="238"/>
      <c r="D909" s="239"/>
      <c r="E909" s="237">
        <v>10000</v>
      </c>
      <c r="F909" s="242" t="s">
        <v>665</v>
      </c>
      <c r="G909" s="239" t="s">
        <v>928</v>
      </c>
      <c r="H909" s="240">
        <f t="shared" si="14"/>
        <v>67993</v>
      </c>
      <c r="I909" s="241"/>
    </row>
    <row r="910" spans="1:9" x14ac:dyDescent="0.25">
      <c r="A910" s="249">
        <v>45119</v>
      </c>
      <c r="B910" s="237"/>
      <c r="C910" s="238"/>
      <c r="D910" s="239"/>
      <c r="E910" s="237">
        <v>90</v>
      </c>
      <c r="F910" s="242" t="s">
        <v>486</v>
      </c>
      <c r="G910" s="239" t="s">
        <v>930</v>
      </c>
      <c r="H910" s="240">
        <f t="shared" si="14"/>
        <v>67903</v>
      </c>
      <c r="I910" s="241"/>
    </row>
    <row r="911" spans="1:9" x14ac:dyDescent="0.25">
      <c r="A911" s="249">
        <v>45119</v>
      </c>
      <c r="B911" s="237"/>
      <c r="C911" s="238"/>
      <c r="D911" s="239"/>
      <c r="E911" s="237">
        <v>500</v>
      </c>
      <c r="F911" s="242" t="s">
        <v>666</v>
      </c>
      <c r="G911" s="239" t="s">
        <v>928</v>
      </c>
      <c r="H911" s="240">
        <f t="shared" si="14"/>
        <v>67403</v>
      </c>
      <c r="I911" s="241"/>
    </row>
    <row r="912" spans="1:9" x14ac:dyDescent="0.25">
      <c r="A912" s="249">
        <v>45119</v>
      </c>
      <c r="B912" s="237"/>
      <c r="C912" s="238"/>
      <c r="D912" s="239"/>
      <c r="E912" s="237">
        <v>335</v>
      </c>
      <c r="F912" s="242" t="s">
        <v>55</v>
      </c>
      <c r="G912" s="239" t="s">
        <v>929</v>
      </c>
      <c r="H912" s="240">
        <f t="shared" si="14"/>
        <v>67068</v>
      </c>
      <c r="I912" s="241"/>
    </row>
    <row r="913" spans="1:9" x14ac:dyDescent="0.25">
      <c r="A913" s="249">
        <v>45119</v>
      </c>
      <c r="B913" s="237"/>
      <c r="C913" s="238"/>
      <c r="D913" s="239"/>
      <c r="E913" s="237">
        <v>2950</v>
      </c>
      <c r="F913" s="242" t="s">
        <v>667</v>
      </c>
      <c r="G913" s="239" t="s">
        <v>928</v>
      </c>
      <c r="H913" s="240">
        <f t="shared" si="14"/>
        <v>64118</v>
      </c>
      <c r="I913" s="241"/>
    </row>
    <row r="914" spans="1:9" x14ac:dyDescent="0.25">
      <c r="A914" s="249">
        <v>45119</v>
      </c>
      <c r="B914" s="237"/>
      <c r="C914" s="238"/>
      <c r="D914" s="239"/>
      <c r="E914" s="237">
        <v>1110</v>
      </c>
      <c r="F914" s="242" t="s">
        <v>803</v>
      </c>
      <c r="G914" s="239" t="s">
        <v>928</v>
      </c>
      <c r="H914" s="240">
        <f t="shared" si="14"/>
        <v>63008</v>
      </c>
      <c r="I914" s="241" t="s">
        <v>855</v>
      </c>
    </row>
    <row r="915" spans="1:9" x14ac:dyDescent="0.25">
      <c r="A915" s="249">
        <v>45119</v>
      </c>
      <c r="B915" s="237"/>
      <c r="C915" s="238"/>
      <c r="D915" s="239"/>
      <c r="E915" s="237">
        <v>3430</v>
      </c>
      <c r="F915" s="242" t="s">
        <v>669</v>
      </c>
      <c r="G915" s="239" t="s">
        <v>928</v>
      </c>
      <c r="H915" s="240">
        <f t="shared" si="14"/>
        <v>59578</v>
      </c>
      <c r="I915" s="241"/>
    </row>
    <row r="916" spans="1:9" x14ac:dyDescent="0.25">
      <c r="A916" s="249">
        <v>45119</v>
      </c>
      <c r="B916" s="237"/>
      <c r="C916" s="238"/>
      <c r="D916" s="239"/>
      <c r="E916" s="237">
        <v>130</v>
      </c>
      <c r="F916" s="242" t="s">
        <v>670</v>
      </c>
      <c r="G916" s="239" t="s">
        <v>930</v>
      </c>
      <c r="H916" s="240">
        <f t="shared" si="14"/>
        <v>59448</v>
      </c>
      <c r="I916" s="241"/>
    </row>
    <row r="917" spans="1:9" x14ac:dyDescent="0.25">
      <c r="A917" s="249">
        <v>45119</v>
      </c>
      <c r="B917" s="237"/>
      <c r="C917" s="238"/>
      <c r="D917" s="239"/>
      <c r="E917" s="237">
        <v>1330</v>
      </c>
      <c r="F917" s="242" t="s">
        <v>14</v>
      </c>
      <c r="G917" s="239" t="s">
        <v>935</v>
      </c>
      <c r="H917" s="240">
        <f t="shared" si="14"/>
        <v>58118</v>
      </c>
      <c r="I917" s="241"/>
    </row>
    <row r="918" spans="1:9" x14ac:dyDescent="0.25">
      <c r="A918" s="249">
        <v>45119</v>
      </c>
      <c r="B918" s="237"/>
      <c r="C918" s="238"/>
      <c r="D918" s="239"/>
      <c r="E918" s="237">
        <v>75</v>
      </c>
      <c r="F918" s="242" t="s">
        <v>26</v>
      </c>
      <c r="G918" s="239" t="s">
        <v>930</v>
      </c>
      <c r="H918" s="240">
        <f t="shared" si="14"/>
        <v>58043</v>
      </c>
      <c r="I918" s="241"/>
    </row>
    <row r="919" spans="1:9" x14ac:dyDescent="0.25">
      <c r="A919" s="249">
        <v>45119</v>
      </c>
      <c r="B919" s="237"/>
      <c r="C919" s="238"/>
      <c r="D919" s="239"/>
      <c r="E919" s="237">
        <v>2000</v>
      </c>
      <c r="F919" s="242" t="s">
        <v>704</v>
      </c>
      <c r="G919" s="239" t="s">
        <v>464</v>
      </c>
      <c r="H919" s="240">
        <f t="shared" si="14"/>
        <v>56043</v>
      </c>
      <c r="I919" s="241"/>
    </row>
    <row r="920" spans="1:9" x14ac:dyDescent="0.25">
      <c r="A920" s="249">
        <v>45119</v>
      </c>
      <c r="B920" s="237"/>
      <c r="C920" s="238"/>
      <c r="D920" s="239"/>
      <c r="E920" s="309">
        <v>5000</v>
      </c>
      <c r="F920" s="243" t="s">
        <v>705</v>
      </c>
      <c r="G920" s="316" t="s">
        <v>938</v>
      </c>
      <c r="H920" s="240">
        <f t="shared" si="14"/>
        <v>51043</v>
      </c>
      <c r="I920" s="241"/>
    </row>
    <row r="921" spans="1:9" x14ac:dyDescent="0.25">
      <c r="A921" s="249">
        <v>45119</v>
      </c>
      <c r="B921" s="237"/>
      <c r="C921" s="238"/>
      <c r="D921" s="239"/>
      <c r="E921" s="237">
        <v>38</v>
      </c>
      <c r="F921" s="242" t="s">
        <v>458</v>
      </c>
      <c r="G921" s="239" t="s">
        <v>464</v>
      </c>
      <c r="H921" s="240">
        <f t="shared" si="14"/>
        <v>51005</v>
      </c>
      <c r="I921" s="241"/>
    </row>
    <row r="922" spans="1:9" x14ac:dyDescent="0.25">
      <c r="A922" s="249">
        <v>45119</v>
      </c>
      <c r="B922" s="237"/>
      <c r="C922" s="238"/>
      <c r="D922" s="239"/>
      <c r="E922" s="237">
        <v>325</v>
      </c>
      <c r="F922" s="242" t="s">
        <v>706</v>
      </c>
      <c r="G922" s="239" t="s">
        <v>929</v>
      </c>
      <c r="H922" s="240">
        <f t="shared" si="14"/>
        <v>50680</v>
      </c>
      <c r="I922" s="241"/>
    </row>
    <row r="923" spans="1:9" x14ac:dyDescent="0.25">
      <c r="A923" s="249">
        <v>45119</v>
      </c>
      <c r="B923" s="237"/>
      <c r="C923" s="238"/>
      <c r="D923" s="239"/>
      <c r="E923" s="237">
        <v>310</v>
      </c>
      <c r="F923" s="242" t="s">
        <v>602</v>
      </c>
      <c r="G923" s="239" t="s">
        <v>929</v>
      </c>
      <c r="H923" s="240">
        <f t="shared" si="14"/>
        <v>50370</v>
      </c>
      <c r="I923" s="241"/>
    </row>
    <row r="924" spans="1:9" x14ac:dyDescent="0.25">
      <c r="A924" s="249">
        <v>45119</v>
      </c>
      <c r="B924" s="237"/>
      <c r="C924" s="238"/>
      <c r="D924" s="239"/>
      <c r="E924" s="237">
        <v>43</v>
      </c>
      <c r="F924" s="242" t="s">
        <v>707</v>
      </c>
      <c r="G924" s="239" t="s">
        <v>935</v>
      </c>
      <c r="H924" s="240">
        <f t="shared" si="14"/>
        <v>50327</v>
      </c>
      <c r="I924" s="241"/>
    </row>
    <row r="925" spans="1:9" x14ac:dyDescent="0.25">
      <c r="A925" s="249">
        <v>45119</v>
      </c>
      <c r="B925" s="237"/>
      <c r="C925" s="238"/>
      <c r="D925" s="239"/>
      <c r="E925" s="237">
        <v>110</v>
      </c>
      <c r="F925" s="242" t="s">
        <v>381</v>
      </c>
      <c r="G925" s="239" t="s">
        <v>930</v>
      </c>
      <c r="H925" s="240">
        <f t="shared" si="14"/>
        <v>50217</v>
      </c>
      <c r="I925" s="241"/>
    </row>
    <row r="926" spans="1:9" x14ac:dyDescent="0.25">
      <c r="A926" s="249">
        <v>45119</v>
      </c>
      <c r="B926" s="237"/>
      <c r="C926" s="238"/>
      <c r="D926" s="239"/>
      <c r="E926" s="237">
        <v>100</v>
      </c>
      <c r="F926" s="242" t="s">
        <v>708</v>
      </c>
      <c r="G926" s="239" t="s">
        <v>930</v>
      </c>
      <c r="H926" s="240">
        <f t="shared" si="14"/>
        <v>50117</v>
      </c>
      <c r="I926" s="241"/>
    </row>
    <row r="927" spans="1:9" x14ac:dyDescent="0.25">
      <c r="A927" s="249">
        <v>45119</v>
      </c>
      <c r="B927" s="237"/>
      <c r="C927" s="238"/>
      <c r="D927" s="239"/>
      <c r="E927" s="237">
        <v>95</v>
      </c>
      <c r="F927" s="242" t="s">
        <v>10</v>
      </c>
      <c r="G927" s="239" t="s">
        <v>930</v>
      </c>
      <c r="H927" s="240">
        <f t="shared" si="14"/>
        <v>50022</v>
      </c>
      <c r="I927" s="241"/>
    </row>
    <row r="928" spans="1:9" x14ac:dyDescent="0.25">
      <c r="A928" s="249">
        <v>45119</v>
      </c>
      <c r="B928" s="237"/>
      <c r="C928" s="238"/>
      <c r="D928" s="239"/>
      <c r="E928" s="237">
        <v>110</v>
      </c>
      <c r="F928" s="242" t="s">
        <v>9</v>
      </c>
      <c r="G928" s="239" t="s">
        <v>930</v>
      </c>
      <c r="H928" s="240">
        <f t="shared" si="14"/>
        <v>49912</v>
      </c>
      <c r="I928" s="241"/>
    </row>
    <row r="929" spans="1:9" x14ac:dyDescent="0.25">
      <c r="A929" s="249">
        <v>45119</v>
      </c>
      <c r="B929" s="237"/>
      <c r="C929" s="238"/>
      <c r="D929" s="239"/>
      <c r="E929" s="237">
        <v>290</v>
      </c>
      <c r="F929" s="242" t="s">
        <v>709</v>
      </c>
      <c r="G929" s="239" t="s">
        <v>930</v>
      </c>
      <c r="H929" s="240">
        <f t="shared" si="14"/>
        <v>49622</v>
      </c>
      <c r="I929" s="241"/>
    </row>
    <row r="930" spans="1:9" x14ac:dyDescent="0.25">
      <c r="A930" s="249">
        <v>45119</v>
      </c>
      <c r="B930" s="237"/>
      <c r="C930" s="238"/>
      <c r="D930" s="239"/>
      <c r="E930" s="237">
        <v>10000</v>
      </c>
      <c r="F930" s="242" t="s">
        <v>711</v>
      </c>
      <c r="G930" s="239" t="s">
        <v>928</v>
      </c>
      <c r="H930" s="240">
        <f t="shared" si="14"/>
        <v>39622</v>
      </c>
      <c r="I930" s="241"/>
    </row>
    <row r="931" spans="1:9" x14ac:dyDescent="0.25">
      <c r="A931" s="249">
        <v>45119</v>
      </c>
      <c r="B931" s="237"/>
      <c r="C931" s="238"/>
      <c r="D931" s="239"/>
      <c r="E931" s="237">
        <v>355</v>
      </c>
      <c r="F931" s="242" t="s">
        <v>255</v>
      </c>
      <c r="G931" s="239" t="s">
        <v>930</v>
      </c>
      <c r="H931" s="240">
        <f t="shared" si="14"/>
        <v>39267</v>
      </c>
      <c r="I931" s="241"/>
    </row>
    <row r="932" spans="1:9" x14ac:dyDescent="0.25">
      <c r="A932" s="249">
        <v>45119</v>
      </c>
      <c r="B932" s="237"/>
      <c r="C932" s="238"/>
      <c r="D932" s="239"/>
      <c r="E932" s="237">
        <v>15</v>
      </c>
      <c r="F932" s="242" t="s">
        <v>458</v>
      </c>
      <c r="G932" s="239" t="s">
        <v>464</v>
      </c>
      <c r="H932" s="240">
        <f t="shared" si="14"/>
        <v>39252</v>
      </c>
      <c r="I932" s="241"/>
    </row>
    <row r="933" spans="1:9" x14ac:dyDescent="0.25">
      <c r="A933" s="249">
        <v>45119</v>
      </c>
      <c r="B933" s="237"/>
      <c r="C933" s="238"/>
      <c r="D933" s="239"/>
      <c r="E933" s="237">
        <v>300</v>
      </c>
      <c r="F933" s="242" t="s">
        <v>78</v>
      </c>
      <c r="G933" s="239" t="s">
        <v>931</v>
      </c>
      <c r="H933" s="240">
        <f t="shared" si="14"/>
        <v>38952</v>
      </c>
      <c r="I933" s="241"/>
    </row>
    <row r="934" spans="1:9" x14ac:dyDescent="0.25">
      <c r="A934" s="249">
        <v>45119</v>
      </c>
      <c r="B934" s="237"/>
      <c r="C934" s="238"/>
      <c r="D934" s="239"/>
      <c r="E934" s="237">
        <v>150</v>
      </c>
      <c r="F934" s="242" t="s">
        <v>712</v>
      </c>
      <c r="G934" s="239" t="s">
        <v>930</v>
      </c>
      <c r="H934" s="240">
        <f t="shared" si="14"/>
        <v>38802</v>
      </c>
      <c r="I934" s="241"/>
    </row>
    <row r="935" spans="1:9" x14ac:dyDescent="0.25">
      <c r="A935" s="249">
        <v>45119</v>
      </c>
      <c r="B935" s="237"/>
      <c r="C935" s="238"/>
      <c r="D935" s="239"/>
      <c r="E935" s="237">
        <v>170</v>
      </c>
      <c r="F935" s="242" t="s">
        <v>713</v>
      </c>
      <c r="G935" s="239" t="s">
        <v>930</v>
      </c>
      <c r="H935" s="240">
        <f t="shared" si="14"/>
        <v>38632</v>
      </c>
      <c r="I935" s="241"/>
    </row>
    <row r="936" spans="1:9" x14ac:dyDescent="0.25">
      <c r="A936" s="249">
        <v>45119</v>
      </c>
      <c r="B936" s="237"/>
      <c r="C936" s="238"/>
      <c r="D936" s="239"/>
      <c r="E936" s="237">
        <v>120</v>
      </c>
      <c r="F936" s="242" t="s">
        <v>39</v>
      </c>
      <c r="G936" s="239" t="s">
        <v>930</v>
      </c>
      <c r="H936" s="240">
        <f t="shared" si="14"/>
        <v>38512</v>
      </c>
      <c r="I936" s="241"/>
    </row>
    <row r="937" spans="1:9" x14ac:dyDescent="0.25">
      <c r="A937" s="249">
        <v>45119</v>
      </c>
      <c r="B937" s="237"/>
      <c r="C937" s="238"/>
      <c r="D937" s="239"/>
      <c r="E937" s="237">
        <v>140</v>
      </c>
      <c r="F937" s="242" t="s">
        <v>265</v>
      </c>
      <c r="G937" s="239" t="s">
        <v>935</v>
      </c>
      <c r="H937" s="240">
        <f t="shared" si="14"/>
        <v>38372</v>
      </c>
      <c r="I937" s="241"/>
    </row>
    <row r="938" spans="1:9" x14ac:dyDescent="0.25">
      <c r="A938" s="249">
        <v>45119</v>
      </c>
      <c r="B938" s="237"/>
      <c r="C938" s="238"/>
      <c r="D938" s="239"/>
      <c r="E938" s="237">
        <v>260</v>
      </c>
      <c r="F938" s="242" t="s">
        <v>714</v>
      </c>
      <c r="G938" s="239" t="s">
        <v>935</v>
      </c>
      <c r="H938" s="240">
        <f t="shared" si="14"/>
        <v>38112</v>
      </c>
      <c r="I938" s="241"/>
    </row>
    <row r="939" spans="1:9" x14ac:dyDescent="0.25">
      <c r="A939" s="249">
        <v>45119</v>
      </c>
      <c r="B939" s="237"/>
      <c r="C939" s="238"/>
      <c r="D939" s="239"/>
      <c r="E939" s="237">
        <v>900</v>
      </c>
      <c r="F939" s="242" t="s">
        <v>715</v>
      </c>
      <c r="G939" s="239" t="s">
        <v>928</v>
      </c>
      <c r="H939" s="240">
        <f t="shared" si="14"/>
        <v>37212</v>
      </c>
      <c r="I939" s="241"/>
    </row>
    <row r="940" spans="1:9" x14ac:dyDescent="0.25">
      <c r="A940" s="249">
        <v>45119</v>
      </c>
      <c r="B940" s="237"/>
      <c r="C940" s="238"/>
      <c r="D940" s="239"/>
      <c r="E940" s="237">
        <v>30</v>
      </c>
      <c r="F940" s="242" t="s">
        <v>458</v>
      </c>
      <c r="G940" s="239" t="s">
        <v>464</v>
      </c>
      <c r="H940" s="240">
        <f t="shared" si="14"/>
        <v>37182</v>
      </c>
      <c r="I940" s="241"/>
    </row>
    <row r="941" spans="1:9" x14ac:dyDescent="0.25">
      <c r="A941" s="249">
        <v>45119</v>
      </c>
      <c r="B941" s="237"/>
      <c r="C941" s="238"/>
      <c r="D941" s="239"/>
      <c r="E941" s="237">
        <v>1450</v>
      </c>
      <c r="F941" s="242" t="s">
        <v>716</v>
      </c>
      <c r="G941" s="239" t="s">
        <v>928</v>
      </c>
      <c r="H941" s="240">
        <f t="shared" si="14"/>
        <v>35732</v>
      </c>
      <c r="I941" s="241"/>
    </row>
    <row r="942" spans="1:9" x14ac:dyDescent="0.25">
      <c r="A942" s="249">
        <v>45119</v>
      </c>
      <c r="B942" s="237"/>
      <c r="C942" s="238"/>
      <c r="D942" s="239"/>
      <c r="E942" s="237">
        <v>325</v>
      </c>
      <c r="F942" s="242" t="s">
        <v>717</v>
      </c>
      <c r="G942" s="239" t="s">
        <v>935</v>
      </c>
      <c r="H942" s="240">
        <f t="shared" si="14"/>
        <v>35407</v>
      </c>
      <c r="I942" s="241"/>
    </row>
    <row r="943" spans="1:9" x14ac:dyDescent="0.25">
      <c r="A943" s="249">
        <v>45119</v>
      </c>
      <c r="B943" s="237"/>
      <c r="C943" s="238"/>
      <c r="D943" s="239"/>
      <c r="E943" s="237">
        <v>10810</v>
      </c>
      <c r="F943" s="242" t="s">
        <v>718</v>
      </c>
      <c r="G943" s="239" t="s">
        <v>928</v>
      </c>
      <c r="H943" s="240">
        <f t="shared" si="14"/>
        <v>24597</v>
      </c>
      <c r="I943" s="241"/>
    </row>
    <row r="944" spans="1:9" x14ac:dyDescent="0.25">
      <c r="A944" s="249">
        <v>45119</v>
      </c>
      <c r="B944" s="237"/>
      <c r="C944" s="238"/>
      <c r="D944" s="239"/>
      <c r="E944" s="237">
        <v>100</v>
      </c>
      <c r="F944" s="242" t="s">
        <v>494</v>
      </c>
      <c r="G944" s="239" t="s">
        <v>930</v>
      </c>
      <c r="H944" s="240">
        <f t="shared" si="14"/>
        <v>24497</v>
      </c>
      <c r="I944" s="241"/>
    </row>
    <row r="945" spans="1:9" x14ac:dyDescent="0.25">
      <c r="A945" s="249">
        <v>45119</v>
      </c>
      <c r="B945" s="237"/>
      <c r="C945" s="238"/>
      <c r="D945" s="239"/>
      <c r="E945" s="237">
        <v>85</v>
      </c>
      <c r="F945" s="242" t="s">
        <v>32</v>
      </c>
      <c r="G945" s="239" t="s">
        <v>930</v>
      </c>
      <c r="H945" s="240">
        <f t="shared" si="14"/>
        <v>24412</v>
      </c>
      <c r="I945" s="241"/>
    </row>
    <row r="946" spans="1:9" x14ac:dyDescent="0.25">
      <c r="A946" s="249">
        <v>45119</v>
      </c>
      <c r="B946" s="237"/>
      <c r="C946" s="238"/>
      <c r="D946" s="239"/>
      <c r="E946" s="237">
        <v>170</v>
      </c>
      <c r="F946" s="242" t="s">
        <v>86</v>
      </c>
      <c r="G946" s="239" t="s">
        <v>930</v>
      </c>
      <c r="H946" s="240">
        <f t="shared" si="14"/>
        <v>24242</v>
      </c>
      <c r="I946" s="241"/>
    </row>
    <row r="947" spans="1:9" x14ac:dyDescent="0.25">
      <c r="A947" s="249">
        <v>45119</v>
      </c>
      <c r="B947" s="237"/>
      <c r="C947" s="238"/>
      <c r="D947" s="239"/>
      <c r="E947" s="237">
        <v>100</v>
      </c>
      <c r="F947" s="242" t="s">
        <v>719</v>
      </c>
      <c r="G947" s="239" t="s">
        <v>930</v>
      </c>
      <c r="H947" s="240">
        <f t="shared" si="14"/>
        <v>24142</v>
      </c>
      <c r="I947" s="241"/>
    </row>
    <row r="948" spans="1:9" x14ac:dyDescent="0.25">
      <c r="A948" s="249">
        <v>45119</v>
      </c>
      <c r="B948" s="237"/>
      <c r="C948" s="238"/>
      <c r="D948" s="239"/>
      <c r="E948" s="237">
        <v>180</v>
      </c>
      <c r="F948" s="242" t="s">
        <v>58</v>
      </c>
      <c r="G948" s="239" t="s">
        <v>928</v>
      </c>
      <c r="H948" s="240">
        <f t="shared" si="14"/>
        <v>23962</v>
      </c>
      <c r="I948" s="241"/>
    </row>
    <row r="949" spans="1:9" x14ac:dyDescent="0.25">
      <c r="A949" s="249">
        <v>45119</v>
      </c>
      <c r="B949" s="237"/>
      <c r="C949" s="238"/>
      <c r="D949" s="239"/>
      <c r="E949" s="237">
        <v>54</v>
      </c>
      <c r="F949" s="242" t="s">
        <v>720</v>
      </c>
      <c r="G949" s="239" t="s">
        <v>464</v>
      </c>
      <c r="H949" s="240">
        <f t="shared" si="14"/>
        <v>23908</v>
      </c>
      <c r="I949" s="241"/>
    </row>
    <row r="950" spans="1:9" x14ac:dyDescent="0.25">
      <c r="A950" s="249">
        <v>45119</v>
      </c>
      <c r="B950" s="237"/>
      <c r="C950" s="238"/>
      <c r="D950" s="239"/>
      <c r="E950" s="237">
        <v>175</v>
      </c>
      <c r="F950" s="242" t="s">
        <v>498</v>
      </c>
      <c r="G950" s="239" t="s">
        <v>930</v>
      </c>
      <c r="H950" s="240">
        <f t="shared" si="14"/>
        <v>23733</v>
      </c>
      <c r="I950" s="241"/>
    </row>
    <row r="951" spans="1:9" x14ac:dyDescent="0.25">
      <c r="A951" s="249">
        <v>45119</v>
      </c>
      <c r="B951" s="237"/>
      <c r="C951" s="238"/>
      <c r="D951" s="239"/>
      <c r="E951" s="237">
        <v>1000</v>
      </c>
      <c r="F951" s="242" t="s">
        <v>703</v>
      </c>
      <c r="G951" s="239" t="s">
        <v>464</v>
      </c>
      <c r="H951" s="240">
        <f t="shared" si="14"/>
        <v>22733</v>
      </c>
      <c r="I951" s="241"/>
    </row>
    <row r="952" spans="1:9" x14ac:dyDescent="0.25">
      <c r="A952" s="249">
        <v>45119</v>
      </c>
      <c r="B952" s="237"/>
      <c r="C952" s="238"/>
      <c r="D952" s="239"/>
      <c r="E952" s="237">
        <v>37</v>
      </c>
      <c r="F952" s="242" t="s">
        <v>25</v>
      </c>
      <c r="G952" s="239" t="s">
        <v>464</v>
      </c>
      <c r="H952" s="240">
        <f t="shared" si="14"/>
        <v>22696</v>
      </c>
      <c r="I952" s="241"/>
    </row>
    <row r="953" spans="1:9" x14ac:dyDescent="0.25">
      <c r="A953" s="244">
        <v>45119</v>
      </c>
      <c r="B953" s="245"/>
      <c r="C953" s="246"/>
      <c r="D953" s="247"/>
      <c r="E953" s="245">
        <v>100</v>
      </c>
      <c r="F953" s="248" t="s">
        <v>450</v>
      </c>
      <c r="G953" s="247" t="s">
        <v>942</v>
      </c>
      <c r="H953" s="252">
        <f t="shared" si="14"/>
        <v>22596</v>
      </c>
      <c r="I953" s="241"/>
    </row>
    <row r="954" spans="1:9" x14ac:dyDescent="0.25">
      <c r="A954" s="249">
        <v>45120</v>
      </c>
      <c r="B954" s="237">
        <v>16150</v>
      </c>
      <c r="C954" s="238" t="s">
        <v>9</v>
      </c>
      <c r="D954" s="239" t="s">
        <v>763</v>
      </c>
      <c r="E954" s="237">
        <v>9255</v>
      </c>
      <c r="F954" s="242" t="s">
        <v>721</v>
      </c>
      <c r="G954" s="239" t="s">
        <v>929</v>
      </c>
      <c r="H954" s="240">
        <f t="shared" si="14"/>
        <v>29491</v>
      </c>
      <c r="I954" s="241"/>
    </row>
    <row r="955" spans="1:9" x14ac:dyDescent="0.25">
      <c r="A955" s="249">
        <v>45120</v>
      </c>
      <c r="B955" s="237">
        <v>738</v>
      </c>
      <c r="C955" s="238" t="s">
        <v>28</v>
      </c>
      <c r="D955" s="239" t="s">
        <v>765</v>
      </c>
      <c r="E955" s="237">
        <v>3160</v>
      </c>
      <c r="F955" s="242" t="s">
        <v>722</v>
      </c>
      <c r="G955" s="239" t="s">
        <v>929</v>
      </c>
      <c r="H955" s="240">
        <f t="shared" si="14"/>
        <v>27069</v>
      </c>
      <c r="I955" s="241"/>
    </row>
    <row r="956" spans="1:9" x14ac:dyDescent="0.25">
      <c r="A956" s="249">
        <v>45120</v>
      </c>
      <c r="B956" s="237">
        <v>1435</v>
      </c>
      <c r="C956" s="238" t="s">
        <v>27</v>
      </c>
      <c r="D956" s="239" t="s">
        <v>772</v>
      </c>
      <c r="E956" s="237">
        <v>6175</v>
      </c>
      <c r="F956" s="242" t="s">
        <v>57</v>
      </c>
      <c r="G956" s="239" t="s">
        <v>928</v>
      </c>
      <c r="H956" s="240">
        <f t="shared" si="14"/>
        <v>22329</v>
      </c>
      <c r="I956" s="241"/>
    </row>
    <row r="957" spans="1:9" x14ac:dyDescent="0.25">
      <c r="A957" s="249">
        <v>45120</v>
      </c>
      <c r="B957" s="237">
        <v>15435</v>
      </c>
      <c r="C957" s="238" t="s">
        <v>80</v>
      </c>
      <c r="D957" s="239" t="s">
        <v>763</v>
      </c>
      <c r="E957" s="237">
        <v>300</v>
      </c>
      <c r="F957" s="242" t="s">
        <v>723</v>
      </c>
      <c r="G957" s="239" t="s">
        <v>928</v>
      </c>
      <c r="H957" s="240">
        <f t="shared" si="14"/>
        <v>37464</v>
      </c>
      <c r="I957" s="241"/>
    </row>
    <row r="958" spans="1:9" x14ac:dyDescent="0.25">
      <c r="A958" s="249">
        <v>45120</v>
      </c>
      <c r="B958" s="237">
        <v>1377</v>
      </c>
      <c r="C958" s="238" t="s">
        <v>81</v>
      </c>
      <c r="D958" s="239" t="s">
        <v>765</v>
      </c>
      <c r="E958" s="237">
        <v>2000</v>
      </c>
      <c r="F958" s="242" t="s">
        <v>976</v>
      </c>
      <c r="G958" s="239" t="s">
        <v>928</v>
      </c>
      <c r="H958" s="240">
        <f t="shared" si="14"/>
        <v>36841</v>
      </c>
      <c r="I958" s="241"/>
    </row>
    <row r="959" spans="1:9" x14ac:dyDescent="0.25">
      <c r="A959" s="249">
        <v>45120</v>
      </c>
      <c r="B959" s="237">
        <v>1685</v>
      </c>
      <c r="C959" s="238" t="s">
        <v>27</v>
      </c>
      <c r="D959" s="239" t="s">
        <v>772</v>
      </c>
      <c r="E959" s="237">
        <v>65</v>
      </c>
      <c r="F959" s="242" t="s">
        <v>724</v>
      </c>
      <c r="G959" s="239" t="s">
        <v>464</v>
      </c>
      <c r="H959" s="240">
        <f t="shared" si="14"/>
        <v>38461</v>
      </c>
      <c r="I959" s="241"/>
    </row>
    <row r="960" spans="1:9" x14ac:dyDescent="0.25">
      <c r="A960" s="249">
        <v>45120</v>
      </c>
      <c r="B960" s="237">
        <v>255</v>
      </c>
      <c r="C960" s="238" t="s">
        <v>27</v>
      </c>
      <c r="D960" s="239" t="s">
        <v>772</v>
      </c>
      <c r="E960" s="237">
        <v>530</v>
      </c>
      <c r="F960" s="242" t="s">
        <v>725</v>
      </c>
      <c r="G960" s="239" t="s">
        <v>929</v>
      </c>
      <c r="H960" s="240">
        <f t="shared" si="14"/>
        <v>38186</v>
      </c>
      <c r="I960" s="241"/>
    </row>
    <row r="961" spans="1:9" x14ac:dyDescent="0.25">
      <c r="A961" s="249">
        <v>45120</v>
      </c>
      <c r="B961" s="237">
        <v>1070</v>
      </c>
      <c r="C961" s="238" t="s">
        <v>742</v>
      </c>
      <c r="D961" s="239" t="s">
        <v>763</v>
      </c>
      <c r="E961" s="237">
        <v>28</v>
      </c>
      <c r="F961" s="242" t="s">
        <v>471</v>
      </c>
      <c r="G961" s="239" t="s">
        <v>464</v>
      </c>
      <c r="H961" s="240">
        <f t="shared" si="14"/>
        <v>39228</v>
      </c>
      <c r="I961" s="241"/>
    </row>
    <row r="962" spans="1:9" x14ac:dyDescent="0.25">
      <c r="A962" s="249">
        <v>45120</v>
      </c>
      <c r="B962" s="237">
        <v>15273</v>
      </c>
      <c r="C962" s="238" t="s">
        <v>88</v>
      </c>
      <c r="D962" s="239" t="s">
        <v>924</v>
      </c>
      <c r="E962" s="237">
        <v>100</v>
      </c>
      <c r="F962" s="242" t="s">
        <v>350</v>
      </c>
      <c r="G962" s="239" t="s">
        <v>931</v>
      </c>
      <c r="H962" s="240">
        <f t="shared" si="14"/>
        <v>54401</v>
      </c>
      <c r="I962" s="241"/>
    </row>
    <row r="963" spans="1:9" x14ac:dyDescent="0.25">
      <c r="A963" s="249">
        <v>45120</v>
      </c>
      <c r="B963" s="237">
        <v>103</v>
      </c>
      <c r="C963" s="238" t="s">
        <v>747</v>
      </c>
      <c r="D963" s="239" t="s">
        <v>768</v>
      </c>
      <c r="E963" s="237">
        <v>28</v>
      </c>
      <c r="F963" s="242" t="s">
        <v>451</v>
      </c>
      <c r="G963" s="239" t="s">
        <v>931</v>
      </c>
      <c r="H963" s="240">
        <f t="shared" si="14"/>
        <v>54476</v>
      </c>
      <c r="I963" s="241"/>
    </row>
    <row r="964" spans="1:9" x14ac:dyDescent="0.25">
      <c r="A964" s="249">
        <v>45120</v>
      </c>
      <c r="B964" s="237">
        <v>6760</v>
      </c>
      <c r="C964" s="238" t="s">
        <v>121</v>
      </c>
      <c r="D964" s="239" t="s">
        <v>766</v>
      </c>
      <c r="E964" s="237">
        <v>907</v>
      </c>
      <c r="F964" s="242" t="s">
        <v>569</v>
      </c>
      <c r="G964" s="239" t="s">
        <v>464</v>
      </c>
      <c r="H964" s="240">
        <f t="shared" si="14"/>
        <v>60329</v>
      </c>
      <c r="I964" s="241"/>
    </row>
    <row r="965" spans="1:9" x14ac:dyDescent="0.25">
      <c r="A965" s="249">
        <v>45120</v>
      </c>
      <c r="B965" s="237">
        <v>103</v>
      </c>
      <c r="C965" s="238" t="s">
        <v>911</v>
      </c>
      <c r="D965" s="239" t="s">
        <v>768</v>
      </c>
      <c r="E965" s="237">
        <v>83</v>
      </c>
      <c r="F965" s="242" t="s">
        <v>357</v>
      </c>
      <c r="G965" s="239" t="s">
        <v>464</v>
      </c>
      <c r="H965" s="240">
        <f t="shared" si="14"/>
        <v>60349</v>
      </c>
      <c r="I965" s="241"/>
    </row>
    <row r="966" spans="1:9" x14ac:dyDescent="0.25">
      <c r="A966" s="249">
        <v>45120</v>
      </c>
      <c r="B966" s="237">
        <v>210</v>
      </c>
      <c r="C966" s="238" t="s">
        <v>27</v>
      </c>
      <c r="D966" s="239" t="s">
        <v>772</v>
      </c>
      <c r="E966" s="237">
        <v>500</v>
      </c>
      <c r="F966" s="242" t="s">
        <v>78</v>
      </c>
      <c r="G966" s="239" t="s">
        <v>931</v>
      </c>
      <c r="H966" s="240">
        <f t="shared" ref="H966:H1029" si="15">H965+B966-E966</f>
        <v>60059</v>
      </c>
      <c r="I966" s="241"/>
    </row>
    <row r="967" spans="1:9" x14ac:dyDescent="0.25">
      <c r="A967" s="249">
        <v>45120</v>
      </c>
      <c r="B967" s="237">
        <v>14740</v>
      </c>
      <c r="C967" s="238" t="s">
        <v>363</v>
      </c>
      <c r="D967" s="239" t="s">
        <v>763</v>
      </c>
      <c r="E967" s="237">
        <v>25</v>
      </c>
      <c r="F967" s="242" t="s">
        <v>33</v>
      </c>
      <c r="G967" s="239" t="s">
        <v>464</v>
      </c>
      <c r="H967" s="240">
        <f t="shared" si="15"/>
        <v>74774</v>
      </c>
      <c r="I967" s="241"/>
    </row>
    <row r="968" spans="1:9" x14ac:dyDescent="0.25">
      <c r="A968" s="249">
        <v>45120</v>
      </c>
      <c r="B968" s="237">
        <v>1005</v>
      </c>
      <c r="C968" s="238" t="s">
        <v>913</v>
      </c>
      <c r="D968" s="239" t="s">
        <v>765</v>
      </c>
      <c r="E968" s="237">
        <v>80</v>
      </c>
      <c r="F968" s="242" t="s">
        <v>10</v>
      </c>
      <c r="G968" s="239" t="s">
        <v>930</v>
      </c>
      <c r="H968" s="240">
        <f t="shared" si="15"/>
        <v>75699</v>
      </c>
      <c r="I968" s="241"/>
    </row>
    <row r="969" spans="1:9" x14ac:dyDescent="0.25">
      <c r="A969" s="249">
        <v>45120</v>
      </c>
      <c r="B969" s="237">
        <v>15868</v>
      </c>
      <c r="C969" s="238" t="s">
        <v>915</v>
      </c>
      <c r="D969" s="239" t="s">
        <v>766</v>
      </c>
      <c r="E969" s="237">
        <v>13420</v>
      </c>
      <c r="F969" s="242" t="s">
        <v>266</v>
      </c>
      <c r="G969" s="239" t="s">
        <v>930</v>
      </c>
      <c r="H969" s="240">
        <f t="shared" si="15"/>
        <v>78147</v>
      </c>
      <c r="I969" s="241"/>
    </row>
    <row r="970" spans="1:9" x14ac:dyDescent="0.25">
      <c r="A970" s="249">
        <v>45120</v>
      </c>
      <c r="B970" s="237">
        <v>242</v>
      </c>
      <c r="C970" s="238" t="s">
        <v>916</v>
      </c>
      <c r="D970" s="239" t="s">
        <v>768</v>
      </c>
      <c r="E970" s="237">
        <v>120</v>
      </c>
      <c r="F970" s="242" t="s">
        <v>393</v>
      </c>
      <c r="G970" s="239" t="s">
        <v>930</v>
      </c>
      <c r="H970" s="240">
        <f t="shared" si="15"/>
        <v>78269</v>
      </c>
      <c r="I970" s="241"/>
    </row>
    <row r="971" spans="1:9" x14ac:dyDescent="0.25">
      <c r="A971" s="249">
        <v>45120</v>
      </c>
      <c r="B971" s="237">
        <v>7242</v>
      </c>
      <c r="C971" s="238" t="s">
        <v>60</v>
      </c>
      <c r="D971" s="239" t="s">
        <v>763</v>
      </c>
      <c r="E971" s="237">
        <v>20</v>
      </c>
      <c r="F971" s="242" t="s">
        <v>358</v>
      </c>
      <c r="G971" s="239" t="s">
        <v>938</v>
      </c>
      <c r="H971" s="240">
        <f t="shared" si="15"/>
        <v>85491</v>
      </c>
      <c r="I971" s="241"/>
    </row>
    <row r="972" spans="1:9" x14ac:dyDescent="0.25">
      <c r="A972" s="249">
        <v>45120</v>
      </c>
      <c r="B972" s="237">
        <v>12209</v>
      </c>
      <c r="C972" s="238" t="s">
        <v>85</v>
      </c>
      <c r="D972" s="239" t="s">
        <v>766</v>
      </c>
      <c r="E972" s="237">
        <v>60</v>
      </c>
      <c r="F972" s="242" t="s">
        <v>10</v>
      </c>
      <c r="G972" s="239" t="s">
        <v>930</v>
      </c>
      <c r="H972" s="240">
        <f t="shared" si="15"/>
        <v>97640</v>
      </c>
      <c r="I972" s="241"/>
    </row>
    <row r="973" spans="1:9" x14ac:dyDescent="0.25">
      <c r="A973" s="249">
        <v>45120</v>
      </c>
      <c r="B973" s="237"/>
      <c r="C973" s="238"/>
      <c r="D973" s="239"/>
      <c r="E973" s="237">
        <v>255</v>
      </c>
      <c r="F973" s="242" t="s">
        <v>8</v>
      </c>
      <c r="G973" s="239" t="s">
        <v>930</v>
      </c>
      <c r="H973" s="240">
        <f t="shared" si="15"/>
        <v>97385</v>
      </c>
      <c r="I973" s="241"/>
    </row>
    <row r="974" spans="1:9" x14ac:dyDescent="0.25">
      <c r="A974" s="249">
        <v>45120</v>
      </c>
      <c r="B974" s="237"/>
      <c r="C974" s="238"/>
      <c r="D974" s="239"/>
      <c r="E974" s="237">
        <v>170</v>
      </c>
      <c r="F974" s="242" t="s">
        <v>7</v>
      </c>
      <c r="G974" s="239" t="s">
        <v>930</v>
      </c>
      <c r="H974" s="240">
        <f t="shared" si="15"/>
        <v>97215</v>
      </c>
      <c r="I974" s="241"/>
    </row>
    <row r="975" spans="1:9" x14ac:dyDescent="0.25">
      <c r="A975" s="249">
        <v>45120</v>
      </c>
      <c r="B975" s="237"/>
      <c r="C975" s="238"/>
      <c r="D975" s="239"/>
      <c r="E975" s="237">
        <v>300</v>
      </c>
      <c r="F975" s="242" t="s">
        <v>727</v>
      </c>
      <c r="G975" s="239" t="s">
        <v>931</v>
      </c>
      <c r="H975" s="240">
        <f t="shared" si="15"/>
        <v>96915</v>
      </c>
      <c r="I975" s="241"/>
    </row>
    <row r="976" spans="1:9" x14ac:dyDescent="0.25">
      <c r="A976" s="249">
        <v>45120</v>
      </c>
      <c r="B976" s="237"/>
      <c r="C976" s="238"/>
      <c r="D976" s="239"/>
      <c r="E976" s="237">
        <v>300</v>
      </c>
      <c r="F976" s="242" t="s">
        <v>11</v>
      </c>
      <c r="G976" s="239" t="s">
        <v>935</v>
      </c>
      <c r="H976" s="240">
        <f t="shared" si="15"/>
        <v>96615</v>
      </c>
      <c r="I976" s="241"/>
    </row>
    <row r="977" spans="1:9" x14ac:dyDescent="0.25">
      <c r="A977" s="249">
        <v>45120</v>
      </c>
      <c r="B977" s="237"/>
      <c r="C977" s="238"/>
      <c r="D977" s="239"/>
      <c r="E977" s="237">
        <v>1610</v>
      </c>
      <c r="F977" s="242" t="s">
        <v>728</v>
      </c>
      <c r="G977" s="239" t="s">
        <v>928</v>
      </c>
      <c r="H977" s="240">
        <f t="shared" si="15"/>
        <v>95005</v>
      </c>
      <c r="I977" s="241"/>
    </row>
    <row r="978" spans="1:9" x14ac:dyDescent="0.25">
      <c r="A978" s="249">
        <v>45120</v>
      </c>
      <c r="B978" s="237"/>
      <c r="C978" s="238"/>
      <c r="D978" s="239"/>
      <c r="E978" s="237">
        <v>35</v>
      </c>
      <c r="F978" s="242" t="s">
        <v>31</v>
      </c>
      <c r="G978" s="239" t="s">
        <v>931</v>
      </c>
      <c r="H978" s="240">
        <f t="shared" si="15"/>
        <v>94970</v>
      </c>
      <c r="I978" s="241"/>
    </row>
    <row r="979" spans="1:9" x14ac:dyDescent="0.25">
      <c r="A979" s="249">
        <v>45120</v>
      </c>
      <c r="B979" s="237"/>
      <c r="C979" s="238"/>
      <c r="D979" s="239"/>
      <c r="E979" s="237">
        <v>142</v>
      </c>
      <c r="F979" s="242" t="s">
        <v>54</v>
      </c>
      <c r="G979" s="239" t="s">
        <v>938</v>
      </c>
      <c r="H979" s="240">
        <f t="shared" si="15"/>
        <v>94828</v>
      </c>
      <c r="I979" s="241"/>
    </row>
    <row r="980" spans="1:9" x14ac:dyDescent="0.25">
      <c r="A980" s="249">
        <v>45120</v>
      </c>
      <c r="B980" s="237"/>
      <c r="C980" s="238"/>
      <c r="D980" s="239"/>
      <c r="E980" s="237">
        <v>4310</v>
      </c>
      <c r="F980" s="242" t="s">
        <v>12</v>
      </c>
      <c r="G980" s="239" t="s">
        <v>974</v>
      </c>
      <c r="H980" s="240">
        <f t="shared" si="15"/>
        <v>90518</v>
      </c>
      <c r="I980" s="241"/>
    </row>
    <row r="981" spans="1:9" x14ac:dyDescent="0.25">
      <c r="A981" s="249">
        <v>45120</v>
      </c>
      <c r="B981" s="237"/>
      <c r="C981" s="238"/>
      <c r="D981" s="239"/>
      <c r="E981" s="237">
        <v>1155</v>
      </c>
      <c r="F981" s="242" t="s">
        <v>729</v>
      </c>
      <c r="G981" s="239" t="s">
        <v>928</v>
      </c>
      <c r="H981" s="240">
        <f t="shared" si="15"/>
        <v>89363</v>
      </c>
      <c r="I981" s="241"/>
    </row>
    <row r="982" spans="1:9" x14ac:dyDescent="0.25">
      <c r="A982" s="249">
        <v>45120</v>
      </c>
      <c r="B982" s="237"/>
      <c r="C982" s="238"/>
      <c r="D982" s="239"/>
      <c r="E982" s="237">
        <v>250</v>
      </c>
      <c r="F982" s="242" t="s">
        <v>35</v>
      </c>
      <c r="G982" s="239" t="s">
        <v>937</v>
      </c>
      <c r="H982" s="240">
        <f t="shared" si="15"/>
        <v>89113</v>
      </c>
      <c r="I982" s="241"/>
    </row>
    <row r="983" spans="1:9" x14ac:dyDescent="0.25">
      <c r="A983" s="249">
        <v>45120</v>
      </c>
      <c r="B983" s="237"/>
      <c r="C983" s="238"/>
      <c r="D983" s="239"/>
      <c r="E983" s="237">
        <v>115</v>
      </c>
      <c r="F983" s="242" t="s">
        <v>38</v>
      </c>
      <c r="G983" s="239" t="s">
        <v>930</v>
      </c>
      <c r="H983" s="240">
        <f t="shared" si="15"/>
        <v>88998</v>
      </c>
      <c r="I983" s="241"/>
    </row>
    <row r="984" spans="1:9" x14ac:dyDescent="0.25">
      <c r="A984" s="249">
        <v>45120</v>
      </c>
      <c r="B984" s="237"/>
      <c r="C984" s="238"/>
      <c r="D984" s="239"/>
      <c r="E984" s="237">
        <v>1000</v>
      </c>
      <c r="F984" s="242" t="s">
        <v>886</v>
      </c>
      <c r="G984" s="239" t="s">
        <v>928</v>
      </c>
      <c r="H984" s="240">
        <f t="shared" si="15"/>
        <v>87998</v>
      </c>
      <c r="I984" s="241" t="s">
        <v>829</v>
      </c>
    </row>
    <row r="985" spans="1:9" x14ac:dyDescent="0.25">
      <c r="A985" s="249">
        <v>45120</v>
      </c>
      <c r="B985" s="237"/>
      <c r="C985" s="238"/>
      <c r="D985" s="239"/>
      <c r="E985" s="237">
        <v>50</v>
      </c>
      <c r="F985" s="242" t="s">
        <v>13</v>
      </c>
      <c r="G985" s="239" t="s">
        <v>930</v>
      </c>
      <c r="H985" s="240">
        <f t="shared" si="15"/>
        <v>87948</v>
      </c>
      <c r="I985" s="241"/>
    </row>
    <row r="986" spans="1:9" x14ac:dyDescent="0.25">
      <c r="A986" s="249">
        <v>45120</v>
      </c>
      <c r="B986" s="237"/>
      <c r="C986" s="238"/>
      <c r="D986" s="239"/>
      <c r="E986" s="237">
        <v>1085</v>
      </c>
      <c r="F986" s="242" t="s">
        <v>731</v>
      </c>
      <c r="G986" s="239" t="s">
        <v>928</v>
      </c>
      <c r="H986" s="240">
        <f t="shared" si="15"/>
        <v>86863</v>
      </c>
      <c r="I986" s="241"/>
    </row>
    <row r="987" spans="1:9" x14ac:dyDescent="0.25">
      <c r="A987" s="249">
        <v>45120</v>
      </c>
      <c r="B987" s="237"/>
      <c r="C987" s="238"/>
      <c r="D987" s="239"/>
      <c r="E987" s="237">
        <v>7570</v>
      </c>
      <c r="F987" s="242" t="s">
        <v>732</v>
      </c>
      <c r="G987" s="239" t="s">
        <v>928</v>
      </c>
      <c r="H987" s="240">
        <f t="shared" si="15"/>
        <v>79293</v>
      </c>
      <c r="I987" s="241"/>
    </row>
    <row r="988" spans="1:9" x14ac:dyDescent="0.25">
      <c r="A988" s="249">
        <v>45120</v>
      </c>
      <c r="B988" s="237"/>
      <c r="C988" s="238"/>
      <c r="D988" s="239"/>
      <c r="E988" s="237">
        <v>900</v>
      </c>
      <c r="F988" s="242" t="s">
        <v>733</v>
      </c>
      <c r="G988" s="239" t="s">
        <v>960</v>
      </c>
      <c r="H988" s="240">
        <f t="shared" si="15"/>
        <v>78393</v>
      </c>
      <c r="I988" s="241"/>
    </row>
    <row r="989" spans="1:9" x14ac:dyDescent="0.25">
      <c r="A989" s="249">
        <v>45120</v>
      </c>
      <c r="B989" s="237"/>
      <c r="C989" s="238"/>
      <c r="D989" s="239"/>
      <c r="E989" s="237">
        <v>405</v>
      </c>
      <c r="F989" s="242" t="s">
        <v>734</v>
      </c>
      <c r="G989" s="239" t="s">
        <v>928</v>
      </c>
      <c r="H989" s="240">
        <f t="shared" si="15"/>
        <v>77988</v>
      </c>
      <c r="I989" s="241"/>
    </row>
    <row r="990" spans="1:9" x14ac:dyDescent="0.25">
      <c r="A990" s="249">
        <v>45120</v>
      </c>
      <c r="B990" s="237"/>
      <c r="C990" s="238"/>
      <c r="D990" s="239"/>
      <c r="E990" s="237">
        <v>4385</v>
      </c>
      <c r="F990" s="242" t="s">
        <v>16</v>
      </c>
      <c r="G990" s="239" t="s">
        <v>936</v>
      </c>
      <c r="H990" s="240">
        <f t="shared" si="15"/>
        <v>73603</v>
      </c>
      <c r="I990" s="241"/>
    </row>
    <row r="991" spans="1:9" x14ac:dyDescent="0.25">
      <c r="A991" s="249">
        <v>45120</v>
      </c>
      <c r="B991" s="237"/>
      <c r="C991" s="238"/>
      <c r="D991" s="239"/>
      <c r="E991" s="237">
        <v>1500</v>
      </c>
      <c r="F991" s="242" t="s">
        <v>740</v>
      </c>
      <c r="G991" s="239" t="s">
        <v>936</v>
      </c>
      <c r="H991" s="240">
        <f t="shared" si="15"/>
        <v>72103</v>
      </c>
      <c r="I991" s="241"/>
    </row>
    <row r="992" spans="1:9" x14ac:dyDescent="0.25">
      <c r="A992" s="249">
        <v>45120</v>
      </c>
      <c r="B992" s="237"/>
      <c r="C992" s="238"/>
      <c r="D992" s="239"/>
      <c r="E992" s="237">
        <v>1005</v>
      </c>
      <c r="F992" s="242" t="s">
        <v>230</v>
      </c>
      <c r="G992" s="239" t="s">
        <v>928</v>
      </c>
      <c r="H992" s="240">
        <f t="shared" si="15"/>
        <v>71098</v>
      </c>
      <c r="I992" s="241"/>
    </row>
    <row r="993" spans="1:9" x14ac:dyDescent="0.25">
      <c r="A993" s="249">
        <v>45120</v>
      </c>
      <c r="B993" s="237"/>
      <c r="C993" s="238"/>
      <c r="D993" s="239"/>
      <c r="E993" s="237">
        <v>1500</v>
      </c>
      <c r="F993" s="242" t="s">
        <v>738</v>
      </c>
      <c r="G993" s="239" t="s">
        <v>928</v>
      </c>
      <c r="H993" s="240">
        <f t="shared" si="15"/>
        <v>69598</v>
      </c>
      <c r="I993" s="241"/>
    </row>
    <row r="994" spans="1:9" x14ac:dyDescent="0.25">
      <c r="A994" s="249">
        <v>45120</v>
      </c>
      <c r="B994" s="237"/>
      <c r="C994" s="238"/>
      <c r="D994" s="239"/>
      <c r="E994" s="237">
        <v>2000</v>
      </c>
      <c r="F994" s="242" t="s">
        <v>739</v>
      </c>
      <c r="G994" s="239" t="s">
        <v>930</v>
      </c>
      <c r="H994" s="240">
        <f t="shared" si="15"/>
        <v>67598</v>
      </c>
      <c r="I994" s="241"/>
    </row>
    <row r="995" spans="1:9" x14ac:dyDescent="0.25">
      <c r="A995" s="249">
        <v>45120</v>
      </c>
      <c r="B995" s="237"/>
      <c r="C995" s="238"/>
      <c r="D995" s="239"/>
      <c r="E995" s="237">
        <v>4000</v>
      </c>
      <c r="F995" s="242" t="s">
        <v>16</v>
      </c>
      <c r="G995" s="239" t="s">
        <v>936</v>
      </c>
      <c r="H995" s="240">
        <f t="shared" si="15"/>
        <v>63598</v>
      </c>
      <c r="I995" s="241"/>
    </row>
    <row r="996" spans="1:9" x14ac:dyDescent="0.25">
      <c r="A996" s="249">
        <v>45120</v>
      </c>
      <c r="B996" s="237"/>
      <c r="C996" s="238"/>
      <c r="D996" s="239"/>
      <c r="E996" s="237">
        <v>190</v>
      </c>
      <c r="F996" s="242" t="s">
        <v>741</v>
      </c>
      <c r="G996" s="239" t="s">
        <v>930</v>
      </c>
      <c r="H996" s="240">
        <f t="shared" si="15"/>
        <v>63408</v>
      </c>
      <c r="I996" s="241"/>
    </row>
    <row r="997" spans="1:9" x14ac:dyDescent="0.25">
      <c r="A997" s="249">
        <v>45120</v>
      </c>
      <c r="B997" s="237"/>
      <c r="C997" s="238"/>
      <c r="D997" s="239"/>
      <c r="E997" s="237">
        <v>90</v>
      </c>
      <c r="F997" s="242" t="s">
        <v>510</v>
      </c>
      <c r="G997" s="239" t="s">
        <v>930</v>
      </c>
      <c r="H997" s="240">
        <f t="shared" si="15"/>
        <v>63318</v>
      </c>
      <c r="I997" s="241"/>
    </row>
    <row r="998" spans="1:9" x14ac:dyDescent="0.25">
      <c r="A998" s="249">
        <v>45120</v>
      </c>
      <c r="B998" s="237"/>
      <c r="C998" s="238"/>
      <c r="D998" s="239"/>
      <c r="E998" s="237">
        <v>200</v>
      </c>
      <c r="F998" s="242" t="s">
        <v>41</v>
      </c>
      <c r="G998" s="239" t="s">
        <v>931</v>
      </c>
      <c r="H998" s="240">
        <f t="shared" si="15"/>
        <v>63118</v>
      </c>
      <c r="I998" s="241"/>
    </row>
    <row r="999" spans="1:9" x14ac:dyDescent="0.25">
      <c r="A999" s="249">
        <v>45120</v>
      </c>
      <c r="B999" s="237"/>
      <c r="C999" s="238"/>
      <c r="D999" s="239"/>
      <c r="E999" s="237">
        <v>31</v>
      </c>
      <c r="F999" s="242" t="s">
        <v>743</v>
      </c>
      <c r="G999" s="239" t="s">
        <v>943</v>
      </c>
      <c r="H999" s="240">
        <f t="shared" si="15"/>
        <v>63087</v>
      </c>
      <c r="I999" s="241"/>
    </row>
    <row r="1000" spans="1:9" x14ac:dyDescent="0.25">
      <c r="A1000" s="249">
        <v>45120</v>
      </c>
      <c r="B1000" s="237"/>
      <c r="C1000" s="238"/>
      <c r="D1000" s="239"/>
      <c r="E1000" s="237">
        <v>95</v>
      </c>
      <c r="F1000" s="242" t="s">
        <v>9</v>
      </c>
      <c r="G1000" s="239" t="s">
        <v>930</v>
      </c>
      <c r="H1000" s="240">
        <f t="shared" si="15"/>
        <v>62992</v>
      </c>
      <c r="I1000" s="241"/>
    </row>
    <row r="1001" spans="1:9" x14ac:dyDescent="0.25">
      <c r="A1001" s="249">
        <v>45120</v>
      </c>
      <c r="B1001" s="237"/>
      <c r="C1001" s="238"/>
      <c r="D1001" s="239"/>
      <c r="E1001" s="237">
        <v>280</v>
      </c>
      <c r="F1001" s="242" t="s">
        <v>744</v>
      </c>
      <c r="G1001" s="239" t="s">
        <v>930</v>
      </c>
      <c r="H1001" s="240">
        <f t="shared" si="15"/>
        <v>62712</v>
      </c>
      <c r="I1001" s="241"/>
    </row>
    <row r="1002" spans="1:9" x14ac:dyDescent="0.25">
      <c r="A1002" s="249">
        <v>45120</v>
      </c>
      <c r="B1002" s="237"/>
      <c r="C1002" s="238"/>
      <c r="D1002" s="239"/>
      <c r="E1002" s="237">
        <v>257</v>
      </c>
      <c r="F1002" s="242" t="s">
        <v>505</v>
      </c>
      <c r="G1002" s="239" t="s">
        <v>928</v>
      </c>
      <c r="H1002" s="240">
        <f t="shared" si="15"/>
        <v>62455</v>
      </c>
      <c r="I1002" s="241"/>
    </row>
    <row r="1003" spans="1:9" x14ac:dyDescent="0.25">
      <c r="A1003" s="249">
        <v>45120</v>
      </c>
      <c r="B1003" s="237"/>
      <c r="C1003" s="238"/>
      <c r="D1003" s="239"/>
      <c r="E1003" s="237">
        <v>100</v>
      </c>
      <c r="F1003" s="242" t="s">
        <v>39</v>
      </c>
      <c r="G1003" s="239" t="s">
        <v>930</v>
      </c>
      <c r="H1003" s="240">
        <f t="shared" si="15"/>
        <v>62355</v>
      </c>
      <c r="I1003" s="241"/>
    </row>
    <row r="1004" spans="1:9" x14ac:dyDescent="0.25">
      <c r="A1004" s="249">
        <v>45120</v>
      </c>
      <c r="B1004" s="237"/>
      <c r="C1004" s="238"/>
      <c r="D1004" s="239"/>
      <c r="E1004" s="237">
        <v>180</v>
      </c>
      <c r="F1004" s="242" t="s">
        <v>746</v>
      </c>
      <c r="G1004" s="239" t="s">
        <v>935</v>
      </c>
      <c r="H1004" s="240">
        <f t="shared" si="15"/>
        <v>62175</v>
      </c>
      <c r="I1004" s="241"/>
    </row>
    <row r="1005" spans="1:9" x14ac:dyDescent="0.25">
      <c r="A1005" s="249">
        <v>45120</v>
      </c>
      <c r="B1005" s="237"/>
      <c r="C1005" s="238"/>
      <c r="D1005" s="239"/>
      <c r="E1005" s="237">
        <v>850</v>
      </c>
      <c r="F1005" s="242" t="s">
        <v>155</v>
      </c>
      <c r="G1005" s="239" t="s">
        <v>928</v>
      </c>
      <c r="H1005" s="240">
        <f t="shared" si="15"/>
        <v>61325</v>
      </c>
      <c r="I1005" s="241"/>
    </row>
    <row r="1006" spans="1:9" x14ac:dyDescent="0.25">
      <c r="A1006" s="249">
        <v>45120</v>
      </c>
      <c r="B1006" s="237"/>
      <c r="C1006" s="238"/>
      <c r="D1006" s="239"/>
      <c r="E1006" s="237">
        <v>1950</v>
      </c>
      <c r="F1006" s="242" t="s">
        <v>745</v>
      </c>
      <c r="G1006" s="239" t="s">
        <v>928</v>
      </c>
      <c r="H1006" s="240">
        <f t="shared" si="15"/>
        <v>59375</v>
      </c>
      <c r="I1006" s="241"/>
    </row>
    <row r="1007" spans="1:9" x14ac:dyDescent="0.25">
      <c r="A1007" s="249">
        <v>45120</v>
      </c>
      <c r="B1007" s="237"/>
      <c r="C1007" s="238"/>
      <c r="D1007" s="239"/>
      <c r="E1007" s="237">
        <v>930</v>
      </c>
      <c r="F1007" s="242" t="s">
        <v>728</v>
      </c>
      <c r="G1007" s="239" t="s">
        <v>928</v>
      </c>
      <c r="H1007" s="240">
        <f t="shared" si="15"/>
        <v>58445</v>
      </c>
      <c r="I1007" s="241"/>
    </row>
    <row r="1008" spans="1:9" x14ac:dyDescent="0.25">
      <c r="A1008" s="249">
        <v>45120</v>
      </c>
      <c r="B1008" s="237"/>
      <c r="C1008" s="238"/>
      <c r="D1008" s="239"/>
      <c r="E1008" s="237">
        <v>150</v>
      </c>
      <c r="F1008" s="242" t="s">
        <v>908</v>
      </c>
      <c r="G1008" s="239" t="s">
        <v>930</v>
      </c>
      <c r="H1008" s="240">
        <f t="shared" si="15"/>
        <v>58295</v>
      </c>
      <c r="I1008" s="241"/>
    </row>
    <row r="1009" spans="1:9" x14ac:dyDescent="0.25">
      <c r="A1009" s="249">
        <v>45120</v>
      </c>
      <c r="B1009" s="237"/>
      <c r="C1009" s="238"/>
      <c r="D1009" s="239"/>
      <c r="E1009" s="237">
        <v>90</v>
      </c>
      <c r="F1009" s="242" t="s">
        <v>909</v>
      </c>
      <c r="G1009" s="239" t="s">
        <v>930</v>
      </c>
      <c r="H1009" s="240">
        <f t="shared" si="15"/>
        <v>58205</v>
      </c>
      <c r="I1009" s="241"/>
    </row>
    <row r="1010" spans="1:9" x14ac:dyDescent="0.25">
      <c r="A1010" s="249">
        <v>45120</v>
      </c>
      <c r="B1010" s="237"/>
      <c r="C1010" s="238"/>
      <c r="D1010" s="239"/>
      <c r="E1010" s="237">
        <v>7735</v>
      </c>
      <c r="F1010" s="242" t="s">
        <v>912</v>
      </c>
      <c r="G1010" s="239" t="s">
        <v>928</v>
      </c>
      <c r="H1010" s="240">
        <f t="shared" si="15"/>
        <v>50470</v>
      </c>
      <c r="I1010" s="241"/>
    </row>
    <row r="1011" spans="1:9" x14ac:dyDescent="0.25">
      <c r="A1011" s="249">
        <v>45120</v>
      </c>
      <c r="B1011" s="237"/>
      <c r="C1011" s="238"/>
      <c r="D1011" s="239"/>
      <c r="E1011" s="237">
        <v>5000</v>
      </c>
      <c r="F1011" s="242" t="s">
        <v>917</v>
      </c>
      <c r="G1011" s="239" t="s">
        <v>928</v>
      </c>
      <c r="H1011" s="240">
        <f t="shared" si="15"/>
        <v>45470</v>
      </c>
      <c r="I1011" s="241"/>
    </row>
    <row r="1012" spans="1:9" x14ac:dyDescent="0.25">
      <c r="A1012" s="249">
        <v>45120</v>
      </c>
      <c r="B1012" s="237"/>
      <c r="C1012" s="238"/>
      <c r="D1012" s="239"/>
      <c r="E1012" s="237">
        <v>150</v>
      </c>
      <c r="F1012" s="242" t="s">
        <v>914</v>
      </c>
      <c r="G1012" s="239" t="s">
        <v>930</v>
      </c>
      <c r="H1012" s="240">
        <f t="shared" si="15"/>
        <v>45320</v>
      </c>
      <c r="I1012" s="241"/>
    </row>
    <row r="1013" spans="1:9" x14ac:dyDescent="0.25">
      <c r="A1013" s="249">
        <v>45120</v>
      </c>
      <c r="B1013" s="237"/>
      <c r="C1013" s="238"/>
      <c r="D1013" s="239"/>
      <c r="E1013" s="237">
        <v>15</v>
      </c>
      <c r="F1013" s="242" t="s">
        <v>906</v>
      </c>
      <c r="G1013" s="239" t="s">
        <v>931</v>
      </c>
      <c r="H1013" s="240">
        <f t="shared" si="15"/>
        <v>45305</v>
      </c>
      <c r="I1013" s="241"/>
    </row>
    <row r="1014" spans="1:9" x14ac:dyDescent="0.25">
      <c r="A1014" s="249">
        <v>45120</v>
      </c>
      <c r="B1014" s="237"/>
      <c r="C1014" s="238"/>
      <c r="D1014" s="239"/>
      <c r="E1014" s="237">
        <v>30</v>
      </c>
      <c r="F1014" s="242" t="s">
        <v>907</v>
      </c>
      <c r="G1014" s="239" t="s">
        <v>464</v>
      </c>
      <c r="H1014" s="240">
        <f t="shared" si="15"/>
        <v>45275</v>
      </c>
      <c r="I1014" s="241"/>
    </row>
    <row r="1015" spans="1:9" x14ac:dyDescent="0.25">
      <c r="A1015" s="249">
        <v>45120</v>
      </c>
      <c r="B1015" s="237"/>
      <c r="C1015" s="238"/>
      <c r="D1015" s="239"/>
      <c r="E1015" s="237">
        <v>5</v>
      </c>
      <c r="F1015" s="242" t="s">
        <v>428</v>
      </c>
      <c r="G1015" s="239" t="s">
        <v>931</v>
      </c>
      <c r="H1015" s="240">
        <f t="shared" si="15"/>
        <v>45270</v>
      </c>
      <c r="I1015" s="241"/>
    </row>
    <row r="1016" spans="1:9" x14ac:dyDescent="0.25">
      <c r="A1016" s="249">
        <v>45120</v>
      </c>
      <c r="B1016" s="237"/>
      <c r="C1016" s="238"/>
      <c r="D1016" s="239"/>
      <c r="E1016" s="237">
        <v>38</v>
      </c>
      <c r="F1016" s="242" t="s">
        <v>73</v>
      </c>
      <c r="G1016" s="239" t="s">
        <v>945</v>
      </c>
      <c r="H1016" s="240">
        <f t="shared" si="15"/>
        <v>45232</v>
      </c>
      <c r="I1016" s="241"/>
    </row>
    <row r="1017" spans="1:9" x14ac:dyDescent="0.25">
      <c r="A1017" s="249">
        <v>45120</v>
      </c>
      <c r="B1017" s="237"/>
      <c r="C1017" s="238"/>
      <c r="D1017" s="239"/>
      <c r="E1017" s="237">
        <v>10</v>
      </c>
      <c r="F1017" s="242" t="s">
        <v>464</v>
      </c>
      <c r="G1017" s="239" t="s">
        <v>930</v>
      </c>
      <c r="H1017" s="240">
        <f t="shared" si="15"/>
        <v>45222</v>
      </c>
      <c r="I1017" s="241"/>
    </row>
    <row r="1018" spans="1:9" x14ac:dyDescent="0.25">
      <c r="A1018" s="249">
        <v>45120</v>
      </c>
      <c r="B1018" s="237"/>
      <c r="C1018" s="238"/>
      <c r="D1018" s="239"/>
      <c r="E1018" s="237">
        <v>100</v>
      </c>
      <c r="F1018" s="242" t="s">
        <v>87</v>
      </c>
      <c r="G1018" s="239" t="s">
        <v>930</v>
      </c>
      <c r="H1018" s="240">
        <f t="shared" si="15"/>
        <v>45122</v>
      </c>
      <c r="I1018" s="241"/>
    </row>
    <row r="1019" spans="1:9" x14ac:dyDescent="0.25">
      <c r="A1019" s="249">
        <v>45120</v>
      </c>
      <c r="B1019" s="237"/>
      <c r="C1019" s="238"/>
      <c r="D1019" s="239"/>
      <c r="E1019" s="237">
        <v>90</v>
      </c>
      <c r="F1019" s="242" t="s">
        <v>339</v>
      </c>
      <c r="G1019" s="239" t="s">
        <v>935</v>
      </c>
      <c r="H1019" s="240">
        <f t="shared" si="15"/>
        <v>45032</v>
      </c>
      <c r="I1019" s="241"/>
    </row>
    <row r="1020" spans="1:9" x14ac:dyDescent="0.25">
      <c r="A1020" s="249">
        <v>45120</v>
      </c>
      <c r="B1020" s="237"/>
      <c r="C1020" s="238"/>
      <c r="D1020" s="239"/>
      <c r="E1020" s="237">
        <v>100</v>
      </c>
      <c r="F1020" s="242" t="s">
        <v>91</v>
      </c>
      <c r="G1020" s="239" t="s">
        <v>930</v>
      </c>
      <c r="H1020" s="240">
        <f t="shared" si="15"/>
        <v>44932</v>
      </c>
      <c r="I1020" s="241"/>
    </row>
    <row r="1021" spans="1:9" x14ac:dyDescent="0.25">
      <c r="A1021" s="249">
        <v>45120</v>
      </c>
      <c r="B1021" s="237"/>
      <c r="C1021" s="238"/>
      <c r="D1021" s="239"/>
      <c r="E1021" s="237">
        <v>100</v>
      </c>
      <c r="F1021" s="242" t="s">
        <v>903</v>
      </c>
      <c r="G1021" s="239" t="s">
        <v>930</v>
      </c>
      <c r="H1021" s="240">
        <f t="shared" si="15"/>
        <v>44832</v>
      </c>
      <c r="I1021" s="241"/>
    </row>
    <row r="1022" spans="1:9" x14ac:dyDescent="0.25">
      <c r="A1022" s="249">
        <v>45120</v>
      </c>
      <c r="B1022" s="237"/>
      <c r="C1022" s="238"/>
      <c r="D1022" s="239"/>
      <c r="E1022" s="237">
        <v>1320</v>
      </c>
      <c r="F1022" s="242" t="s">
        <v>14</v>
      </c>
      <c r="G1022" s="239" t="s">
        <v>935</v>
      </c>
      <c r="H1022" s="240">
        <f t="shared" si="15"/>
        <v>43512</v>
      </c>
      <c r="I1022" s="241"/>
    </row>
    <row r="1023" spans="1:9" x14ac:dyDescent="0.25">
      <c r="A1023" s="249">
        <v>45120</v>
      </c>
      <c r="B1023" s="237"/>
      <c r="C1023" s="238"/>
      <c r="D1023" s="239"/>
      <c r="E1023" s="237">
        <v>10000</v>
      </c>
      <c r="F1023" s="242" t="s">
        <v>918</v>
      </c>
      <c r="G1023" s="239" t="s">
        <v>928</v>
      </c>
      <c r="H1023" s="240">
        <f t="shared" si="15"/>
        <v>33512</v>
      </c>
      <c r="I1023" s="241"/>
    </row>
    <row r="1024" spans="1:9" x14ac:dyDescent="0.25">
      <c r="A1024" s="249">
        <v>45120</v>
      </c>
      <c r="B1024" s="237"/>
      <c r="C1024" s="238"/>
      <c r="D1024" s="239"/>
      <c r="E1024" s="237">
        <v>2000</v>
      </c>
      <c r="F1024" s="242" t="s">
        <v>919</v>
      </c>
      <c r="G1024" s="239" t="s">
        <v>928</v>
      </c>
      <c r="H1024" s="240">
        <f t="shared" si="15"/>
        <v>31512</v>
      </c>
      <c r="I1024" s="241"/>
    </row>
    <row r="1025" spans="1:9" x14ac:dyDescent="0.25">
      <c r="A1025" s="249">
        <v>45120</v>
      </c>
      <c r="B1025" s="237"/>
      <c r="C1025" s="238"/>
      <c r="D1025" s="239"/>
      <c r="E1025" s="237">
        <v>5000</v>
      </c>
      <c r="F1025" s="242" t="s">
        <v>920</v>
      </c>
      <c r="G1025" s="239" t="s">
        <v>928</v>
      </c>
      <c r="H1025" s="240">
        <f t="shared" si="15"/>
        <v>26512</v>
      </c>
      <c r="I1025" s="241"/>
    </row>
    <row r="1026" spans="1:9" x14ac:dyDescent="0.25">
      <c r="A1026" s="249">
        <v>45120</v>
      </c>
      <c r="B1026" s="237"/>
      <c r="C1026" s="238"/>
      <c r="D1026" s="239"/>
      <c r="E1026" s="237">
        <v>465</v>
      </c>
      <c r="F1026" s="242" t="s">
        <v>27</v>
      </c>
      <c r="G1026" s="239" t="s">
        <v>943</v>
      </c>
      <c r="H1026" s="240">
        <f t="shared" si="15"/>
        <v>26047</v>
      </c>
      <c r="I1026" s="241"/>
    </row>
    <row r="1027" spans="1:9" x14ac:dyDescent="0.25">
      <c r="A1027" s="249">
        <v>45120</v>
      </c>
      <c r="B1027" s="237"/>
      <c r="C1027" s="238"/>
      <c r="D1027" s="239"/>
      <c r="E1027" s="237">
        <v>75</v>
      </c>
      <c r="F1027" s="242" t="s">
        <v>26</v>
      </c>
      <c r="G1027" s="239" t="s">
        <v>930</v>
      </c>
      <c r="H1027" s="240">
        <f t="shared" si="15"/>
        <v>25972</v>
      </c>
      <c r="I1027" s="241"/>
    </row>
    <row r="1028" spans="1:9" x14ac:dyDescent="0.25">
      <c r="A1028" s="249">
        <v>45120</v>
      </c>
      <c r="B1028" s="237"/>
      <c r="C1028" s="238"/>
      <c r="D1028" s="239"/>
      <c r="E1028" s="237">
        <v>1275</v>
      </c>
      <c r="F1028" s="242" t="s">
        <v>946</v>
      </c>
      <c r="G1028" s="239" t="s">
        <v>930</v>
      </c>
      <c r="H1028" s="240">
        <f t="shared" si="15"/>
        <v>24697</v>
      </c>
      <c r="I1028" s="241"/>
    </row>
    <row r="1029" spans="1:9" x14ac:dyDescent="0.25">
      <c r="A1029" s="249">
        <v>45120</v>
      </c>
      <c r="B1029" s="237"/>
      <c r="C1029" s="238"/>
      <c r="D1029" s="239"/>
      <c r="E1029" s="237">
        <v>108</v>
      </c>
      <c r="F1029" s="242" t="s">
        <v>32</v>
      </c>
      <c r="G1029" s="239" t="s">
        <v>930</v>
      </c>
      <c r="H1029" s="240">
        <f t="shared" si="15"/>
        <v>24589</v>
      </c>
      <c r="I1029" s="241"/>
    </row>
    <row r="1030" spans="1:9" x14ac:dyDescent="0.25">
      <c r="A1030" s="249">
        <v>45120</v>
      </c>
      <c r="B1030" s="237"/>
      <c r="C1030" s="238"/>
      <c r="D1030" s="239"/>
      <c r="E1030" s="237">
        <v>90</v>
      </c>
      <c r="F1030" s="242" t="s">
        <v>552</v>
      </c>
      <c r="G1030" s="239" t="s">
        <v>930</v>
      </c>
      <c r="H1030" s="240">
        <f t="shared" ref="H1030:H1093" si="16">H1029+B1030-E1030</f>
        <v>24499</v>
      </c>
      <c r="I1030" s="241"/>
    </row>
    <row r="1031" spans="1:9" x14ac:dyDescent="0.25">
      <c r="A1031" s="249">
        <v>45120</v>
      </c>
      <c r="B1031" s="237"/>
      <c r="C1031" s="238"/>
      <c r="D1031" s="239"/>
      <c r="E1031" s="237">
        <v>115</v>
      </c>
      <c r="F1031" s="242" t="s">
        <v>15</v>
      </c>
      <c r="G1031" s="239" t="s">
        <v>930</v>
      </c>
      <c r="H1031" s="240">
        <f t="shared" si="16"/>
        <v>24384</v>
      </c>
      <c r="I1031" s="241"/>
    </row>
    <row r="1032" spans="1:9" x14ac:dyDescent="0.25">
      <c r="A1032" s="249">
        <v>45120</v>
      </c>
      <c r="B1032" s="237"/>
      <c r="C1032" s="238"/>
      <c r="D1032" s="239"/>
      <c r="E1032" s="237">
        <v>161</v>
      </c>
      <c r="F1032" s="242" t="s">
        <v>86</v>
      </c>
      <c r="G1032" s="239" t="s">
        <v>930</v>
      </c>
      <c r="H1032" s="240">
        <f t="shared" si="16"/>
        <v>24223</v>
      </c>
      <c r="I1032" s="241"/>
    </row>
    <row r="1033" spans="1:9" x14ac:dyDescent="0.25">
      <c r="A1033" s="249">
        <v>45120</v>
      </c>
      <c r="B1033" s="237"/>
      <c r="C1033" s="238"/>
      <c r="D1033" s="239"/>
      <c r="E1033" s="237">
        <v>500</v>
      </c>
      <c r="F1033" s="242" t="s">
        <v>947</v>
      </c>
      <c r="G1033" s="239" t="s">
        <v>464</v>
      </c>
      <c r="H1033" s="240">
        <f t="shared" si="16"/>
        <v>23723</v>
      </c>
      <c r="I1033" s="241"/>
    </row>
    <row r="1034" spans="1:9" x14ac:dyDescent="0.25">
      <c r="A1034" s="249">
        <v>45120</v>
      </c>
      <c r="B1034" s="237"/>
      <c r="C1034" s="238"/>
      <c r="D1034" s="239"/>
      <c r="E1034" s="237">
        <v>20</v>
      </c>
      <c r="F1034" s="242" t="s">
        <v>234</v>
      </c>
      <c r="G1034" s="239" t="s">
        <v>931</v>
      </c>
      <c r="H1034" s="240">
        <f t="shared" si="16"/>
        <v>23703</v>
      </c>
      <c r="I1034" s="241"/>
    </row>
    <row r="1035" spans="1:9" x14ac:dyDescent="0.25">
      <c r="A1035" s="244">
        <v>45120</v>
      </c>
      <c r="B1035" s="245"/>
      <c r="C1035" s="246"/>
      <c r="D1035" s="247"/>
      <c r="E1035" s="245">
        <v>500</v>
      </c>
      <c r="F1035" s="248" t="s">
        <v>50</v>
      </c>
      <c r="G1035" s="247" t="s">
        <v>931</v>
      </c>
      <c r="H1035" s="240">
        <f t="shared" si="16"/>
        <v>23203</v>
      </c>
      <c r="I1035" s="248"/>
    </row>
    <row r="1036" spans="1:9" x14ac:dyDescent="0.25">
      <c r="A1036" s="249">
        <v>45121</v>
      </c>
      <c r="B1036" s="237">
        <v>2120</v>
      </c>
      <c r="C1036" s="238" t="s">
        <v>948</v>
      </c>
      <c r="D1036" s="239" t="s">
        <v>763</v>
      </c>
      <c r="E1036" s="237">
        <v>121</v>
      </c>
      <c r="F1036" s="242" t="s">
        <v>73</v>
      </c>
      <c r="G1036" s="239" t="s">
        <v>945</v>
      </c>
      <c r="H1036" s="240">
        <f t="shared" si="16"/>
        <v>25202</v>
      </c>
      <c r="I1036" s="241"/>
    </row>
    <row r="1037" spans="1:9" x14ac:dyDescent="0.25">
      <c r="A1037" s="249">
        <v>45121</v>
      </c>
      <c r="B1037" s="237">
        <v>2020</v>
      </c>
      <c r="C1037" s="238" t="s">
        <v>27</v>
      </c>
      <c r="D1037" s="239" t="s">
        <v>772</v>
      </c>
      <c r="E1037" s="237">
        <v>400</v>
      </c>
      <c r="F1037" s="242" t="s">
        <v>553</v>
      </c>
      <c r="G1037" s="239" t="s">
        <v>464</v>
      </c>
      <c r="H1037" s="240">
        <f t="shared" si="16"/>
        <v>26822</v>
      </c>
      <c r="I1037" s="241"/>
    </row>
    <row r="1038" spans="1:9" x14ac:dyDescent="0.25">
      <c r="A1038" s="249">
        <v>45121</v>
      </c>
      <c r="B1038" s="237">
        <v>21345</v>
      </c>
      <c r="C1038" s="238" t="s">
        <v>949</v>
      </c>
      <c r="D1038" s="239" t="s">
        <v>763</v>
      </c>
      <c r="E1038" s="237">
        <v>50</v>
      </c>
      <c r="F1038" s="242" t="s">
        <v>951</v>
      </c>
      <c r="G1038" s="239" t="s">
        <v>931</v>
      </c>
      <c r="H1038" s="240">
        <f t="shared" si="16"/>
        <v>48117</v>
      </c>
      <c r="I1038" s="241"/>
    </row>
    <row r="1039" spans="1:9" x14ac:dyDescent="0.25">
      <c r="A1039" s="249">
        <v>45121</v>
      </c>
      <c r="B1039" s="237">
        <v>1684</v>
      </c>
      <c r="C1039" s="238" t="s">
        <v>950</v>
      </c>
      <c r="D1039" s="239" t="s">
        <v>765</v>
      </c>
      <c r="E1039" s="237">
        <v>110</v>
      </c>
      <c r="F1039" s="242" t="s">
        <v>7</v>
      </c>
      <c r="G1039" s="239" t="s">
        <v>930</v>
      </c>
      <c r="H1039" s="240">
        <f t="shared" si="16"/>
        <v>49691</v>
      </c>
      <c r="I1039" s="241"/>
    </row>
    <row r="1040" spans="1:9" x14ac:dyDescent="0.25">
      <c r="A1040" s="249">
        <v>45121</v>
      </c>
      <c r="B1040" s="237">
        <v>11085</v>
      </c>
      <c r="C1040" s="238" t="s">
        <v>363</v>
      </c>
      <c r="D1040" s="239" t="s">
        <v>763</v>
      </c>
      <c r="E1040" s="237">
        <v>750</v>
      </c>
      <c r="F1040" s="242" t="s">
        <v>952</v>
      </c>
      <c r="G1040" s="239" t="s">
        <v>931</v>
      </c>
      <c r="H1040" s="240">
        <f t="shared" si="16"/>
        <v>60026</v>
      </c>
      <c r="I1040" s="241"/>
    </row>
    <row r="1041" spans="1:9" x14ac:dyDescent="0.25">
      <c r="A1041" s="249">
        <v>45121</v>
      </c>
      <c r="B1041" s="237">
        <v>640</v>
      </c>
      <c r="C1041" s="238" t="s">
        <v>913</v>
      </c>
      <c r="D1041" s="239" t="s">
        <v>765</v>
      </c>
      <c r="E1041" s="237">
        <v>1500</v>
      </c>
      <c r="F1041" s="242" t="s">
        <v>953</v>
      </c>
      <c r="G1041" s="239" t="s">
        <v>938</v>
      </c>
      <c r="H1041" s="240">
        <f t="shared" si="16"/>
        <v>59166</v>
      </c>
      <c r="I1041" s="241"/>
    </row>
    <row r="1042" spans="1:9" x14ac:dyDescent="0.25">
      <c r="A1042" s="249">
        <v>45121</v>
      </c>
      <c r="B1042" s="237">
        <v>105</v>
      </c>
      <c r="C1042" s="238" t="s">
        <v>937</v>
      </c>
      <c r="D1042" s="239" t="s">
        <v>937</v>
      </c>
      <c r="E1042" s="237">
        <v>50</v>
      </c>
      <c r="F1042" s="242" t="s">
        <v>33</v>
      </c>
      <c r="G1042" s="239" t="s">
        <v>464</v>
      </c>
      <c r="H1042" s="240">
        <f t="shared" si="16"/>
        <v>59221</v>
      </c>
      <c r="I1042" s="241"/>
    </row>
    <row r="1043" spans="1:9" x14ac:dyDescent="0.25">
      <c r="A1043" s="249">
        <v>45121</v>
      </c>
      <c r="B1043" s="237">
        <v>8042</v>
      </c>
      <c r="C1043" s="238" t="s">
        <v>121</v>
      </c>
      <c r="D1043" s="239" t="s">
        <v>766</v>
      </c>
      <c r="E1043" s="237">
        <v>120</v>
      </c>
      <c r="F1043" s="242" t="s">
        <v>393</v>
      </c>
      <c r="G1043" s="239" t="s">
        <v>930</v>
      </c>
      <c r="H1043" s="240">
        <f t="shared" si="16"/>
        <v>67143</v>
      </c>
      <c r="I1043" s="241"/>
    </row>
    <row r="1044" spans="1:9" x14ac:dyDescent="0.25">
      <c r="A1044" s="249">
        <v>45121</v>
      </c>
      <c r="B1044" s="237">
        <v>17725</v>
      </c>
      <c r="C1044" s="238" t="s">
        <v>88</v>
      </c>
      <c r="D1044" s="239" t="s">
        <v>766</v>
      </c>
      <c r="E1044" s="237">
        <v>10</v>
      </c>
      <c r="F1044" s="242" t="s">
        <v>73</v>
      </c>
      <c r="G1044" s="239" t="s">
        <v>945</v>
      </c>
      <c r="H1044" s="240">
        <f t="shared" si="16"/>
        <v>84858</v>
      </c>
      <c r="I1044" s="241"/>
    </row>
    <row r="1045" spans="1:9" x14ac:dyDescent="0.25">
      <c r="A1045" s="249">
        <v>45121</v>
      </c>
      <c r="B1045" s="237">
        <v>3435</v>
      </c>
      <c r="C1045" s="238" t="s">
        <v>27</v>
      </c>
      <c r="D1045" s="239" t="s">
        <v>772</v>
      </c>
      <c r="E1045" s="237">
        <v>30</v>
      </c>
      <c r="F1045" s="242" t="s">
        <v>373</v>
      </c>
      <c r="G1045" s="239" t="s">
        <v>930</v>
      </c>
      <c r="H1045" s="240">
        <f t="shared" si="16"/>
        <v>88263</v>
      </c>
      <c r="I1045" s="241"/>
    </row>
    <row r="1046" spans="1:9" x14ac:dyDescent="0.25">
      <c r="A1046" s="249">
        <v>45121</v>
      </c>
      <c r="B1046" s="237">
        <v>205</v>
      </c>
      <c r="C1046" s="238" t="s">
        <v>27</v>
      </c>
      <c r="D1046" s="239" t="s">
        <v>772</v>
      </c>
      <c r="E1046" s="237">
        <v>8</v>
      </c>
      <c r="F1046" s="242" t="s">
        <v>954</v>
      </c>
      <c r="G1046" s="239" t="s">
        <v>464</v>
      </c>
      <c r="H1046" s="240">
        <f t="shared" si="16"/>
        <v>88460</v>
      </c>
      <c r="I1046" s="241"/>
    </row>
    <row r="1047" spans="1:9" x14ac:dyDescent="0.25">
      <c r="A1047" s="249">
        <v>45121</v>
      </c>
      <c r="B1047" s="237">
        <v>18795</v>
      </c>
      <c r="C1047" s="238" t="s">
        <v>80</v>
      </c>
      <c r="D1047" s="239" t="s">
        <v>763</v>
      </c>
      <c r="E1047" s="237">
        <v>340</v>
      </c>
      <c r="F1047" s="242" t="s">
        <v>11</v>
      </c>
      <c r="G1047" s="239" t="s">
        <v>935</v>
      </c>
      <c r="H1047" s="240">
        <f t="shared" si="16"/>
        <v>106915</v>
      </c>
      <c r="I1047" s="241"/>
    </row>
    <row r="1048" spans="1:9" x14ac:dyDescent="0.25">
      <c r="A1048" s="249">
        <v>45121</v>
      </c>
      <c r="B1048" s="237">
        <v>1373</v>
      </c>
      <c r="C1048" s="238" t="s">
        <v>979</v>
      </c>
      <c r="D1048" s="239" t="s">
        <v>765</v>
      </c>
      <c r="E1048" s="237">
        <v>130</v>
      </c>
      <c r="F1048" s="242" t="s">
        <v>551</v>
      </c>
      <c r="G1048" s="239" t="s">
        <v>930</v>
      </c>
      <c r="H1048" s="240">
        <f t="shared" si="16"/>
        <v>108158</v>
      </c>
      <c r="I1048" s="241"/>
    </row>
    <row r="1049" spans="1:9" x14ac:dyDescent="0.25">
      <c r="A1049" s="249">
        <v>45121</v>
      </c>
      <c r="B1049" s="237">
        <v>9828</v>
      </c>
      <c r="C1049" s="238" t="s">
        <v>85</v>
      </c>
      <c r="D1049" s="239" t="s">
        <v>766</v>
      </c>
      <c r="E1049" s="237">
        <v>200</v>
      </c>
      <c r="F1049" s="242" t="s">
        <v>955</v>
      </c>
      <c r="G1049" s="239" t="s">
        <v>930</v>
      </c>
      <c r="H1049" s="240">
        <f t="shared" si="16"/>
        <v>117786</v>
      </c>
      <c r="I1049" s="241"/>
    </row>
    <row r="1050" spans="1:9" x14ac:dyDescent="0.25">
      <c r="A1050" s="249">
        <v>45121</v>
      </c>
      <c r="B1050" s="237">
        <v>105</v>
      </c>
      <c r="C1050" s="238" t="s">
        <v>556</v>
      </c>
      <c r="D1050" s="239" t="s">
        <v>772</v>
      </c>
      <c r="E1050" s="237">
        <v>315</v>
      </c>
      <c r="F1050" s="242" t="s">
        <v>956</v>
      </c>
      <c r="G1050" s="239" t="s">
        <v>930</v>
      </c>
      <c r="H1050" s="240">
        <f t="shared" si="16"/>
        <v>117576</v>
      </c>
      <c r="I1050" s="241"/>
    </row>
    <row r="1051" spans="1:9" x14ac:dyDescent="0.25">
      <c r="A1051" s="249">
        <v>45121</v>
      </c>
      <c r="B1051" s="237">
        <v>7906</v>
      </c>
      <c r="C1051" s="238" t="s">
        <v>60</v>
      </c>
      <c r="D1051" s="239" t="s">
        <v>763</v>
      </c>
      <c r="E1051" s="237">
        <v>990</v>
      </c>
      <c r="F1051" s="242" t="s">
        <v>27</v>
      </c>
      <c r="G1051" s="239" t="s">
        <v>943</v>
      </c>
      <c r="H1051" s="240">
        <f t="shared" si="16"/>
        <v>124492</v>
      </c>
      <c r="I1051" s="241"/>
    </row>
    <row r="1052" spans="1:9" x14ac:dyDescent="0.25">
      <c r="A1052" s="249">
        <v>45121</v>
      </c>
      <c r="B1052" s="237">
        <v>16749</v>
      </c>
      <c r="C1052" s="238" t="s">
        <v>15</v>
      </c>
      <c r="D1052" s="239" t="s">
        <v>763</v>
      </c>
      <c r="E1052" s="237">
        <v>10</v>
      </c>
      <c r="F1052" s="242" t="s">
        <v>957</v>
      </c>
      <c r="G1052" s="239" t="s">
        <v>943</v>
      </c>
      <c r="H1052" s="240">
        <f t="shared" si="16"/>
        <v>141231</v>
      </c>
      <c r="I1052" s="241"/>
    </row>
    <row r="1053" spans="1:9" x14ac:dyDescent="0.25">
      <c r="A1053" s="249">
        <v>45121</v>
      </c>
      <c r="B1053" s="237">
        <f>400+400</f>
        <v>800</v>
      </c>
      <c r="C1053" s="238" t="s">
        <v>60</v>
      </c>
      <c r="D1053" s="239" t="s">
        <v>763</v>
      </c>
      <c r="E1053" s="237">
        <v>1520</v>
      </c>
      <c r="F1053" s="242" t="s">
        <v>12</v>
      </c>
      <c r="G1053" s="239" t="s">
        <v>974</v>
      </c>
      <c r="H1053" s="240">
        <f t="shared" si="16"/>
        <v>140511</v>
      </c>
      <c r="I1053" s="241"/>
    </row>
    <row r="1054" spans="1:9" x14ac:dyDescent="0.25">
      <c r="A1054" s="249">
        <v>45121</v>
      </c>
      <c r="B1054" s="237"/>
      <c r="C1054" s="238"/>
      <c r="D1054" s="239"/>
      <c r="E1054" s="237">
        <v>200</v>
      </c>
      <c r="F1054" s="242" t="s">
        <v>27</v>
      </c>
      <c r="G1054" s="239" t="s">
        <v>943</v>
      </c>
      <c r="H1054" s="297">
        <f t="shared" si="16"/>
        <v>140311</v>
      </c>
      <c r="I1054" s="241"/>
    </row>
    <row r="1055" spans="1:9" x14ac:dyDescent="0.25">
      <c r="A1055" s="249">
        <v>45121</v>
      </c>
      <c r="B1055" s="237"/>
      <c r="C1055" s="238"/>
      <c r="D1055" s="239"/>
      <c r="E1055" s="237">
        <v>25</v>
      </c>
      <c r="F1055" s="242" t="s">
        <v>964</v>
      </c>
      <c r="G1055" s="239" t="s">
        <v>930</v>
      </c>
      <c r="H1055" s="240">
        <f t="shared" si="16"/>
        <v>140286</v>
      </c>
      <c r="I1055" s="269" t="s">
        <v>965</v>
      </c>
    </row>
    <row r="1056" spans="1:9" x14ac:dyDescent="0.25">
      <c r="A1056" s="249">
        <v>45121</v>
      </c>
      <c r="B1056" s="237"/>
      <c r="C1056" s="238"/>
      <c r="D1056" s="239"/>
      <c r="E1056" s="237">
        <v>50</v>
      </c>
      <c r="F1056" s="242" t="s">
        <v>966</v>
      </c>
      <c r="G1056" s="239" t="s">
        <v>930</v>
      </c>
      <c r="H1056" s="240">
        <f t="shared" si="16"/>
        <v>140236</v>
      </c>
      <c r="I1056" s="241"/>
    </row>
    <row r="1057" spans="1:9" x14ac:dyDescent="0.25">
      <c r="A1057" s="249">
        <v>45121</v>
      </c>
      <c r="B1057" s="237"/>
      <c r="C1057" s="238"/>
      <c r="D1057" s="239"/>
      <c r="E1057" s="237">
        <v>9500</v>
      </c>
      <c r="F1057" s="242" t="s">
        <v>665</v>
      </c>
      <c r="G1057" s="239" t="s">
        <v>928</v>
      </c>
      <c r="H1057" s="240">
        <f t="shared" si="16"/>
        <v>130736</v>
      </c>
      <c r="I1057" s="241" t="s">
        <v>968</v>
      </c>
    </row>
    <row r="1058" spans="1:9" x14ac:dyDescent="0.25">
      <c r="A1058" s="249">
        <v>45121</v>
      </c>
      <c r="B1058" s="237"/>
      <c r="C1058" s="238"/>
      <c r="D1058" s="239"/>
      <c r="E1058" s="237">
        <v>12</v>
      </c>
      <c r="F1058" s="242" t="s">
        <v>969</v>
      </c>
      <c r="G1058" s="239" t="s">
        <v>945</v>
      </c>
      <c r="H1058" s="240">
        <f t="shared" si="16"/>
        <v>130724</v>
      </c>
      <c r="I1058" s="241"/>
    </row>
    <row r="1059" spans="1:9" x14ac:dyDescent="0.25">
      <c r="A1059" s="249">
        <v>45121</v>
      </c>
      <c r="B1059" s="237"/>
      <c r="C1059" s="238"/>
      <c r="D1059" s="239"/>
      <c r="E1059" s="237">
        <v>85</v>
      </c>
      <c r="F1059" s="242" t="s">
        <v>970</v>
      </c>
      <c r="G1059" s="239" t="s">
        <v>930</v>
      </c>
      <c r="H1059" s="240">
        <f t="shared" si="16"/>
        <v>130639</v>
      </c>
      <c r="I1059" s="241"/>
    </row>
    <row r="1060" spans="1:9" x14ac:dyDescent="0.25">
      <c r="A1060" s="249">
        <v>45121</v>
      </c>
      <c r="B1060" s="237"/>
      <c r="C1060" s="238"/>
      <c r="D1060" s="239"/>
      <c r="E1060" s="237">
        <v>262</v>
      </c>
      <c r="F1060" s="242" t="s">
        <v>255</v>
      </c>
      <c r="G1060" s="239" t="s">
        <v>930</v>
      </c>
      <c r="H1060" s="240">
        <f t="shared" si="16"/>
        <v>130377</v>
      </c>
      <c r="I1060" s="241"/>
    </row>
    <row r="1061" spans="1:9" x14ac:dyDescent="0.25">
      <c r="A1061" s="249">
        <v>45121</v>
      </c>
      <c r="B1061" s="237"/>
      <c r="C1061" s="238"/>
      <c r="D1061" s="239"/>
      <c r="E1061" s="237">
        <v>1500</v>
      </c>
      <c r="F1061" s="242" t="s">
        <v>255</v>
      </c>
      <c r="G1061" s="239" t="s">
        <v>931</v>
      </c>
      <c r="H1061" s="240">
        <f t="shared" si="16"/>
        <v>128877</v>
      </c>
      <c r="I1061" s="241"/>
    </row>
    <row r="1062" spans="1:9" x14ac:dyDescent="0.25">
      <c r="A1062" s="249">
        <v>45121</v>
      </c>
      <c r="B1062" s="237"/>
      <c r="C1062" s="238"/>
      <c r="D1062" s="239"/>
      <c r="E1062" s="237">
        <v>95</v>
      </c>
      <c r="F1062" s="242" t="s">
        <v>9</v>
      </c>
      <c r="G1062" s="239" t="s">
        <v>930</v>
      </c>
      <c r="H1062" s="240">
        <f t="shared" si="16"/>
        <v>128782</v>
      </c>
      <c r="I1062" s="241"/>
    </row>
    <row r="1063" spans="1:9" x14ac:dyDescent="0.25">
      <c r="A1063" s="249">
        <v>45121</v>
      </c>
      <c r="B1063" s="237"/>
      <c r="C1063" s="238"/>
      <c r="D1063" s="239"/>
      <c r="E1063" s="237">
        <v>120</v>
      </c>
      <c r="F1063" s="242" t="s">
        <v>341</v>
      </c>
      <c r="G1063" s="239" t="s">
        <v>930</v>
      </c>
      <c r="H1063" s="240">
        <f t="shared" si="16"/>
        <v>128662</v>
      </c>
      <c r="I1063" s="241"/>
    </row>
    <row r="1064" spans="1:9" x14ac:dyDescent="0.25">
      <c r="A1064" s="249">
        <v>45121</v>
      </c>
      <c r="B1064" s="237"/>
      <c r="C1064" s="238"/>
      <c r="D1064" s="239"/>
      <c r="E1064" s="237">
        <v>290</v>
      </c>
      <c r="F1064" s="242" t="s">
        <v>744</v>
      </c>
      <c r="G1064" s="239" t="s">
        <v>930</v>
      </c>
      <c r="H1064" s="240">
        <f t="shared" si="16"/>
        <v>128372</v>
      </c>
      <c r="I1064" s="241"/>
    </row>
    <row r="1065" spans="1:9" x14ac:dyDescent="0.25">
      <c r="A1065" s="249">
        <v>45121</v>
      </c>
      <c r="B1065" s="237"/>
      <c r="C1065" s="238"/>
      <c r="D1065" s="239"/>
      <c r="E1065" s="237">
        <v>2600</v>
      </c>
      <c r="F1065" s="242" t="s">
        <v>971</v>
      </c>
      <c r="G1065" s="239" t="s">
        <v>928</v>
      </c>
      <c r="H1065" s="240">
        <f t="shared" si="16"/>
        <v>125772</v>
      </c>
      <c r="I1065" s="241"/>
    </row>
    <row r="1066" spans="1:9" x14ac:dyDescent="0.25">
      <c r="A1066" s="249">
        <v>45121</v>
      </c>
      <c r="B1066" s="237"/>
      <c r="C1066" s="238"/>
      <c r="D1066" s="239"/>
      <c r="E1066" s="237">
        <v>140</v>
      </c>
      <c r="F1066" s="242" t="s">
        <v>39</v>
      </c>
      <c r="G1066" s="239" t="s">
        <v>930</v>
      </c>
      <c r="H1066" s="240">
        <f t="shared" si="16"/>
        <v>125632</v>
      </c>
      <c r="I1066" s="241"/>
    </row>
    <row r="1067" spans="1:9" x14ac:dyDescent="0.25">
      <c r="A1067" s="249">
        <v>45121</v>
      </c>
      <c r="B1067" s="237"/>
      <c r="C1067" s="238"/>
      <c r="D1067" s="239"/>
      <c r="E1067" s="237">
        <v>120</v>
      </c>
      <c r="F1067" s="242" t="s">
        <v>34</v>
      </c>
      <c r="G1067" s="239" t="s">
        <v>935</v>
      </c>
      <c r="H1067" s="240">
        <f t="shared" si="16"/>
        <v>125512</v>
      </c>
      <c r="I1067" s="241"/>
    </row>
    <row r="1068" spans="1:9" x14ac:dyDescent="0.25">
      <c r="A1068" s="249">
        <v>45121</v>
      </c>
      <c r="B1068" s="237"/>
      <c r="C1068" s="238"/>
      <c r="D1068" s="239"/>
      <c r="E1068" s="237">
        <v>2345</v>
      </c>
      <c r="F1068" s="242" t="s">
        <v>972</v>
      </c>
      <c r="G1068" s="239" t="s">
        <v>929</v>
      </c>
      <c r="H1068" s="240">
        <f t="shared" si="16"/>
        <v>123167</v>
      </c>
      <c r="I1068" s="241"/>
    </row>
    <row r="1069" spans="1:9" x14ac:dyDescent="0.25">
      <c r="A1069" s="249">
        <v>45121</v>
      </c>
      <c r="B1069" s="237"/>
      <c r="C1069" s="238"/>
      <c r="D1069" s="239"/>
      <c r="E1069" s="237">
        <v>2180</v>
      </c>
      <c r="F1069" s="242" t="s">
        <v>12</v>
      </c>
      <c r="G1069" s="239" t="s">
        <v>974</v>
      </c>
      <c r="H1069" s="240">
        <f t="shared" si="16"/>
        <v>120987</v>
      </c>
      <c r="I1069" s="241"/>
    </row>
    <row r="1070" spans="1:9" x14ac:dyDescent="0.25">
      <c r="A1070" s="249">
        <v>45121</v>
      </c>
      <c r="B1070" s="237"/>
      <c r="C1070" s="238"/>
      <c r="D1070" s="239"/>
      <c r="E1070" s="237">
        <v>90</v>
      </c>
      <c r="F1070" s="242" t="s">
        <v>973</v>
      </c>
      <c r="G1070" s="239" t="s">
        <v>938</v>
      </c>
      <c r="H1070" s="240">
        <f t="shared" si="16"/>
        <v>120897</v>
      </c>
      <c r="I1070" s="241"/>
    </row>
    <row r="1071" spans="1:9" x14ac:dyDescent="0.25">
      <c r="A1071" s="249">
        <v>45121</v>
      </c>
      <c r="B1071" s="237"/>
      <c r="C1071" s="238"/>
      <c r="D1071" s="239"/>
      <c r="E1071" s="237">
        <v>305</v>
      </c>
      <c r="F1071" s="242" t="s">
        <v>27</v>
      </c>
      <c r="G1071" s="239" t="s">
        <v>943</v>
      </c>
      <c r="H1071" s="240">
        <f t="shared" si="16"/>
        <v>120592</v>
      </c>
      <c r="I1071" s="241"/>
    </row>
    <row r="1072" spans="1:9" x14ac:dyDescent="0.25">
      <c r="A1072" s="249">
        <v>45121</v>
      </c>
      <c r="B1072" s="237"/>
      <c r="C1072" s="238"/>
      <c r="D1072" s="239"/>
      <c r="E1072" s="237">
        <v>3000</v>
      </c>
      <c r="F1072" s="242" t="s">
        <v>1050</v>
      </c>
      <c r="G1072" s="239" t="s">
        <v>930</v>
      </c>
      <c r="H1072" s="240">
        <f t="shared" si="16"/>
        <v>117592</v>
      </c>
      <c r="I1072" s="241"/>
    </row>
    <row r="1073" spans="1:9" x14ac:dyDescent="0.25">
      <c r="A1073" s="249">
        <v>45121</v>
      </c>
      <c r="B1073" s="237"/>
      <c r="C1073" s="238"/>
      <c r="D1073" s="239"/>
      <c r="E1073" s="237">
        <v>5800</v>
      </c>
      <c r="F1073" s="242" t="s">
        <v>975</v>
      </c>
      <c r="G1073" s="239" t="s">
        <v>928</v>
      </c>
      <c r="H1073" s="240">
        <f t="shared" si="16"/>
        <v>111792</v>
      </c>
      <c r="I1073" s="241" t="s">
        <v>796</v>
      </c>
    </row>
    <row r="1074" spans="1:9" x14ac:dyDescent="0.25">
      <c r="A1074" s="249">
        <v>45121</v>
      </c>
      <c r="B1074" s="237"/>
      <c r="C1074" s="238"/>
      <c r="D1074" s="239"/>
      <c r="E1074" s="237">
        <v>10000</v>
      </c>
      <c r="F1074" s="242" t="s">
        <v>543</v>
      </c>
      <c r="G1074" s="239" t="s">
        <v>928</v>
      </c>
      <c r="H1074" s="240">
        <f t="shared" si="16"/>
        <v>101792</v>
      </c>
      <c r="I1074" s="241" t="s">
        <v>796</v>
      </c>
    </row>
    <row r="1075" spans="1:9" x14ac:dyDescent="0.25">
      <c r="A1075" s="249">
        <v>45121</v>
      </c>
      <c r="B1075" s="237"/>
      <c r="C1075" s="238"/>
      <c r="D1075" s="239"/>
      <c r="E1075" s="237">
        <f>10*115+140+165-20</f>
        <v>1435</v>
      </c>
      <c r="F1075" s="242" t="s">
        <v>14</v>
      </c>
      <c r="G1075" s="239" t="s">
        <v>935</v>
      </c>
      <c r="H1075" s="240">
        <f t="shared" si="16"/>
        <v>100357</v>
      </c>
      <c r="I1075" s="241"/>
    </row>
    <row r="1076" spans="1:9" x14ac:dyDescent="0.25">
      <c r="A1076" s="249">
        <v>45121</v>
      </c>
      <c r="B1076" s="237"/>
      <c r="C1076" s="238"/>
      <c r="D1076" s="239"/>
      <c r="E1076" s="237">
        <v>550</v>
      </c>
      <c r="F1076" s="242" t="s">
        <v>41</v>
      </c>
      <c r="G1076" s="239" t="s">
        <v>931</v>
      </c>
      <c r="H1076" s="240">
        <f t="shared" si="16"/>
        <v>99807</v>
      </c>
      <c r="I1076" s="241"/>
    </row>
    <row r="1077" spans="1:9" x14ac:dyDescent="0.25">
      <c r="A1077" s="249">
        <v>45121</v>
      </c>
      <c r="B1077" s="237"/>
      <c r="C1077" s="238"/>
      <c r="D1077" s="239"/>
      <c r="E1077" s="237">
        <v>235</v>
      </c>
      <c r="F1077" s="242" t="s">
        <v>978</v>
      </c>
      <c r="G1077" s="239" t="s">
        <v>930</v>
      </c>
      <c r="H1077" s="240">
        <f t="shared" si="16"/>
        <v>99572</v>
      </c>
      <c r="I1077" s="241"/>
    </row>
    <row r="1078" spans="1:9" x14ac:dyDescent="0.25">
      <c r="A1078" s="249">
        <v>45121</v>
      </c>
      <c r="B1078" s="237"/>
      <c r="C1078" s="238"/>
      <c r="D1078" s="239"/>
      <c r="E1078" s="237">
        <v>28</v>
      </c>
      <c r="F1078" s="242" t="s">
        <v>451</v>
      </c>
      <c r="G1078" s="239" t="s">
        <v>931</v>
      </c>
      <c r="H1078" s="240">
        <f t="shared" si="16"/>
        <v>99544</v>
      </c>
      <c r="I1078" s="241"/>
    </row>
    <row r="1079" spans="1:9" x14ac:dyDescent="0.25">
      <c r="A1079" s="249">
        <v>45121</v>
      </c>
      <c r="B1079" s="237"/>
      <c r="C1079" s="238"/>
      <c r="D1079" s="239"/>
      <c r="E1079" s="237">
        <v>5000</v>
      </c>
      <c r="F1079" s="242" t="s">
        <v>980</v>
      </c>
      <c r="G1079" s="239" t="s">
        <v>464</v>
      </c>
      <c r="H1079" s="240">
        <f t="shared" si="16"/>
        <v>94544</v>
      </c>
      <c r="I1079" s="241"/>
    </row>
    <row r="1080" spans="1:9" x14ac:dyDescent="0.25">
      <c r="A1080" s="249">
        <v>45121</v>
      </c>
      <c r="B1080" s="237"/>
      <c r="C1080" s="238"/>
      <c r="D1080" s="239"/>
      <c r="E1080" s="237">
        <v>300</v>
      </c>
      <c r="F1080" s="242" t="s">
        <v>50</v>
      </c>
      <c r="G1080" s="239" t="s">
        <v>931</v>
      </c>
      <c r="H1080" s="240">
        <f t="shared" si="16"/>
        <v>94244</v>
      </c>
      <c r="I1080" s="241"/>
    </row>
    <row r="1081" spans="1:9" x14ac:dyDescent="0.25">
      <c r="A1081" s="249">
        <v>45121</v>
      </c>
      <c r="B1081" s="237"/>
      <c r="C1081" s="238"/>
      <c r="D1081" s="239"/>
      <c r="E1081" s="237">
        <v>170</v>
      </c>
      <c r="F1081" s="242" t="s">
        <v>86</v>
      </c>
      <c r="G1081" s="239" t="s">
        <v>930</v>
      </c>
      <c r="H1081" s="240">
        <f t="shared" si="16"/>
        <v>94074</v>
      </c>
      <c r="I1081" s="241"/>
    </row>
    <row r="1082" spans="1:9" x14ac:dyDescent="0.25">
      <c r="A1082" s="249">
        <v>45121</v>
      </c>
      <c r="B1082" s="237"/>
      <c r="C1082" s="238" t="s">
        <v>591</v>
      </c>
      <c r="D1082" s="239"/>
      <c r="E1082" s="237">
        <v>145</v>
      </c>
      <c r="F1082" s="242" t="s">
        <v>498</v>
      </c>
      <c r="G1082" s="239" t="s">
        <v>930</v>
      </c>
      <c r="H1082" s="240">
        <f t="shared" si="16"/>
        <v>93929</v>
      </c>
      <c r="I1082" s="241"/>
    </row>
    <row r="1083" spans="1:9" x14ac:dyDescent="0.25">
      <c r="A1083" s="249">
        <v>45121</v>
      </c>
      <c r="B1083" s="237"/>
      <c r="C1083" s="238"/>
      <c r="D1083" s="239"/>
      <c r="E1083" s="237">
        <v>165</v>
      </c>
      <c r="F1083" s="242" t="s">
        <v>15</v>
      </c>
      <c r="G1083" s="239" t="s">
        <v>930</v>
      </c>
      <c r="H1083" s="240">
        <f t="shared" si="16"/>
        <v>93764</v>
      </c>
      <c r="I1083" s="241"/>
    </row>
    <row r="1084" spans="1:9" x14ac:dyDescent="0.25">
      <c r="A1084" s="249">
        <v>45121</v>
      </c>
      <c r="B1084" s="237"/>
      <c r="C1084" s="238"/>
      <c r="D1084" s="239"/>
      <c r="E1084" s="237">
        <v>80</v>
      </c>
      <c r="F1084" s="242" t="s">
        <v>552</v>
      </c>
      <c r="G1084" s="239" t="s">
        <v>930</v>
      </c>
      <c r="H1084" s="240">
        <f t="shared" si="16"/>
        <v>93684</v>
      </c>
      <c r="I1084" s="241"/>
    </row>
    <row r="1085" spans="1:9" x14ac:dyDescent="0.25">
      <c r="A1085" s="249">
        <v>45121</v>
      </c>
      <c r="B1085" s="237"/>
      <c r="C1085" s="238"/>
      <c r="D1085" s="239"/>
      <c r="E1085" s="237">
        <v>90</v>
      </c>
      <c r="F1085" s="242" t="s">
        <v>32</v>
      </c>
      <c r="G1085" s="239" t="s">
        <v>930</v>
      </c>
      <c r="H1085" s="240">
        <f t="shared" si="16"/>
        <v>93594</v>
      </c>
      <c r="I1085" s="241"/>
    </row>
    <row r="1086" spans="1:9" x14ac:dyDescent="0.25">
      <c r="A1086" s="249">
        <v>45121</v>
      </c>
      <c r="B1086" s="237"/>
      <c r="C1086" s="238"/>
      <c r="D1086" s="239"/>
      <c r="E1086" s="237">
        <v>100</v>
      </c>
      <c r="F1086" s="242" t="s">
        <v>510</v>
      </c>
      <c r="G1086" s="239" t="s">
        <v>930</v>
      </c>
      <c r="H1086" s="240">
        <f t="shared" si="16"/>
        <v>93494</v>
      </c>
      <c r="I1086" s="241"/>
    </row>
    <row r="1087" spans="1:9" x14ac:dyDescent="0.25">
      <c r="A1087" s="249">
        <v>45121</v>
      </c>
      <c r="B1087" s="237"/>
      <c r="C1087" s="238"/>
      <c r="D1087" s="239"/>
      <c r="E1087" s="237">
        <v>125</v>
      </c>
      <c r="F1087" s="242" t="s">
        <v>31</v>
      </c>
      <c r="G1087" s="239" t="s">
        <v>931</v>
      </c>
      <c r="H1087" s="240">
        <f t="shared" si="16"/>
        <v>93369</v>
      </c>
      <c r="I1087" s="241"/>
    </row>
    <row r="1088" spans="1:9" x14ac:dyDescent="0.25">
      <c r="A1088" s="249">
        <v>45121</v>
      </c>
      <c r="B1088" s="237"/>
      <c r="C1088" s="238"/>
      <c r="D1088" s="239"/>
      <c r="E1088" s="237">
        <v>43</v>
      </c>
      <c r="F1088" s="242" t="s">
        <v>954</v>
      </c>
      <c r="G1088" s="239" t="s">
        <v>464</v>
      </c>
      <c r="H1088" s="240">
        <f t="shared" si="16"/>
        <v>93326</v>
      </c>
      <c r="I1088" s="241"/>
    </row>
    <row r="1089" spans="1:11" x14ac:dyDescent="0.25">
      <c r="A1089" s="249">
        <v>45121</v>
      </c>
      <c r="B1089" s="237"/>
      <c r="C1089" s="238"/>
      <c r="D1089" s="239"/>
      <c r="E1089" s="237">
        <v>114</v>
      </c>
      <c r="F1089" s="242" t="s">
        <v>458</v>
      </c>
      <c r="G1089" s="239" t="s">
        <v>464</v>
      </c>
      <c r="H1089" s="240">
        <f t="shared" si="16"/>
        <v>93212</v>
      </c>
      <c r="I1089" s="241"/>
    </row>
    <row r="1090" spans="1:11" x14ac:dyDescent="0.25">
      <c r="A1090" s="249">
        <v>45121</v>
      </c>
      <c r="B1090" s="237"/>
      <c r="C1090" s="238"/>
      <c r="D1090" s="239"/>
      <c r="E1090" s="237">
        <v>150</v>
      </c>
      <c r="F1090" s="242" t="s">
        <v>708</v>
      </c>
      <c r="G1090" s="239" t="s">
        <v>930</v>
      </c>
      <c r="H1090" s="240">
        <f t="shared" si="16"/>
        <v>93062</v>
      </c>
      <c r="I1090" s="241"/>
    </row>
    <row r="1091" spans="1:11" x14ac:dyDescent="0.25">
      <c r="A1091" s="249">
        <v>45121</v>
      </c>
      <c r="B1091" s="237"/>
      <c r="C1091" s="238"/>
      <c r="D1091" s="239"/>
      <c r="E1091" s="237">
        <v>90</v>
      </c>
      <c r="F1091" s="242" t="s">
        <v>339</v>
      </c>
      <c r="G1091" s="239" t="s">
        <v>928</v>
      </c>
      <c r="H1091" s="240">
        <f t="shared" si="16"/>
        <v>92972</v>
      </c>
      <c r="I1091" s="241"/>
    </row>
    <row r="1092" spans="1:11" x14ac:dyDescent="0.25">
      <c r="A1092" s="249">
        <v>45121</v>
      </c>
      <c r="B1092" s="237"/>
      <c r="C1092" s="238"/>
      <c r="D1092" s="239"/>
      <c r="E1092" s="237">
        <v>45</v>
      </c>
      <c r="F1092" s="242" t="s">
        <v>494</v>
      </c>
      <c r="G1092" s="239" t="s">
        <v>930</v>
      </c>
      <c r="H1092" s="240">
        <f t="shared" si="16"/>
        <v>92927</v>
      </c>
      <c r="I1092" s="241"/>
    </row>
    <row r="1093" spans="1:11" x14ac:dyDescent="0.25">
      <c r="A1093" s="249">
        <v>45121</v>
      </c>
      <c r="B1093" s="237"/>
      <c r="C1093" s="238"/>
      <c r="D1093" s="239"/>
      <c r="E1093" s="237">
        <v>195</v>
      </c>
      <c r="F1093" s="242" t="s">
        <v>27</v>
      </c>
      <c r="G1093" s="239" t="s">
        <v>943</v>
      </c>
      <c r="H1093" s="240">
        <f t="shared" si="16"/>
        <v>92732</v>
      </c>
      <c r="I1093" s="241"/>
    </row>
    <row r="1094" spans="1:11" x14ac:dyDescent="0.25">
      <c r="A1094" s="249">
        <v>45121</v>
      </c>
      <c r="B1094" s="237"/>
      <c r="C1094" s="238"/>
      <c r="D1094" s="239"/>
      <c r="E1094" s="309">
        <v>28</v>
      </c>
      <c r="F1094" s="243" t="s">
        <v>981</v>
      </c>
      <c r="G1094" s="316" t="s">
        <v>464</v>
      </c>
      <c r="H1094" s="240">
        <f t="shared" ref="H1094:H1157" si="17">H1093+B1094-E1094</f>
        <v>92704</v>
      </c>
      <c r="I1094" s="241"/>
    </row>
    <row r="1095" spans="1:11" x14ac:dyDescent="0.25">
      <c r="A1095" s="249">
        <v>45121</v>
      </c>
      <c r="B1095" s="237"/>
      <c r="C1095" s="238"/>
      <c r="D1095" s="239"/>
      <c r="E1095" s="237">
        <v>15</v>
      </c>
      <c r="F1095" s="242" t="s">
        <v>982</v>
      </c>
      <c r="G1095" s="239" t="s">
        <v>464</v>
      </c>
      <c r="H1095" s="240">
        <f t="shared" si="17"/>
        <v>92689</v>
      </c>
      <c r="I1095" s="241"/>
    </row>
    <row r="1096" spans="1:11" s="306" customFormat="1" x14ac:dyDescent="0.25">
      <c r="A1096" s="299">
        <v>45121</v>
      </c>
      <c r="B1096" s="300"/>
      <c r="C1096" s="301"/>
      <c r="D1096" s="302"/>
      <c r="E1096" s="300">
        <v>250</v>
      </c>
      <c r="F1096" s="303" t="s">
        <v>983</v>
      </c>
      <c r="G1096" s="302" t="s">
        <v>938</v>
      </c>
      <c r="H1096" s="240">
        <f t="shared" si="17"/>
        <v>92439</v>
      </c>
      <c r="I1096" s="304"/>
      <c r="J1096" s="305"/>
      <c r="K1096" s="305"/>
    </row>
    <row r="1097" spans="1:11" x14ac:dyDescent="0.25">
      <c r="A1097" s="249">
        <v>45122</v>
      </c>
      <c r="B1097" s="310">
        <v>400</v>
      </c>
      <c r="C1097" s="312" t="s">
        <v>27</v>
      </c>
      <c r="D1097" s="239" t="s">
        <v>772</v>
      </c>
      <c r="E1097" s="237">
        <v>5540</v>
      </c>
      <c r="F1097" s="242" t="s">
        <v>68</v>
      </c>
      <c r="G1097" s="239" t="s">
        <v>928</v>
      </c>
      <c r="H1097" s="240">
        <f t="shared" si="17"/>
        <v>87299</v>
      </c>
      <c r="I1097" s="241" t="s">
        <v>796</v>
      </c>
    </row>
    <row r="1098" spans="1:11" x14ac:dyDescent="0.25">
      <c r="A1098" s="249">
        <v>45122</v>
      </c>
      <c r="B1098" s="310">
        <v>1010</v>
      </c>
      <c r="C1098" s="312" t="s">
        <v>27</v>
      </c>
      <c r="D1098" s="239" t="s">
        <v>772</v>
      </c>
      <c r="E1098" s="310">
        <v>90</v>
      </c>
      <c r="F1098" s="311" t="s">
        <v>27</v>
      </c>
      <c r="G1098" s="239" t="s">
        <v>943</v>
      </c>
      <c r="H1098" s="240">
        <f t="shared" si="17"/>
        <v>88219</v>
      </c>
      <c r="I1098" s="241"/>
    </row>
    <row r="1099" spans="1:11" x14ac:dyDescent="0.25">
      <c r="A1099" s="249">
        <v>45122</v>
      </c>
      <c r="B1099" s="237">
        <v>1030</v>
      </c>
      <c r="C1099" s="238" t="s">
        <v>989</v>
      </c>
      <c r="D1099" s="239" t="s">
        <v>765</v>
      </c>
      <c r="E1099" s="237">
        <v>500</v>
      </c>
      <c r="F1099" s="242" t="s">
        <v>984</v>
      </c>
      <c r="G1099" s="239" t="s">
        <v>464</v>
      </c>
      <c r="H1099" s="240">
        <f t="shared" si="17"/>
        <v>88749</v>
      </c>
      <c r="I1099" s="241"/>
    </row>
    <row r="1100" spans="1:11" x14ac:dyDescent="0.25">
      <c r="A1100" s="249">
        <v>45122</v>
      </c>
      <c r="B1100" s="237">
        <v>15089</v>
      </c>
      <c r="C1100" s="238" t="s">
        <v>300</v>
      </c>
      <c r="D1100" s="239" t="s">
        <v>763</v>
      </c>
      <c r="E1100" s="237">
        <v>20</v>
      </c>
      <c r="F1100" s="242" t="s">
        <v>471</v>
      </c>
      <c r="G1100" s="239" t="s">
        <v>464</v>
      </c>
      <c r="H1100" s="240">
        <f t="shared" si="17"/>
        <v>103818</v>
      </c>
      <c r="I1100" s="241"/>
    </row>
    <row r="1101" spans="1:11" x14ac:dyDescent="0.25">
      <c r="A1101" s="249">
        <v>45122</v>
      </c>
      <c r="B1101" s="237">
        <v>12320</v>
      </c>
      <c r="C1101" s="238" t="s">
        <v>80</v>
      </c>
      <c r="D1101" s="239" t="s">
        <v>763</v>
      </c>
      <c r="E1101" s="237">
        <v>400</v>
      </c>
      <c r="F1101" s="242" t="s">
        <v>985</v>
      </c>
      <c r="G1101" s="239" t="s">
        <v>464</v>
      </c>
      <c r="H1101" s="240">
        <f t="shared" si="17"/>
        <v>115738</v>
      </c>
      <c r="I1101" s="241"/>
    </row>
    <row r="1102" spans="1:11" x14ac:dyDescent="0.25">
      <c r="A1102" s="249">
        <v>45122</v>
      </c>
      <c r="B1102" s="237">
        <v>2027</v>
      </c>
      <c r="C1102" s="238" t="s">
        <v>988</v>
      </c>
      <c r="D1102" s="239" t="s">
        <v>765</v>
      </c>
      <c r="E1102" s="237">
        <v>215</v>
      </c>
      <c r="F1102" s="242" t="s">
        <v>7</v>
      </c>
      <c r="G1102" s="239" t="s">
        <v>930</v>
      </c>
      <c r="H1102" s="240">
        <f t="shared" si="17"/>
        <v>117550</v>
      </c>
      <c r="I1102" s="241"/>
    </row>
    <row r="1103" spans="1:11" x14ac:dyDescent="0.25">
      <c r="A1103" s="249">
        <v>45122</v>
      </c>
      <c r="B1103" s="310">
        <v>755</v>
      </c>
      <c r="C1103" s="312" t="s">
        <v>27</v>
      </c>
      <c r="D1103" s="239" t="s">
        <v>772</v>
      </c>
      <c r="E1103" s="237">
        <v>150</v>
      </c>
      <c r="F1103" s="242" t="s">
        <v>373</v>
      </c>
      <c r="G1103" s="239" t="s">
        <v>930</v>
      </c>
      <c r="H1103" s="240">
        <f t="shared" si="17"/>
        <v>118155</v>
      </c>
      <c r="I1103" s="241"/>
    </row>
    <row r="1104" spans="1:11" x14ac:dyDescent="0.25">
      <c r="A1104" s="249">
        <v>45122</v>
      </c>
      <c r="B1104" s="237">
        <v>18942</v>
      </c>
      <c r="C1104" s="238" t="s">
        <v>363</v>
      </c>
      <c r="D1104" s="239" t="s">
        <v>763</v>
      </c>
      <c r="E1104" s="237">
        <v>15</v>
      </c>
      <c r="F1104" s="242" t="s">
        <v>33</v>
      </c>
      <c r="G1104" s="239" t="s">
        <v>464</v>
      </c>
      <c r="H1104" s="240">
        <f t="shared" si="17"/>
        <v>137082</v>
      </c>
      <c r="I1104" s="241"/>
    </row>
    <row r="1105" spans="1:9" x14ac:dyDescent="0.25">
      <c r="A1105" s="249">
        <v>45122</v>
      </c>
      <c r="B1105" s="237">
        <v>915</v>
      </c>
      <c r="C1105" s="238" t="s">
        <v>1012</v>
      </c>
      <c r="D1105" s="239" t="s">
        <v>765</v>
      </c>
      <c r="E1105" s="237">
        <v>177</v>
      </c>
      <c r="F1105" s="242" t="s">
        <v>357</v>
      </c>
      <c r="G1105" s="239" t="s">
        <v>931</v>
      </c>
      <c r="H1105" s="240">
        <f t="shared" si="17"/>
        <v>137820</v>
      </c>
      <c r="I1105" s="241"/>
    </row>
    <row r="1106" spans="1:9" x14ac:dyDescent="0.25">
      <c r="A1106" s="249">
        <v>45122</v>
      </c>
      <c r="B1106" s="237">
        <v>8066</v>
      </c>
      <c r="C1106" s="238" t="s">
        <v>121</v>
      </c>
      <c r="D1106" s="239" t="s">
        <v>766</v>
      </c>
      <c r="E1106" s="237">
        <v>1285</v>
      </c>
      <c r="F1106" s="242" t="s">
        <v>470</v>
      </c>
      <c r="G1106" s="239" t="s">
        <v>928</v>
      </c>
      <c r="H1106" s="240">
        <f t="shared" si="17"/>
        <v>144601</v>
      </c>
      <c r="I1106" s="241"/>
    </row>
    <row r="1107" spans="1:9" x14ac:dyDescent="0.25">
      <c r="A1107" s="249">
        <v>45122</v>
      </c>
      <c r="B1107" s="237">
        <v>384</v>
      </c>
      <c r="C1107" s="238" t="s">
        <v>1013</v>
      </c>
      <c r="D1107" s="239" t="s">
        <v>768</v>
      </c>
      <c r="E1107" s="237">
        <v>1555</v>
      </c>
      <c r="F1107" s="242" t="s">
        <v>986</v>
      </c>
      <c r="G1107" s="239" t="s">
        <v>928</v>
      </c>
      <c r="H1107" s="240">
        <f t="shared" si="17"/>
        <v>143430</v>
      </c>
      <c r="I1107" s="241"/>
    </row>
    <row r="1108" spans="1:9" x14ac:dyDescent="0.25">
      <c r="A1108" s="249">
        <v>45122</v>
      </c>
      <c r="B1108" s="237">
        <v>18077</v>
      </c>
      <c r="C1108" s="238" t="s">
        <v>15</v>
      </c>
      <c r="D1108" s="239" t="s">
        <v>766</v>
      </c>
      <c r="E1108" s="237">
        <v>200</v>
      </c>
      <c r="F1108" s="242" t="s">
        <v>27</v>
      </c>
      <c r="G1108" s="239" t="s">
        <v>943</v>
      </c>
      <c r="H1108" s="240">
        <f t="shared" si="17"/>
        <v>161307</v>
      </c>
      <c r="I1108" s="241" t="s">
        <v>987</v>
      </c>
    </row>
    <row r="1109" spans="1:9" x14ac:dyDescent="0.25">
      <c r="A1109" s="249">
        <v>45122</v>
      </c>
      <c r="B1109" s="237">
        <v>462</v>
      </c>
      <c r="C1109" s="238" t="s">
        <v>916</v>
      </c>
      <c r="D1109" s="239" t="s">
        <v>768</v>
      </c>
      <c r="E1109" s="237">
        <v>1000</v>
      </c>
      <c r="F1109" s="242" t="s">
        <v>886</v>
      </c>
      <c r="G1109" s="239" t="s">
        <v>928</v>
      </c>
      <c r="H1109" s="240">
        <f t="shared" si="17"/>
        <v>160769</v>
      </c>
      <c r="I1109" s="241" t="s">
        <v>855</v>
      </c>
    </row>
    <row r="1110" spans="1:9" x14ac:dyDescent="0.25">
      <c r="A1110" s="249">
        <v>45122</v>
      </c>
      <c r="B1110" s="237">
        <v>16705</v>
      </c>
      <c r="C1110" s="238" t="s">
        <v>756</v>
      </c>
      <c r="D1110" s="239" t="s">
        <v>766</v>
      </c>
      <c r="E1110" s="237">
        <v>200</v>
      </c>
      <c r="F1110" s="242" t="s">
        <v>955</v>
      </c>
      <c r="G1110" s="239" t="s">
        <v>930</v>
      </c>
      <c r="H1110" s="240">
        <f t="shared" si="17"/>
        <v>177274</v>
      </c>
      <c r="I1110" s="241"/>
    </row>
    <row r="1111" spans="1:9" x14ac:dyDescent="0.25">
      <c r="A1111" s="249">
        <v>45122</v>
      </c>
      <c r="B1111" s="237">
        <v>325</v>
      </c>
      <c r="C1111" s="238" t="s">
        <v>216</v>
      </c>
      <c r="D1111" s="239" t="s">
        <v>768</v>
      </c>
      <c r="E1111" s="237">
        <v>140</v>
      </c>
      <c r="F1111" s="242" t="s">
        <v>265</v>
      </c>
      <c r="G1111" s="239" t="s">
        <v>935</v>
      </c>
      <c r="H1111" s="240">
        <f t="shared" si="17"/>
        <v>177459</v>
      </c>
      <c r="I1111" s="241"/>
    </row>
    <row r="1112" spans="1:9" x14ac:dyDescent="0.25">
      <c r="A1112" s="249">
        <v>45122</v>
      </c>
      <c r="B1112" s="237">
        <v>100</v>
      </c>
      <c r="C1112" s="238" t="s">
        <v>1061</v>
      </c>
      <c r="D1112" s="239" t="s">
        <v>931</v>
      </c>
      <c r="E1112" s="237">
        <v>875</v>
      </c>
      <c r="F1112" s="242" t="s">
        <v>17</v>
      </c>
      <c r="G1112" s="239" t="s">
        <v>928</v>
      </c>
      <c r="H1112" s="240">
        <f t="shared" si="17"/>
        <v>176684</v>
      </c>
      <c r="I1112" s="241"/>
    </row>
    <row r="1113" spans="1:9" x14ac:dyDescent="0.25">
      <c r="A1113" s="249">
        <v>45122</v>
      </c>
      <c r="B1113" s="237">
        <v>105</v>
      </c>
      <c r="C1113" s="238" t="s">
        <v>1020</v>
      </c>
      <c r="D1113" s="239" t="s">
        <v>937</v>
      </c>
      <c r="E1113" s="237">
        <v>315</v>
      </c>
      <c r="F1113" s="242" t="s">
        <v>209</v>
      </c>
      <c r="G1113" s="239" t="s">
        <v>935</v>
      </c>
      <c r="H1113" s="240">
        <f t="shared" si="17"/>
        <v>176474</v>
      </c>
      <c r="I1113" s="241"/>
    </row>
    <row r="1114" spans="1:9" x14ac:dyDescent="0.25">
      <c r="A1114" s="249">
        <v>45122</v>
      </c>
      <c r="B1114" s="237">
        <v>11832</v>
      </c>
      <c r="C1114" s="238" t="s">
        <v>85</v>
      </c>
      <c r="D1114" s="239" t="s">
        <v>766</v>
      </c>
      <c r="E1114" s="237">
        <v>295</v>
      </c>
      <c r="F1114" s="242" t="s">
        <v>8</v>
      </c>
      <c r="G1114" s="239" t="s">
        <v>930</v>
      </c>
      <c r="H1114" s="240">
        <f t="shared" si="17"/>
        <v>188011</v>
      </c>
      <c r="I1114" s="241"/>
    </row>
    <row r="1115" spans="1:9" x14ac:dyDescent="0.25">
      <c r="A1115" s="249">
        <v>45122</v>
      </c>
      <c r="B1115" s="237">
        <v>4340</v>
      </c>
      <c r="C1115" s="238" t="s">
        <v>60</v>
      </c>
      <c r="D1115" s="239" t="s">
        <v>763</v>
      </c>
      <c r="E1115" s="237">
        <v>1770</v>
      </c>
      <c r="F1115" s="242" t="s">
        <v>12</v>
      </c>
      <c r="G1115" s="239" t="s">
        <v>974</v>
      </c>
      <c r="H1115" s="240">
        <f t="shared" si="17"/>
        <v>190581</v>
      </c>
      <c r="I1115" s="241"/>
    </row>
    <row r="1116" spans="1:9" x14ac:dyDescent="0.25">
      <c r="A1116" s="249">
        <v>45122</v>
      </c>
      <c r="B1116" s="237"/>
      <c r="C1116" s="238"/>
      <c r="D1116" s="239"/>
      <c r="E1116" s="237">
        <v>93</v>
      </c>
      <c r="F1116" s="242" t="s">
        <v>572</v>
      </c>
      <c r="G1116" s="239" t="s">
        <v>928</v>
      </c>
      <c r="H1116" s="240">
        <f t="shared" si="17"/>
        <v>190488</v>
      </c>
      <c r="I1116" s="241"/>
    </row>
    <row r="1117" spans="1:9" x14ac:dyDescent="0.25">
      <c r="A1117" s="249">
        <v>45122</v>
      </c>
      <c r="B1117" s="237"/>
      <c r="C1117" s="238"/>
      <c r="D1117" s="239"/>
      <c r="E1117" s="237">
        <f>750-110</f>
        <v>640</v>
      </c>
      <c r="F1117" s="242" t="s">
        <v>990</v>
      </c>
      <c r="G1117" s="239" t="s">
        <v>464</v>
      </c>
      <c r="H1117" s="240">
        <f t="shared" si="17"/>
        <v>189848</v>
      </c>
      <c r="I1117" s="241" t="s">
        <v>991</v>
      </c>
    </row>
    <row r="1118" spans="1:9" x14ac:dyDescent="0.25">
      <c r="A1118" s="249">
        <v>45122</v>
      </c>
      <c r="B1118" s="237"/>
      <c r="C1118" s="238"/>
      <c r="D1118" s="239"/>
      <c r="E1118" s="237">
        <v>200</v>
      </c>
      <c r="F1118" s="242" t="s">
        <v>511</v>
      </c>
      <c r="G1118" s="239" t="s">
        <v>931</v>
      </c>
      <c r="H1118" s="240">
        <f t="shared" si="17"/>
        <v>189648</v>
      </c>
      <c r="I1118" s="241"/>
    </row>
    <row r="1119" spans="1:9" x14ac:dyDescent="0.25">
      <c r="A1119" s="249">
        <v>45122</v>
      </c>
      <c r="B1119" s="237"/>
      <c r="C1119" s="238"/>
      <c r="D1119" s="239"/>
      <c r="E1119" s="237">
        <v>6860</v>
      </c>
      <c r="F1119" s="242" t="s">
        <v>46</v>
      </c>
      <c r="G1119" s="239" t="s">
        <v>928</v>
      </c>
      <c r="H1119" s="240">
        <f t="shared" si="17"/>
        <v>182788</v>
      </c>
      <c r="I1119" s="241" t="s">
        <v>796</v>
      </c>
    </row>
    <row r="1120" spans="1:9" x14ac:dyDescent="0.25">
      <c r="A1120" s="249">
        <v>45122</v>
      </c>
      <c r="B1120" s="237"/>
      <c r="C1120" s="238"/>
      <c r="D1120" s="239"/>
      <c r="E1120" s="237">
        <f>615+62</f>
        <v>677</v>
      </c>
      <c r="F1120" s="242" t="s">
        <v>37</v>
      </c>
      <c r="G1120" s="239" t="s">
        <v>928</v>
      </c>
      <c r="H1120" s="240">
        <f t="shared" si="17"/>
        <v>182111</v>
      </c>
      <c r="I1120" s="241"/>
    </row>
    <row r="1121" spans="1:9" x14ac:dyDescent="0.25">
      <c r="A1121" s="249">
        <v>45122</v>
      </c>
      <c r="B1121" s="237"/>
      <c r="C1121" s="238"/>
      <c r="D1121" s="239"/>
      <c r="E1121" s="237">
        <v>275</v>
      </c>
      <c r="F1121" s="242" t="s">
        <v>992</v>
      </c>
      <c r="G1121" s="239" t="s">
        <v>928</v>
      </c>
      <c r="H1121" s="240">
        <f t="shared" si="17"/>
        <v>181836</v>
      </c>
      <c r="I1121" s="241"/>
    </row>
    <row r="1122" spans="1:9" x14ac:dyDescent="0.25">
      <c r="A1122" s="249">
        <v>45122</v>
      </c>
      <c r="B1122" s="237"/>
      <c r="C1122" s="238"/>
      <c r="D1122" s="239"/>
      <c r="E1122" s="237">
        <v>75</v>
      </c>
      <c r="F1122" s="242" t="s">
        <v>13</v>
      </c>
      <c r="G1122" s="239" t="s">
        <v>930</v>
      </c>
      <c r="H1122" s="240">
        <f t="shared" si="17"/>
        <v>181761</v>
      </c>
      <c r="I1122" s="241"/>
    </row>
    <row r="1123" spans="1:9" x14ac:dyDescent="0.25">
      <c r="A1123" s="249">
        <v>45122</v>
      </c>
      <c r="B1123" s="237"/>
      <c r="C1123" s="238"/>
      <c r="D1123" s="239"/>
      <c r="E1123" s="237">
        <v>1210</v>
      </c>
      <c r="F1123" s="242" t="s">
        <v>993</v>
      </c>
      <c r="G1123" s="239" t="s">
        <v>928</v>
      </c>
      <c r="H1123" s="240">
        <f t="shared" si="17"/>
        <v>180551</v>
      </c>
      <c r="I1123" s="241" t="s">
        <v>51</v>
      </c>
    </row>
    <row r="1124" spans="1:9" x14ac:dyDescent="0.25">
      <c r="A1124" s="249">
        <v>45122</v>
      </c>
      <c r="B1124" s="237"/>
      <c r="C1124" s="238"/>
      <c r="D1124" s="239"/>
      <c r="E1124" s="237">
        <v>2100</v>
      </c>
      <c r="F1124" s="242" t="s">
        <v>994</v>
      </c>
      <c r="G1124" s="239" t="s">
        <v>928</v>
      </c>
      <c r="H1124" s="240">
        <f t="shared" si="17"/>
        <v>178451</v>
      </c>
      <c r="I1124" s="241"/>
    </row>
    <row r="1125" spans="1:9" x14ac:dyDescent="0.25">
      <c r="A1125" s="249">
        <v>45122</v>
      </c>
      <c r="B1125" s="237"/>
      <c r="C1125" s="238"/>
      <c r="D1125" s="239"/>
      <c r="E1125" s="237">
        <v>630</v>
      </c>
      <c r="F1125" s="242" t="s">
        <v>995</v>
      </c>
      <c r="G1125" s="239" t="s">
        <v>928</v>
      </c>
      <c r="H1125" s="240">
        <f t="shared" si="17"/>
        <v>177821</v>
      </c>
      <c r="I1125" s="241"/>
    </row>
    <row r="1126" spans="1:9" x14ac:dyDescent="0.25">
      <c r="A1126" s="249">
        <v>45122</v>
      </c>
      <c r="B1126" s="237"/>
      <c r="C1126" s="238"/>
      <c r="D1126" s="239"/>
      <c r="E1126" s="237">
        <v>295</v>
      </c>
      <c r="F1126" s="242" t="s">
        <v>27</v>
      </c>
      <c r="G1126" s="239" t="s">
        <v>943</v>
      </c>
      <c r="H1126" s="240">
        <f t="shared" si="17"/>
        <v>177526</v>
      </c>
      <c r="I1126" s="241"/>
    </row>
    <row r="1127" spans="1:9" x14ac:dyDescent="0.25">
      <c r="A1127" s="249">
        <v>45122</v>
      </c>
      <c r="B1127" s="237"/>
      <c r="C1127" s="238"/>
      <c r="D1127" s="239"/>
      <c r="E1127" s="237">
        <v>30</v>
      </c>
      <c r="F1127" s="242" t="s">
        <v>996</v>
      </c>
      <c r="G1127" s="239" t="s">
        <v>930</v>
      </c>
      <c r="H1127" s="240">
        <f t="shared" si="17"/>
        <v>177496</v>
      </c>
      <c r="I1127" s="241"/>
    </row>
    <row r="1128" spans="1:9" x14ac:dyDescent="0.25">
      <c r="A1128" s="249">
        <v>45122</v>
      </c>
      <c r="B1128" s="237"/>
      <c r="C1128" s="238"/>
      <c r="D1128" s="239"/>
      <c r="E1128" s="237">
        <v>7825</v>
      </c>
      <c r="F1128" s="242" t="s">
        <v>16</v>
      </c>
      <c r="G1128" s="239" t="s">
        <v>936</v>
      </c>
      <c r="H1128" s="240">
        <f t="shared" si="17"/>
        <v>169671</v>
      </c>
      <c r="I1128" s="241"/>
    </row>
    <row r="1129" spans="1:9" x14ac:dyDescent="0.25">
      <c r="A1129" s="249">
        <v>45122</v>
      </c>
      <c r="B1129" s="237"/>
      <c r="C1129" s="238"/>
      <c r="D1129" s="239"/>
      <c r="E1129" s="237">
        <v>330</v>
      </c>
      <c r="F1129" s="242" t="s">
        <v>278</v>
      </c>
      <c r="G1129" s="239" t="s">
        <v>935</v>
      </c>
      <c r="H1129" s="240">
        <f t="shared" si="17"/>
        <v>169341</v>
      </c>
      <c r="I1129" s="241"/>
    </row>
    <row r="1130" spans="1:9" x14ac:dyDescent="0.25">
      <c r="A1130" s="249">
        <v>45122</v>
      </c>
      <c r="B1130" s="237"/>
      <c r="C1130" s="238"/>
      <c r="D1130" s="239"/>
      <c r="E1130" s="237">
        <v>8645</v>
      </c>
      <c r="F1130" s="242" t="s">
        <v>997</v>
      </c>
      <c r="G1130" s="239" t="s">
        <v>928</v>
      </c>
      <c r="H1130" s="240">
        <f t="shared" si="17"/>
        <v>160696</v>
      </c>
      <c r="I1130" s="241"/>
    </row>
    <row r="1131" spans="1:9" x14ac:dyDescent="0.25">
      <c r="A1131" s="249">
        <v>45122</v>
      </c>
      <c r="B1131" s="237"/>
      <c r="C1131" s="238"/>
      <c r="D1131" s="239"/>
      <c r="E1131" s="237">
        <v>700</v>
      </c>
      <c r="F1131" s="242" t="s">
        <v>27</v>
      </c>
      <c r="G1131" s="239" t="s">
        <v>943</v>
      </c>
      <c r="H1131" s="240">
        <f t="shared" si="17"/>
        <v>159996</v>
      </c>
      <c r="I1131" s="241"/>
    </row>
    <row r="1132" spans="1:9" x14ac:dyDescent="0.25">
      <c r="A1132" s="249">
        <v>45122</v>
      </c>
      <c r="B1132" s="237"/>
      <c r="C1132" s="238"/>
      <c r="D1132" s="239"/>
      <c r="E1132" s="237">
        <v>14000</v>
      </c>
      <c r="F1132" s="242" t="s">
        <v>182</v>
      </c>
      <c r="G1132" s="239" t="s">
        <v>941</v>
      </c>
      <c r="H1132" s="240">
        <f t="shared" si="17"/>
        <v>145996</v>
      </c>
      <c r="I1132" s="241"/>
    </row>
    <row r="1133" spans="1:9" x14ac:dyDescent="0.25">
      <c r="A1133" s="249">
        <v>45122</v>
      </c>
      <c r="B1133" s="237"/>
      <c r="C1133" s="238"/>
      <c r="D1133" s="239"/>
      <c r="E1133" s="237">
        <v>11761</v>
      </c>
      <c r="F1133" s="242" t="s">
        <v>998</v>
      </c>
      <c r="G1133" s="239" t="s">
        <v>928</v>
      </c>
      <c r="H1133" s="240">
        <f t="shared" si="17"/>
        <v>134235</v>
      </c>
      <c r="I1133" s="241" t="s">
        <v>796</v>
      </c>
    </row>
    <row r="1134" spans="1:9" x14ac:dyDescent="0.25">
      <c r="A1134" s="249">
        <v>45122</v>
      </c>
      <c r="B1134" s="237"/>
      <c r="C1134" s="238"/>
      <c r="D1134" s="239"/>
      <c r="E1134" s="237">
        <v>1770</v>
      </c>
      <c r="F1134" s="242" t="s">
        <v>999</v>
      </c>
      <c r="G1134" s="239" t="s">
        <v>928</v>
      </c>
      <c r="H1134" s="240">
        <f t="shared" si="17"/>
        <v>132465</v>
      </c>
      <c r="I1134" s="241"/>
    </row>
    <row r="1135" spans="1:9" x14ac:dyDescent="0.25">
      <c r="A1135" s="249">
        <v>45122</v>
      </c>
      <c r="B1135" s="237"/>
      <c r="C1135" s="238"/>
      <c r="D1135" s="239"/>
      <c r="E1135" s="237">
        <v>195</v>
      </c>
      <c r="F1135" s="242" t="s">
        <v>27</v>
      </c>
      <c r="G1135" s="239" t="s">
        <v>943</v>
      </c>
      <c r="H1135" s="240">
        <f t="shared" si="17"/>
        <v>132270</v>
      </c>
      <c r="I1135" s="241"/>
    </row>
    <row r="1136" spans="1:9" x14ac:dyDescent="0.25">
      <c r="A1136" s="249">
        <v>45122</v>
      </c>
      <c r="B1136" s="237"/>
      <c r="C1136" s="238"/>
      <c r="D1136" s="239"/>
      <c r="E1136" s="237">
        <v>15100</v>
      </c>
      <c r="F1136" s="242" t="s">
        <v>665</v>
      </c>
      <c r="G1136" s="239" t="s">
        <v>928</v>
      </c>
      <c r="H1136" s="240">
        <f t="shared" si="17"/>
        <v>117170</v>
      </c>
      <c r="I1136" s="241"/>
    </row>
    <row r="1137" spans="1:9" x14ac:dyDescent="0.25">
      <c r="A1137" s="249">
        <v>45122</v>
      </c>
      <c r="B1137" s="237"/>
      <c r="C1137" s="238"/>
      <c r="D1137" s="239"/>
      <c r="E1137" s="237">
        <v>350</v>
      </c>
      <c r="F1137" s="242" t="s">
        <v>1010</v>
      </c>
      <c r="G1137" s="239" t="s">
        <v>929</v>
      </c>
      <c r="H1137" s="240">
        <f t="shared" si="17"/>
        <v>116820</v>
      </c>
      <c r="I1137" s="241"/>
    </row>
    <row r="1138" spans="1:9" x14ac:dyDescent="0.25">
      <c r="A1138" s="249">
        <v>45122</v>
      </c>
      <c r="B1138" s="237"/>
      <c r="C1138" s="238"/>
      <c r="D1138" s="239"/>
      <c r="E1138" s="237">
        <v>2000</v>
      </c>
      <c r="F1138" s="242" t="s">
        <v>1011</v>
      </c>
      <c r="G1138" s="239" t="s">
        <v>938</v>
      </c>
      <c r="H1138" s="240">
        <f t="shared" si="17"/>
        <v>114820</v>
      </c>
      <c r="I1138" s="241"/>
    </row>
    <row r="1139" spans="1:9" x14ac:dyDescent="0.25">
      <c r="A1139" s="249">
        <v>45122</v>
      </c>
      <c r="B1139" s="237"/>
      <c r="C1139" s="238"/>
      <c r="D1139" s="239"/>
      <c r="E1139" s="237">
        <v>17</v>
      </c>
      <c r="F1139" s="242" t="s">
        <v>357</v>
      </c>
      <c r="G1139" s="239" t="s">
        <v>929</v>
      </c>
      <c r="H1139" s="240">
        <f t="shared" si="17"/>
        <v>114803</v>
      </c>
      <c r="I1139" s="241"/>
    </row>
    <row r="1140" spans="1:9" x14ac:dyDescent="0.25">
      <c r="A1140" s="249">
        <v>45122</v>
      </c>
      <c r="B1140" s="237"/>
      <c r="C1140" s="238"/>
      <c r="D1140" s="239"/>
      <c r="E1140" s="237">
        <v>26</v>
      </c>
      <c r="F1140" s="242" t="s">
        <v>954</v>
      </c>
      <c r="G1140" s="239" t="s">
        <v>464</v>
      </c>
      <c r="H1140" s="240">
        <f>H1139+B1140-E1140</f>
        <v>114777</v>
      </c>
      <c r="I1140" s="241"/>
    </row>
    <row r="1141" spans="1:9" x14ac:dyDescent="0.25">
      <c r="A1141" s="249">
        <v>45122</v>
      </c>
      <c r="B1141" s="237"/>
      <c r="C1141" s="238"/>
      <c r="D1141" s="239"/>
      <c r="E1141" s="237">
        <v>10</v>
      </c>
      <c r="F1141" s="242" t="s">
        <v>350</v>
      </c>
      <c r="G1141" s="239" t="s">
        <v>931</v>
      </c>
      <c r="H1141" s="240">
        <f t="shared" si="17"/>
        <v>114767</v>
      </c>
      <c r="I1141" s="241"/>
    </row>
    <row r="1142" spans="1:9" x14ac:dyDescent="0.25">
      <c r="A1142" s="249">
        <v>45122</v>
      </c>
      <c r="B1142" s="237"/>
      <c r="C1142" s="238"/>
      <c r="D1142" s="239"/>
      <c r="E1142" s="237">
        <v>2500</v>
      </c>
      <c r="F1142" s="242" t="s">
        <v>1014</v>
      </c>
      <c r="G1142" s="239" t="s">
        <v>928</v>
      </c>
      <c r="H1142" s="240">
        <f t="shared" si="17"/>
        <v>112267</v>
      </c>
      <c r="I1142" s="241"/>
    </row>
    <row r="1143" spans="1:9" x14ac:dyDescent="0.25">
      <c r="A1143" s="249">
        <v>45122</v>
      </c>
      <c r="B1143" s="237"/>
      <c r="C1143" s="238"/>
      <c r="D1143" s="239"/>
      <c r="E1143" s="237">
        <v>100</v>
      </c>
      <c r="F1143" s="242" t="s">
        <v>29</v>
      </c>
      <c r="G1143" s="239" t="s">
        <v>930</v>
      </c>
      <c r="H1143" s="240">
        <f t="shared" si="17"/>
        <v>112167</v>
      </c>
      <c r="I1143" s="241"/>
    </row>
    <row r="1144" spans="1:9" x14ac:dyDescent="0.25">
      <c r="A1144" s="249">
        <v>45122</v>
      </c>
      <c r="B1144" s="237"/>
      <c r="C1144" s="238"/>
      <c r="D1144" s="239"/>
      <c r="E1144" s="237">
        <v>95</v>
      </c>
      <c r="F1144" s="242" t="s">
        <v>494</v>
      </c>
      <c r="G1144" s="239" t="s">
        <v>930</v>
      </c>
      <c r="H1144" s="240">
        <f t="shared" si="17"/>
        <v>112072</v>
      </c>
      <c r="I1144" s="241"/>
    </row>
    <row r="1145" spans="1:9" x14ac:dyDescent="0.25">
      <c r="A1145" s="249">
        <v>45122</v>
      </c>
      <c r="B1145" s="237"/>
      <c r="C1145" s="238"/>
      <c r="D1145" s="239"/>
      <c r="E1145" s="237">
        <v>150</v>
      </c>
      <c r="F1145" s="242" t="s">
        <v>708</v>
      </c>
      <c r="G1145" s="239" t="s">
        <v>930</v>
      </c>
      <c r="H1145" s="240">
        <f t="shared" si="17"/>
        <v>111922</v>
      </c>
      <c r="I1145" s="241"/>
    </row>
    <row r="1146" spans="1:9" x14ac:dyDescent="0.25">
      <c r="A1146" s="249">
        <v>45122</v>
      </c>
      <c r="B1146" s="237"/>
      <c r="C1146" s="238"/>
      <c r="D1146" s="239"/>
      <c r="E1146" s="237">
        <v>27</v>
      </c>
      <c r="F1146" s="242" t="s">
        <v>458</v>
      </c>
      <c r="G1146" s="239" t="s">
        <v>464</v>
      </c>
      <c r="H1146" s="240">
        <f t="shared" si="17"/>
        <v>111895</v>
      </c>
      <c r="I1146" s="241"/>
    </row>
    <row r="1147" spans="1:9" x14ac:dyDescent="0.25">
      <c r="A1147" s="249">
        <v>45122</v>
      </c>
      <c r="B1147" s="237"/>
      <c r="C1147" s="238"/>
      <c r="D1147" s="239"/>
      <c r="E1147" s="237">
        <v>800</v>
      </c>
      <c r="F1147" s="242" t="s">
        <v>1016</v>
      </c>
      <c r="G1147" s="239" t="s">
        <v>928</v>
      </c>
      <c r="H1147" s="240">
        <f t="shared" si="17"/>
        <v>111095</v>
      </c>
      <c r="I1147" s="241" t="s">
        <v>869</v>
      </c>
    </row>
    <row r="1148" spans="1:9" x14ac:dyDescent="0.25">
      <c r="A1148" s="249">
        <v>45122</v>
      </c>
      <c r="B1148" s="237"/>
      <c r="C1148" s="238"/>
      <c r="D1148" s="239"/>
      <c r="E1148" s="237">
        <v>80</v>
      </c>
      <c r="F1148" s="242" t="s">
        <v>1004</v>
      </c>
      <c r="G1148" s="239" t="s">
        <v>928</v>
      </c>
      <c r="H1148" s="240">
        <f t="shared" si="17"/>
        <v>111015</v>
      </c>
      <c r="I1148" s="241"/>
    </row>
    <row r="1149" spans="1:9" x14ac:dyDescent="0.25">
      <c r="A1149" s="249">
        <v>45122</v>
      </c>
      <c r="B1149" s="237"/>
      <c r="C1149" s="238"/>
      <c r="D1149" s="239"/>
      <c r="E1149" s="237">
        <v>210</v>
      </c>
      <c r="F1149" s="242" t="s">
        <v>799</v>
      </c>
      <c r="G1149" s="239" t="s">
        <v>930</v>
      </c>
      <c r="H1149" s="240">
        <f t="shared" si="17"/>
        <v>110805</v>
      </c>
      <c r="I1149" s="241"/>
    </row>
    <row r="1150" spans="1:9" x14ac:dyDescent="0.25">
      <c r="A1150" s="249">
        <v>45122</v>
      </c>
      <c r="B1150" s="237"/>
      <c r="C1150" s="238"/>
      <c r="D1150" s="239"/>
      <c r="E1150" s="237">
        <v>280</v>
      </c>
      <c r="F1150" s="242" t="s">
        <v>1005</v>
      </c>
      <c r="G1150" s="239" t="s">
        <v>930</v>
      </c>
      <c r="H1150" s="240">
        <f t="shared" si="17"/>
        <v>110525</v>
      </c>
      <c r="I1150" s="241"/>
    </row>
    <row r="1151" spans="1:9" x14ac:dyDescent="0.25">
      <c r="A1151" s="249">
        <v>45122</v>
      </c>
      <c r="B1151" s="237"/>
      <c r="C1151" s="238"/>
      <c r="D1151" s="239"/>
      <c r="E1151" s="237">
        <v>60</v>
      </c>
      <c r="F1151" s="242" t="s">
        <v>1006</v>
      </c>
      <c r="G1151" s="239" t="s">
        <v>930</v>
      </c>
      <c r="H1151" s="240">
        <f t="shared" si="17"/>
        <v>110465</v>
      </c>
      <c r="I1151" s="241"/>
    </row>
    <row r="1152" spans="1:9" x14ac:dyDescent="0.25">
      <c r="A1152" s="249">
        <v>45122</v>
      </c>
      <c r="B1152" s="237"/>
      <c r="C1152" s="238"/>
      <c r="D1152" s="239"/>
      <c r="E1152" s="237">
        <v>60</v>
      </c>
      <c r="F1152" s="242" t="s">
        <v>797</v>
      </c>
      <c r="G1152" s="239" t="s">
        <v>930</v>
      </c>
      <c r="H1152" s="240">
        <f t="shared" si="17"/>
        <v>110405</v>
      </c>
      <c r="I1152" s="241"/>
    </row>
    <row r="1153" spans="1:9" x14ac:dyDescent="0.25">
      <c r="A1153" s="249">
        <v>45122</v>
      </c>
      <c r="B1153" s="237"/>
      <c r="C1153" s="238"/>
      <c r="D1153" s="239"/>
      <c r="E1153" s="237">
        <v>210</v>
      </c>
      <c r="F1153" s="242" t="s">
        <v>1007</v>
      </c>
      <c r="G1153" s="239" t="s">
        <v>935</v>
      </c>
      <c r="H1153" s="240">
        <f t="shared" si="17"/>
        <v>110195</v>
      </c>
      <c r="I1153" s="241"/>
    </row>
    <row r="1154" spans="1:9" x14ac:dyDescent="0.25">
      <c r="A1154" s="249">
        <v>45122</v>
      </c>
      <c r="B1154" s="237"/>
      <c r="C1154" s="238"/>
      <c r="D1154" s="239"/>
      <c r="E1154" s="237">
        <v>365</v>
      </c>
      <c r="F1154" s="242" t="s">
        <v>1008</v>
      </c>
      <c r="G1154" s="239" t="s">
        <v>935</v>
      </c>
      <c r="H1154" s="240">
        <f t="shared" si="17"/>
        <v>109830</v>
      </c>
      <c r="I1154" s="241"/>
    </row>
    <row r="1155" spans="1:9" x14ac:dyDescent="0.25">
      <c r="A1155" s="249">
        <v>45122</v>
      </c>
      <c r="B1155" s="237"/>
      <c r="C1155" s="238"/>
      <c r="D1155" s="239"/>
      <c r="E1155" s="237">
        <v>2105</v>
      </c>
      <c r="F1155" s="242" t="s">
        <v>1003</v>
      </c>
      <c r="G1155" s="239" t="s">
        <v>928</v>
      </c>
      <c r="H1155" s="240">
        <f t="shared" si="17"/>
        <v>107725</v>
      </c>
      <c r="I1155" s="241"/>
    </row>
    <row r="1156" spans="1:9" x14ac:dyDescent="0.25">
      <c r="A1156" s="249">
        <v>45122</v>
      </c>
      <c r="B1156" s="237"/>
      <c r="C1156" s="238"/>
      <c r="D1156" s="239"/>
      <c r="E1156" s="237">
        <v>860</v>
      </c>
      <c r="F1156" s="242" t="s">
        <v>37</v>
      </c>
      <c r="G1156" s="239" t="s">
        <v>928</v>
      </c>
      <c r="H1156" s="240">
        <f t="shared" si="17"/>
        <v>106865</v>
      </c>
      <c r="I1156" s="241"/>
    </row>
    <row r="1157" spans="1:9" x14ac:dyDescent="0.25">
      <c r="A1157" s="249">
        <v>45122</v>
      </c>
      <c r="B1157" s="237"/>
      <c r="C1157" s="238"/>
      <c r="D1157" s="239"/>
      <c r="E1157" s="237">
        <v>90</v>
      </c>
      <c r="F1157" s="242" t="s">
        <v>1009</v>
      </c>
      <c r="G1157" s="239" t="s">
        <v>935</v>
      </c>
      <c r="H1157" s="240">
        <f t="shared" si="17"/>
        <v>106775</v>
      </c>
      <c r="I1157" s="241"/>
    </row>
    <row r="1158" spans="1:9" x14ac:dyDescent="0.25">
      <c r="A1158" s="249">
        <v>45122</v>
      </c>
      <c r="B1158" s="237"/>
      <c r="C1158" s="238"/>
      <c r="D1158" s="239"/>
      <c r="E1158" s="237">
        <v>2064</v>
      </c>
      <c r="F1158" s="242" t="s">
        <v>45</v>
      </c>
      <c r="G1158" s="239" t="s">
        <v>928</v>
      </c>
      <c r="H1158" s="240">
        <f t="shared" ref="H1158:H1194" si="18">H1157+B1158-E1158</f>
        <v>104711</v>
      </c>
      <c r="I1158" s="241"/>
    </row>
    <row r="1159" spans="1:9" x14ac:dyDescent="0.25">
      <c r="A1159" s="249">
        <v>45122</v>
      </c>
      <c r="B1159" s="237"/>
      <c r="C1159" s="238"/>
      <c r="D1159" s="239"/>
      <c r="E1159" s="237">
        <v>80</v>
      </c>
      <c r="F1159" s="242" t="s">
        <v>302</v>
      </c>
      <c r="G1159" s="239" t="s">
        <v>928</v>
      </c>
      <c r="H1159" s="240">
        <f t="shared" si="18"/>
        <v>104631</v>
      </c>
      <c r="I1159" s="241"/>
    </row>
    <row r="1160" spans="1:9" x14ac:dyDescent="0.25">
      <c r="A1160" s="249">
        <v>45122</v>
      </c>
      <c r="B1160" s="237"/>
      <c r="C1160" s="238"/>
      <c r="D1160" s="239"/>
      <c r="E1160" s="237">
        <v>6705</v>
      </c>
      <c r="F1160" s="242" t="s">
        <v>53</v>
      </c>
      <c r="G1160" s="239" t="s">
        <v>928</v>
      </c>
      <c r="H1160" s="240">
        <f t="shared" si="18"/>
        <v>97926</v>
      </c>
      <c r="I1160" s="241"/>
    </row>
    <row r="1161" spans="1:9" x14ac:dyDescent="0.25">
      <c r="A1161" s="249">
        <v>45122</v>
      </c>
      <c r="B1161" s="237"/>
      <c r="C1161" s="238"/>
      <c r="D1161" s="239"/>
      <c r="E1161" s="237">
        <v>1610</v>
      </c>
      <c r="F1161" s="242" t="s">
        <v>1000</v>
      </c>
      <c r="G1161" s="239" t="s">
        <v>928</v>
      </c>
      <c r="H1161" s="240">
        <f t="shared" si="18"/>
        <v>96316</v>
      </c>
      <c r="I1161" s="241"/>
    </row>
    <row r="1162" spans="1:9" x14ac:dyDescent="0.25">
      <c r="A1162" s="249">
        <v>45122</v>
      </c>
      <c r="B1162" s="237"/>
      <c r="C1162" s="238"/>
      <c r="D1162" s="239"/>
      <c r="E1162" s="237">
        <v>725</v>
      </c>
      <c r="F1162" s="242" t="s">
        <v>1002</v>
      </c>
      <c r="G1162" s="239" t="s">
        <v>928</v>
      </c>
      <c r="H1162" s="240">
        <f t="shared" si="18"/>
        <v>95591</v>
      </c>
      <c r="I1162" s="241"/>
    </row>
    <row r="1163" spans="1:9" x14ac:dyDescent="0.25">
      <c r="A1163" s="249">
        <v>45122</v>
      </c>
      <c r="B1163" s="237"/>
      <c r="C1163" s="238"/>
      <c r="D1163" s="239"/>
      <c r="E1163" s="237">
        <v>835</v>
      </c>
      <c r="F1163" s="242" t="s">
        <v>1001</v>
      </c>
      <c r="G1163" s="239" t="s">
        <v>928</v>
      </c>
      <c r="H1163" s="240">
        <f t="shared" si="18"/>
        <v>94756</v>
      </c>
      <c r="I1163" s="241"/>
    </row>
    <row r="1164" spans="1:9" x14ac:dyDescent="0.25">
      <c r="A1164" s="249">
        <v>45122</v>
      </c>
      <c r="B1164" s="237"/>
      <c r="C1164" s="238"/>
      <c r="D1164" s="239"/>
      <c r="E1164" s="237">
        <v>220</v>
      </c>
      <c r="F1164" s="242" t="s">
        <v>7</v>
      </c>
      <c r="G1164" s="239" t="s">
        <v>930</v>
      </c>
      <c r="H1164" s="240">
        <f t="shared" si="18"/>
        <v>94536</v>
      </c>
      <c r="I1164" s="241"/>
    </row>
    <row r="1165" spans="1:9" x14ac:dyDescent="0.25">
      <c r="A1165" s="249">
        <v>45122</v>
      </c>
      <c r="B1165" s="237"/>
      <c r="C1165" s="238"/>
      <c r="D1165" s="239"/>
      <c r="E1165" s="237">
        <v>1565</v>
      </c>
      <c r="F1165" s="242" t="s">
        <v>14</v>
      </c>
      <c r="G1165" s="239" t="s">
        <v>935</v>
      </c>
      <c r="H1165" s="240">
        <f t="shared" si="18"/>
        <v>92971</v>
      </c>
      <c r="I1165" s="241"/>
    </row>
    <row r="1166" spans="1:9" x14ac:dyDescent="0.25">
      <c r="A1166" s="249">
        <v>45122</v>
      </c>
      <c r="B1166" s="237"/>
      <c r="C1166" s="238"/>
      <c r="D1166" s="239"/>
      <c r="E1166" s="237">
        <v>11525</v>
      </c>
      <c r="F1166" s="242" t="s">
        <v>1015</v>
      </c>
      <c r="G1166" s="239" t="s">
        <v>928</v>
      </c>
      <c r="H1166" s="240">
        <f t="shared" si="18"/>
        <v>81446</v>
      </c>
      <c r="I1166" s="241"/>
    </row>
    <row r="1167" spans="1:9" x14ac:dyDescent="0.25">
      <c r="A1167" s="249">
        <v>45122</v>
      </c>
      <c r="B1167" s="237"/>
      <c r="C1167" s="238"/>
      <c r="D1167" s="239"/>
      <c r="E1167" s="237">
        <v>210</v>
      </c>
      <c r="F1167" s="242" t="s">
        <v>7</v>
      </c>
      <c r="G1167" s="239" t="s">
        <v>930</v>
      </c>
      <c r="H1167" s="240">
        <f t="shared" si="18"/>
        <v>81236</v>
      </c>
      <c r="I1167" s="241"/>
    </row>
    <row r="1168" spans="1:9" x14ac:dyDescent="0.25">
      <c r="A1168" s="249">
        <v>45122</v>
      </c>
      <c r="B1168" s="237"/>
      <c r="C1168" s="238"/>
      <c r="D1168" s="239"/>
      <c r="E1168" s="237">
        <v>1007</v>
      </c>
      <c r="F1168" s="242" t="s">
        <v>1017</v>
      </c>
      <c r="G1168" s="239" t="s">
        <v>928</v>
      </c>
      <c r="H1168" s="240">
        <f t="shared" si="18"/>
        <v>80229</v>
      </c>
      <c r="I1168" s="241"/>
    </row>
    <row r="1169" spans="1:11" x14ac:dyDescent="0.25">
      <c r="A1169" s="249">
        <v>45122</v>
      </c>
      <c r="B1169" s="237"/>
      <c r="C1169" s="238"/>
      <c r="D1169" s="239"/>
      <c r="E1169" s="237">
        <v>4095</v>
      </c>
      <c r="F1169" s="242" t="s">
        <v>1018</v>
      </c>
      <c r="G1169" s="239" t="s">
        <v>928</v>
      </c>
      <c r="H1169" s="240">
        <f t="shared" si="18"/>
        <v>76134</v>
      </c>
      <c r="I1169" s="241" t="s">
        <v>1019</v>
      </c>
    </row>
    <row r="1170" spans="1:11" x14ac:dyDescent="0.25">
      <c r="A1170" s="249">
        <v>45122</v>
      </c>
      <c r="B1170" s="237"/>
      <c r="C1170" s="238"/>
      <c r="D1170" s="239"/>
      <c r="E1170" s="237">
        <v>75</v>
      </c>
      <c r="F1170" s="242" t="s">
        <v>26</v>
      </c>
      <c r="G1170" s="239" t="s">
        <v>930</v>
      </c>
      <c r="H1170" s="240">
        <f t="shared" si="18"/>
        <v>76059</v>
      </c>
      <c r="I1170" s="241"/>
    </row>
    <row r="1171" spans="1:11" x14ac:dyDescent="0.25">
      <c r="A1171" s="249">
        <v>45122</v>
      </c>
      <c r="B1171" s="237"/>
      <c r="C1171" s="238"/>
      <c r="D1171" s="239"/>
      <c r="E1171" s="237">
        <v>210</v>
      </c>
      <c r="F1171" s="242" t="s">
        <v>1021</v>
      </c>
      <c r="G1171" s="239" t="s">
        <v>930</v>
      </c>
      <c r="H1171" s="240">
        <f t="shared" si="18"/>
        <v>75849</v>
      </c>
      <c r="I1171" s="241"/>
    </row>
    <row r="1172" spans="1:11" x14ac:dyDescent="0.25">
      <c r="A1172" s="249">
        <v>45122</v>
      </c>
      <c r="B1172" s="237"/>
      <c r="C1172" s="238"/>
      <c r="D1172" s="239"/>
      <c r="E1172" s="237">
        <v>145</v>
      </c>
      <c r="F1172" s="242" t="s">
        <v>552</v>
      </c>
      <c r="G1172" s="239" t="s">
        <v>930</v>
      </c>
      <c r="H1172" s="240">
        <f t="shared" si="18"/>
        <v>75704</v>
      </c>
      <c r="I1172" s="241"/>
    </row>
    <row r="1173" spans="1:11" x14ac:dyDescent="0.25">
      <c r="A1173" s="249">
        <v>45122</v>
      </c>
      <c r="B1173" s="237"/>
      <c r="C1173" s="238"/>
      <c r="D1173" s="239"/>
      <c r="E1173" s="237">
        <v>170</v>
      </c>
      <c r="F1173" s="242" t="s">
        <v>498</v>
      </c>
      <c r="G1173" s="239" t="s">
        <v>930</v>
      </c>
      <c r="H1173" s="240">
        <f t="shared" si="18"/>
        <v>75534</v>
      </c>
      <c r="I1173" s="241"/>
    </row>
    <row r="1174" spans="1:11" x14ac:dyDescent="0.25">
      <c r="A1174" s="249">
        <v>45122</v>
      </c>
      <c r="B1174" s="237"/>
      <c r="C1174" s="238"/>
      <c r="D1174" s="239"/>
      <c r="E1174" s="237">
        <v>171</v>
      </c>
      <c r="F1174" s="242" t="s">
        <v>86</v>
      </c>
      <c r="G1174" s="239" t="s">
        <v>930</v>
      </c>
      <c r="H1174" s="240">
        <f t="shared" si="18"/>
        <v>75363</v>
      </c>
      <c r="I1174" s="241"/>
    </row>
    <row r="1175" spans="1:11" x14ac:dyDescent="0.25">
      <c r="A1175" s="249">
        <v>45122</v>
      </c>
      <c r="B1175" s="237"/>
      <c r="C1175" s="238"/>
      <c r="D1175" s="239"/>
      <c r="E1175" s="237">
        <v>90</v>
      </c>
      <c r="F1175" s="242" t="s">
        <v>510</v>
      </c>
      <c r="G1175" s="239" t="s">
        <v>930</v>
      </c>
      <c r="H1175" s="240">
        <f t="shared" si="18"/>
        <v>75273</v>
      </c>
      <c r="I1175" s="241"/>
    </row>
    <row r="1176" spans="1:11" x14ac:dyDescent="0.25">
      <c r="A1176" s="249">
        <v>45122</v>
      </c>
      <c r="B1176" s="237"/>
      <c r="C1176" s="238"/>
      <c r="D1176" s="239"/>
      <c r="E1176" s="237">
        <v>3546</v>
      </c>
      <c r="F1176" s="242" t="s">
        <v>1022</v>
      </c>
      <c r="G1176" s="239" t="s">
        <v>928</v>
      </c>
      <c r="H1176" s="240">
        <f t="shared" si="18"/>
        <v>71727</v>
      </c>
      <c r="I1176" s="241"/>
    </row>
    <row r="1177" spans="1:11" x14ac:dyDescent="0.25">
      <c r="A1177" s="249">
        <v>45122</v>
      </c>
      <c r="B1177" s="237"/>
      <c r="C1177" s="238"/>
      <c r="D1177" s="239"/>
      <c r="E1177" s="237">
        <v>30</v>
      </c>
      <c r="F1177" s="242" t="s">
        <v>954</v>
      </c>
      <c r="G1177" s="239" t="s">
        <v>464</v>
      </c>
      <c r="H1177" s="240">
        <f t="shared" si="18"/>
        <v>71697</v>
      </c>
      <c r="I1177" s="241"/>
    </row>
    <row r="1178" spans="1:11" s="306" customFormat="1" x14ac:dyDescent="0.25">
      <c r="A1178" s="299">
        <v>45122</v>
      </c>
      <c r="B1178" s="300"/>
      <c r="C1178" s="301"/>
      <c r="D1178" s="302"/>
      <c r="E1178" s="300">
        <v>140</v>
      </c>
      <c r="F1178" s="303" t="s">
        <v>376</v>
      </c>
      <c r="G1178" s="239" t="s">
        <v>930</v>
      </c>
      <c r="H1178" s="240">
        <f t="shared" si="18"/>
        <v>71557</v>
      </c>
      <c r="I1178" s="304"/>
      <c r="J1178" s="305"/>
      <c r="K1178" s="305"/>
    </row>
    <row r="1179" spans="1:11" x14ac:dyDescent="0.25">
      <c r="A1179" s="249">
        <v>45123</v>
      </c>
      <c r="B1179" s="237">
        <v>15323</v>
      </c>
      <c r="C1179" s="238" t="s">
        <v>300</v>
      </c>
      <c r="D1179" s="239" t="s">
        <v>763</v>
      </c>
      <c r="E1179" s="237">
        <v>4745</v>
      </c>
      <c r="F1179" s="242" t="s">
        <v>1023</v>
      </c>
      <c r="G1179" s="239" t="s">
        <v>928</v>
      </c>
      <c r="H1179" s="240">
        <f t="shared" si="18"/>
        <v>82135</v>
      </c>
      <c r="I1179" s="241"/>
    </row>
    <row r="1180" spans="1:11" x14ac:dyDescent="0.25">
      <c r="A1180" s="249">
        <v>45123</v>
      </c>
      <c r="B1180" s="237">
        <v>1534</v>
      </c>
      <c r="C1180" s="238" t="s">
        <v>989</v>
      </c>
      <c r="D1180" s="239" t="s">
        <v>765</v>
      </c>
      <c r="E1180" s="237">
        <v>3015</v>
      </c>
      <c r="F1180" s="242" t="s">
        <v>1024</v>
      </c>
      <c r="G1180" s="239" t="s">
        <v>928</v>
      </c>
      <c r="H1180" s="240">
        <f t="shared" si="18"/>
        <v>80654</v>
      </c>
      <c r="I1180" s="241"/>
    </row>
    <row r="1181" spans="1:11" x14ac:dyDescent="0.25">
      <c r="A1181" s="249">
        <v>45123</v>
      </c>
      <c r="B1181" s="237">
        <v>3325</v>
      </c>
      <c r="C1181" s="238" t="s">
        <v>1031</v>
      </c>
      <c r="D1181" s="239" t="s">
        <v>763</v>
      </c>
      <c r="E1181" s="237">
        <v>950</v>
      </c>
      <c r="F1181" s="242" t="s">
        <v>1026</v>
      </c>
      <c r="G1181" s="239" t="s">
        <v>928</v>
      </c>
      <c r="H1181" s="240">
        <f t="shared" si="18"/>
        <v>83029</v>
      </c>
      <c r="I1181" s="241" t="s">
        <v>869</v>
      </c>
    </row>
    <row r="1182" spans="1:11" x14ac:dyDescent="0.25">
      <c r="A1182" s="249">
        <v>45123</v>
      </c>
      <c r="B1182" s="237">
        <v>13095</v>
      </c>
      <c r="C1182" s="238" t="s">
        <v>80</v>
      </c>
      <c r="D1182" s="239" t="s">
        <v>763</v>
      </c>
      <c r="E1182" s="237">
        <v>200</v>
      </c>
      <c r="F1182" s="242" t="s">
        <v>27</v>
      </c>
      <c r="G1182" s="239" t="s">
        <v>943</v>
      </c>
      <c r="H1182" s="240">
        <f t="shared" si="18"/>
        <v>95924</v>
      </c>
      <c r="I1182" s="241"/>
    </row>
    <row r="1183" spans="1:11" x14ac:dyDescent="0.25">
      <c r="A1183" s="249">
        <v>45123</v>
      </c>
      <c r="B1183" s="237">
        <v>320</v>
      </c>
      <c r="C1183" s="238" t="s">
        <v>979</v>
      </c>
      <c r="D1183" s="239" t="s">
        <v>765</v>
      </c>
      <c r="E1183" s="237">
        <v>20</v>
      </c>
      <c r="F1183" s="242" t="s">
        <v>471</v>
      </c>
      <c r="G1183" s="239" t="s">
        <v>464</v>
      </c>
      <c r="H1183" s="240">
        <f t="shared" si="18"/>
        <v>96224</v>
      </c>
      <c r="I1183" s="241"/>
    </row>
    <row r="1184" spans="1:11" x14ac:dyDescent="0.25">
      <c r="A1184" s="249">
        <v>45123</v>
      </c>
      <c r="B1184" s="237">
        <v>200</v>
      </c>
      <c r="C1184" s="238" t="s">
        <v>1037</v>
      </c>
      <c r="D1184" s="239" t="s">
        <v>931</v>
      </c>
      <c r="E1184" s="237">
        <v>870</v>
      </c>
      <c r="F1184" s="242" t="s">
        <v>331</v>
      </c>
      <c r="G1184" s="239" t="s">
        <v>929</v>
      </c>
      <c r="H1184" s="240">
        <f t="shared" si="18"/>
        <v>95554</v>
      </c>
      <c r="I1184" s="241"/>
    </row>
    <row r="1185" spans="1:9" x14ac:dyDescent="0.25">
      <c r="A1185" s="249">
        <v>45123</v>
      </c>
      <c r="B1185" s="237">
        <v>775</v>
      </c>
      <c r="C1185" s="238" t="s">
        <v>27</v>
      </c>
      <c r="D1185" s="239" t="s">
        <v>772</v>
      </c>
      <c r="E1185" s="237">
        <v>1690</v>
      </c>
      <c r="F1185" s="242" t="s">
        <v>1029</v>
      </c>
      <c r="G1185" s="239" t="s">
        <v>928</v>
      </c>
      <c r="H1185" s="240">
        <f t="shared" si="18"/>
        <v>94639</v>
      </c>
      <c r="I1185" s="241" t="s">
        <v>51</v>
      </c>
    </row>
    <row r="1186" spans="1:9" x14ac:dyDescent="0.25">
      <c r="A1186" s="249">
        <v>45123</v>
      </c>
      <c r="B1186" s="237">
        <v>1030</v>
      </c>
      <c r="C1186" s="238" t="s">
        <v>27</v>
      </c>
      <c r="D1186" s="239" t="s">
        <v>772</v>
      </c>
      <c r="E1186" s="237">
        <v>1200</v>
      </c>
      <c r="F1186" s="242" t="s">
        <v>1030</v>
      </c>
      <c r="G1186" s="239" t="s">
        <v>928</v>
      </c>
      <c r="H1186" s="240">
        <f t="shared" si="18"/>
        <v>94469</v>
      </c>
      <c r="I1186" s="241"/>
    </row>
    <row r="1187" spans="1:9" x14ac:dyDescent="0.25">
      <c r="A1187" s="249">
        <v>45123</v>
      </c>
      <c r="B1187" s="237">
        <v>2020</v>
      </c>
      <c r="C1187" s="238" t="s">
        <v>27</v>
      </c>
      <c r="D1187" s="239" t="s">
        <v>772</v>
      </c>
      <c r="E1187" s="237">
        <v>5315</v>
      </c>
      <c r="F1187" s="242" t="s">
        <v>47</v>
      </c>
      <c r="G1187" s="239" t="s">
        <v>928</v>
      </c>
      <c r="H1187" s="240">
        <f t="shared" si="18"/>
        <v>91174</v>
      </c>
      <c r="I1187" s="241"/>
    </row>
    <row r="1188" spans="1:9" x14ac:dyDescent="0.25">
      <c r="A1188" s="249">
        <v>45123</v>
      </c>
      <c r="B1188" s="237">
        <v>23340</v>
      </c>
      <c r="C1188" s="238" t="s">
        <v>363</v>
      </c>
      <c r="D1188" s="239" t="s">
        <v>763</v>
      </c>
      <c r="E1188" s="237">
        <v>180</v>
      </c>
      <c r="F1188" s="242" t="s">
        <v>399</v>
      </c>
      <c r="G1188" s="239" t="s">
        <v>930</v>
      </c>
      <c r="H1188" s="240">
        <f t="shared" si="18"/>
        <v>114334</v>
      </c>
      <c r="I1188" s="241"/>
    </row>
    <row r="1189" spans="1:9" x14ac:dyDescent="0.25">
      <c r="A1189" s="249">
        <v>45123</v>
      </c>
      <c r="B1189" s="237">
        <v>1560</v>
      </c>
      <c r="C1189" s="238" t="s">
        <v>913</v>
      </c>
      <c r="D1189" s="239" t="s">
        <v>765</v>
      </c>
      <c r="E1189" s="237">
        <v>115</v>
      </c>
      <c r="F1189" s="242" t="s">
        <v>393</v>
      </c>
      <c r="G1189" s="239" t="s">
        <v>930</v>
      </c>
      <c r="H1189" s="240">
        <f t="shared" si="18"/>
        <v>115779</v>
      </c>
      <c r="I1189" s="241"/>
    </row>
    <row r="1190" spans="1:9" x14ac:dyDescent="0.25">
      <c r="A1190" s="249">
        <v>45123</v>
      </c>
      <c r="B1190" s="237">
        <v>4513</v>
      </c>
      <c r="C1190" s="238" t="s">
        <v>60</v>
      </c>
      <c r="D1190" s="239" t="s">
        <v>763</v>
      </c>
      <c r="E1190" s="237">
        <v>105</v>
      </c>
      <c r="F1190" s="242" t="s">
        <v>19</v>
      </c>
      <c r="G1190" s="239" t="s">
        <v>930</v>
      </c>
      <c r="H1190" s="240">
        <f t="shared" si="18"/>
        <v>120187</v>
      </c>
      <c r="I1190" s="241"/>
    </row>
    <row r="1191" spans="1:9" x14ac:dyDescent="0.25">
      <c r="A1191" s="249">
        <v>45123</v>
      </c>
      <c r="B1191" s="237">
        <v>355</v>
      </c>
      <c r="C1191" s="238" t="s">
        <v>27</v>
      </c>
      <c r="D1191" s="239" t="s">
        <v>772</v>
      </c>
      <c r="E1191" s="237">
        <v>250</v>
      </c>
      <c r="F1191" s="242" t="s">
        <v>8</v>
      </c>
      <c r="G1191" s="239" t="s">
        <v>930</v>
      </c>
      <c r="H1191" s="240">
        <f t="shared" si="18"/>
        <v>120292</v>
      </c>
      <c r="I1191" s="241"/>
    </row>
    <row r="1192" spans="1:9" x14ac:dyDescent="0.25">
      <c r="A1192" s="249">
        <v>45123</v>
      </c>
      <c r="B1192" s="237">
        <v>100</v>
      </c>
      <c r="C1192" s="238" t="s">
        <v>1061</v>
      </c>
      <c r="D1192" s="239"/>
      <c r="E1192" s="237">
        <v>575</v>
      </c>
      <c r="F1192" s="242" t="s">
        <v>11</v>
      </c>
      <c r="G1192" s="239" t="s">
        <v>935</v>
      </c>
      <c r="H1192" s="240">
        <f>H1191+B1192-E1192</f>
        <v>119817</v>
      </c>
      <c r="I1192" s="241"/>
    </row>
    <row r="1193" spans="1:9" x14ac:dyDescent="0.25">
      <c r="A1193" s="249">
        <v>45123</v>
      </c>
      <c r="B1193" s="237">
        <v>16507</v>
      </c>
      <c r="C1193" s="238" t="s">
        <v>88</v>
      </c>
      <c r="D1193" s="239"/>
      <c r="E1193" s="237">
        <v>605</v>
      </c>
      <c r="F1193" s="242" t="s">
        <v>656</v>
      </c>
      <c r="G1193" s="239" t="s">
        <v>928</v>
      </c>
      <c r="H1193" s="240">
        <f>H1192+B1193-E1193</f>
        <v>135719</v>
      </c>
      <c r="I1193" s="241"/>
    </row>
    <row r="1194" spans="1:9" x14ac:dyDescent="0.25">
      <c r="A1194" s="249">
        <v>45123</v>
      </c>
      <c r="B1194" s="237">
        <v>260</v>
      </c>
      <c r="C1194" s="238" t="s">
        <v>1062</v>
      </c>
      <c r="D1194" s="239"/>
      <c r="E1194" s="237">
        <v>270</v>
      </c>
      <c r="F1194" s="242" t="s">
        <v>1032</v>
      </c>
      <c r="G1194" s="239" t="s">
        <v>928</v>
      </c>
      <c r="H1194" s="240">
        <f t="shared" si="18"/>
        <v>135709</v>
      </c>
      <c r="I1194" s="241"/>
    </row>
    <row r="1195" spans="1:9" x14ac:dyDescent="0.25">
      <c r="A1195" s="249">
        <v>45123</v>
      </c>
      <c r="B1195" s="237">
        <v>7910</v>
      </c>
      <c r="C1195" s="238" t="s">
        <v>121</v>
      </c>
      <c r="D1195" s="239"/>
      <c r="E1195" s="237">
        <v>2155</v>
      </c>
      <c r="F1195" s="242" t="s">
        <v>12</v>
      </c>
      <c r="G1195" s="239" t="s">
        <v>974</v>
      </c>
      <c r="H1195" s="240">
        <f>H1194+B1195-E1195</f>
        <v>141464</v>
      </c>
      <c r="I1195" s="241"/>
    </row>
    <row r="1196" spans="1:9" x14ac:dyDescent="0.25">
      <c r="A1196" s="249">
        <v>45123</v>
      </c>
      <c r="B1196" s="237">
        <v>445</v>
      </c>
      <c r="C1196" s="238" t="s">
        <v>1013</v>
      </c>
      <c r="D1196" s="239"/>
      <c r="E1196" s="237">
        <v>450</v>
      </c>
      <c r="F1196" s="242" t="s">
        <v>252</v>
      </c>
      <c r="G1196" s="239" t="s">
        <v>928</v>
      </c>
      <c r="H1196" s="240">
        <f t="shared" ref="H1196:H1259" si="19">H1195+B1196-E1196</f>
        <v>141459</v>
      </c>
      <c r="I1196" s="241"/>
    </row>
    <row r="1197" spans="1:9" x14ac:dyDescent="0.25">
      <c r="A1197" s="249">
        <v>45123</v>
      </c>
      <c r="B1197" s="237">
        <v>12582</v>
      </c>
      <c r="C1197" s="238" t="s">
        <v>85</v>
      </c>
      <c r="D1197" s="239"/>
      <c r="E1197" s="237">
        <v>500</v>
      </c>
      <c r="F1197" s="242" t="s">
        <v>610</v>
      </c>
      <c r="G1197" s="239" t="s">
        <v>943</v>
      </c>
      <c r="H1197" s="240">
        <f t="shared" si="19"/>
        <v>153541</v>
      </c>
      <c r="I1197" s="241" t="s">
        <v>80</v>
      </c>
    </row>
    <row r="1198" spans="1:9" x14ac:dyDescent="0.25">
      <c r="A1198" s="249">
        <v>45123</v>
      </c>
      <c r="B1198" s="237">
        <v>17961</v>
      </c>
      <c r="C1198" s="238" t="s">
        <v>15</v>
      </c>
      <c r="D1198" s="239"/>
      <c r="E1198" s="237">
        <v>30</v>
      </c>
      <c r="F1198" s="242" t="s">
        <v>63</v>
      </c>
      <c r="G1198" s="239" t="s">
        <v>928</v>
      </c>
      <c r="H1198" s="240">
        <f t="shared" si="19"/>
        <v>171472</v>
      </c>
      <c r="I1198" s="241" t="s">
        <v>1034</v>
      </c>
    </row>
    <row r="1199" spans="1:9" x14ac:dyDescent="0.25">
      <c r="A1199" s="249">
        <v>45123</v>
      </c>
      <c r="B1199" s="237">
        <v>171</v>
      </c>
      <c r="C1199" s="238" t="s">
        <v>916</v>
      </c>
      <c r="D1199" s="239"/>
      <c r="E1199" s="237">
        <v>2887</v>
      </c>
      <c r="F1199" s="242" t="s">
        <v>1035</v>
      </c>
      <c r="G1199" s="239" t="s">
        <v>929</v>
      </c>
      <c r="H1199" s="240">
        <f t="shared" si="19"/>
        <v>168756</v>
      </c>
      <c r="I1199" s="241" t="s">
        <v>1036</v>
      </c>
    </row>
    <row r="1200" spans="1:9" x14ac:dyDescent="0.25">
      <c r="A1200" s="249">
        <v>45123</v>
      </c>
      <c r="B1200" s="237"/>
      <c r="C1200" s="238"/>
      <c r="D1200" s="239"/>
      <c r="E1200" s="237">
        <v>125</v>
      </c>
      <c r="F1200" s="242" t="s">
        <v>38</v>
      </c>
      <c r="G1200" s="239" t="s">
        <v>930</v>
      </c>
      <c r="H1200" s="240">
        <f t="shared" si="19"/>
        <v>168631</v>
      </c>
      <c r="I1200" s="241"/>
    </row>
    <row r="1201" spans="1:9" x14ac:dyDescent="0.25">
      <c r="A1201" s="249">
        <v>45123</v>
      </c>
      <c r="B1201" s="237"/>
      <c r="C1201" s="238"/>
      <c r="D1201" s="239"/>
      <c r="E1201" s="237">
        <v>75</v>
      </c>
      <c r="F1201" s="242" t="s">
        <v>13</v>
      </c>
      <c r="G1201" s="239" t="s">
        <v>930</v>
      </c>
      <c r="H1201" s="240">
        <f t="shared" si="19"/>
        <v>168556</v>
      </c>
      <c r="I1201" s="241"/>
    </row>
    <row r="1202" spans="1:9" x14ac:dyDescent="0.25">
      <c r="A1202" s="249">
        <v>45123</v>
      </c>
      <c r="B1202" s="237"/>
      <c r="C1202" s="238"/>
      <c r="D1202" s="239"/>
      <c r="E1202" s="237">
        <v>1980</v>
      </c>
      <c r="F1202" s="242" t="s">
        <v>27</v>
      </c>
      <c r="G1202" s="239" t="s">
        <v>943</v>
      </c>
      <c r="H1202" s="240">
        <f t="shared" si="19"/>
        <v>166576</v>
      </c>
      <c r="I1202" s="241" t="s">
        <v>30</v>
      </c>
    </row>
    <row r="1203" spans="1:9" x14ac:dyDescent="0.25">
      <c r="A1203" s="249">
        <v>45123</v>
      </c>
      <c r="B1203" s="237"/>
      <c r="C1203" s="238"/>
      <c r="D1203" s="239"/>
      <c r="E1203" s="237">
        <v>2390</v>
      </c>
      <c r="F1203" s="242" t="s">
        <v>1038</v>
      </c>
      <c r="G1203" s="239" t="s">
        <v>928</v>
      </c>
      <c r="H1203" s="240">
        <f t="shared" si="19"/>
        <v>164186</v>
      </c>
      <c r="I1203" s="241" t="s">
        <v>1039</v>
      </c>
    </row>
    <row r="1204" spans="1:9" x14ac:dyDescent="0.25">
      <c r="A1204" s="249">
        <v>45123</v>
      </c>
      <c r="B1204" s="237"/>
      <c r="C1204" s="238"/>
      <c r="D1204" s="239"/>
      <c r="E1204" s="237">
        <v>4360</v>
      </c>
      <c r="F1204" s="242" t="s">
        <v>803</v>
      </c>
      <c r="G1204" s="239" t="s">
        <v>928</v>
      </c>
      <c r="H1204" s="240">
        <f t="shared" si="19"/>
        <v>159826</v>
      </c>
      <c r="I1204" s="241" t="s">
        <v>1040</v>
      </c>
    </row>
    <row r="1205" spans="1:9" x14ac:dyDescent="0.25">
      <c r="A1205" s="249">
        <v>45123</v>
      </c>
      <c r="B1205" s="237"/>
      <c r="C1205" s="238"/>
      <c r="D1205" s="239"/>
      <c r="E1205" s="237">
        <v>2590</v>
      </c>
      <c r="F1205" s="242" t="s">
        <v>1041</v>
      </c>
      <c r="G1205" s="239" t="s">
        <v>928</v>
      </c>
      <c r="H1205" s="240">
        <f t="shared" si="19"/>
        <v>157236</v>
      </c>
      <c r="I1205" s="241"/>
    </row>
    <row r="1206" spans="1:9" x14ac:dyDescent="0.25">
      <c r="A1206" s="249">
        <v>45123</v>
      </c>
      <c r="B1206" s="237"/>
      <c r="C1206" s="238"/>
      <c r="D1206" s="239"/>
      <c r="E1206" s="237">
        <v>1695</v>
      </c>
      <c r="F1206" s="242" t="s">
        <v>236</v>
      </c>
      <c r="G1206" s="239" t="s">
        <v>928</v>
      </c>
      <c r="H1206" s="240">
        <f t="shared" si="19"/>
        <v>155541</v>
      </c>
      <c r="I1206" s="241"/>
    </row>
    <row r="1207" spans="1:9" x14ac:dyDescent="0.25">
      <c r="A1207" s="249">
        <v>45123</v>
      </c>
      <c r="B1207" s="237"/>
      <c r="C1207" s="238"/>
      <c r="D1207" s="239"/>
      <c r="E1207" s="237">
        <v>215</v>
      </c>
      <c r="F1207" s="242" t="s">
        <v>741</v>
      </c>
      <c r="G1207" s="239" t="s">
        <v>930</v>
      </c>
      <c r="H1207" s="240">
        <f t="shared" si="19"/>
        <v>155326</v>
      </c>
      <c r="I1207" s="241"/>
    </row>
    <row r="1208" spans="1:9" x14ac:dyDescent="0.25">
      <c r="A1208" s="249">
        <v>45123</v>
      </c>
      <c r="B1208" s="237"/>
      <c r="C1208" s="238"/>
      <c r="D1208" s="239"/>
      <c r="E1208" s="237">
        <v>3800</v>
      </c>
      <c r="F1208" s="242" t="s">
        <v>1051</v>
      </c>
      <c r="G1208" s="239" t="s">
        <v>928</v>
      </c>
      <c r="H1208" s="240">
        <f t="shared" si="19"/>
        <v>151526</v>
      </c>
      <c r="I1208" s="241"/>
    </row>
    <row r="1209" spans="1:9" x14ac:dyDescent="0.25">
      <c r="A1209" s="249">
        <v>45123</v>
      </c>
      <c r="B1209" s="237"/>
      <c r="C1209" s="238"/>
      <c r="D1209" s="239"/>
      <c r="E1209" s="237">
        <v>5230</v>
      </c>
      <c r="F1209" s="242" t="s">
        <v>1042</v>
      </c>
      <c r="G1209" s="239" t="s">
        <v>928</v>
      </c>
      <c r="H1209" s="240">
        <f t="shared" si="19"/>
        <v>146296</v>
      </c>
      <c r="I1209" s="241" t="s">
        <v>902</v>
      </c>
    </row>
    <row r="1210" spans="1:9" x14ac:dyDescent="0.25">
      <c r="A1210" s="249">
        <v>45123</v>
      </c>
      <c r="B1210" s="237"/>
      <c r="C1210" s="238"/>
      <c r="D1210" s="239"/>
      <c r="E1210" s="237">
        <v>200</v>
      </c>
      <c r="F1210" s="242" t="s">
        <v>1043</v>
      </c>
      <c r="G1210" s="239" t="s">
        <v>931</v>
      </c>
      <c r="H1210" s="240">
        <f t="shared" si="19"/>
        <v>146096</v>
      </c>
      <c r="I1210" s="241"/>
    </row>
    <row r="1211" spans="1:9" x14ac:dyDescent="0.25">
      <c r="A1211" s="249">
        <v>45123</v>
      </c>
      <c r="B1211" s="237"/>
      <c r="C1211" s="238"/>
      <c r="D1211" s="239"/>
      <c r="E1211" s="237">
        <v>1940</v>
      </c>
      <c r="F1211" s="242" t="s">
        <v>1044</v>
      </c>
      <c r="G1211" s="239" t="s">
        <v>929</v>
      </c>
      <c r="H1211" s="240">
        <f t="shared" si="19"/>
        <v>144156</v>
      </c>
      <c r="I1211" s="241"/>
    </row>
    <row r="1212" spans="1:9" x14ac:dyDescent="0.25">
      <c r="A1212" s="249">
        <v>45123</v>
      </c>
      <c r="B1212" s="237"/>
      <c r="C1212" s="238"/>
      <c r="D1212" s="239"/>
      <c r="E1212" s="237">
        <v>5000</v>
      </c>
      <c r="F1212" s="242" t="s">
        <v>182</v>
      </c>
      <c r="G1212" s="239" t="s">
        <v>941</v>
      </c>
      <c r="H1212" s="240">
        <f t="shared" si="19"/>
        <v>139156</v>
      </c>
      <c r="I1212" s="241"/>
    </row>
    <row r="1213" spans="1:9" x14ac:dyDescent="0.25">
      <c r="A1213" s="249">
        <v>45123</v>
      </c>
      <c r="B1213" s="237"/>
      <c r="C1213" s="238"/>
      <c r="D1213" s="239"/>
      <c r="E1213" s="237">
        <v>120</v>
      </c>
      <c r="F1213" s="242" t="s">
        <v>376</v>
      </c>
      <c r="G1213" s="239" t="s">
        <v>930</v>
      </c>
      <c r="H1213" s="240">
        <f t="shared" si="19"/>
        <v>139036</v>
      </c>
      <c r="I1213" s="241"/>
    </row>
    <row r="1214" spans="1:9" x14ac:dyDescent="0.25">
      <c r="A1214" s="249">
        <v>45123</v>
      </c>
      <c r="B1214" s="237"/>
      <c r="C1214" s="238"/>
      <c r="D1214" s="239"/>
      <c r="E1214" s="237">
        <v>1500</v>
      </c>
      <c r="F1214" s="242" t="s">
        <v>230</v>
      </c>
      <c r="G1214" s="239" t="s">
        <v>928</v>
      </c>
      <c r="H1214" s="240">
        <f t="shared" si="19"/>
        <v>137536</v>
      </c>
      <c r="I1214" s="241"/>
    </row>
    <row r="1215" spans="1:9" x14ac:dyDescent="0.25">
      <c r="A1215" s="249">
        <v>45123</v>
      </c>
      <c r="B1215" s="237"/>
      <c r="C1215" s="238"/>
      <c r="D1215" s="239"/>
      <c r="E1215" s="237">
        <v>9850</v>
      </c>
      <c r="F1215" s="242" t="s">
        <v>1046</v>
      </c>
      <c r="G1215" s="239" t="s">
        <v>936</v>
      </c>
      <c r="H1215" s="240">
        <f t="shared" si="19"/>
        <v>127686</v>
      </c>
      <c r="I1215" s="241" t="s">
        <v>1045</v>
      </c>
    </row>
    <row r="1216" spans="1:9" x14ac:dyDescent="0.25">
      <c r="A1216" s="249">
        <v>45123</v>
      </c>
      <c r="B1216" s="237"/>
      <c r="C1216" s="238"/>
      <c r="D1216" s="239"/>
      <c r="E1216" s="237">
        <v>4850</v>
      </c>
      <c r="F1216" s="242" t="s">
        <v>1047</v>
      </c>
      <c r="G1216" s="239" t="s">
        <v>931</v>
      </c>
      <c r="H1216" s="240">
        <f t="shared" si="19"/>
        <v>122836</v>
      </c>
      <c r="I1216" s="241"/>
    </row>
    <row r="1217" spans="1:9" x14ac:dyDescent="0.25">
      <c r="A1217" s="249">
        <v>45123</v>
      </c>
      <c r="B1217" s="237"/>
      <c r="C1217" s="238"/>
      <c r="D1217" s="239"/>
      <c r="E1217" s="237">
        <v>1400</v>
      </c>
      <c r="F1217" s="242" t="s">
        <v>1048</v>
      </c>
      <c r="G1217" s="239" t="s">
        <v>464</v>
      </c>
      <c r="H1217" s="240">
        <f t="shared" si="19"/>
        <v>121436</v>
      </c>
      <c r="I1217" s="241"/>
    </row>
    <row r="1218" spans="1:9" x14ac:dyDescent="0.25">
      <c r="A1218" s="249">
        <v>45123</v>
      </c>
      <c r="B1218" s="237"/>
      <c r="C1218" s="238"/>
      <c r="D1218" s="239"/>
      <c r="E1218" s="237">
        <v>400</v>
      </c>
      <c r="F1218" s="242" t="s">
        <v>1049</v>
      </c>
      <c r="G1218" s="239" t="s">
        <v>464</v>
      </c>
      <c r="H1218" s="240">
        <f t="shared" si="19"/>
        <v>121036</v>
      </c>
      <c r="I1218" s="241"/>
    </row>
    <row r="1219" spans="1:9" x14ac:dyDescent="0.25">
      <c r="A1219" s="249">
        <v>45123</v>
      </c>
      <c r="B1219" s="237"/>
      <c r="C1219" s="238"/>
      <c r="D1219" s="239"/>
      <c r="E1219" s="237">
        <v>90</v>
      </c>
      <c r="F1219" s="242" t="s">
        <v>223</v>
      </c>
      <c r="G1219" s="239" t="s">
        <v>930</v>
      </c>
      <c r="H1219" s="240">
        <f t="shared" si="19"/>
        <v>120946</v>
      </c>
      <c r="I1219" s="241"/>
    </row>
    <row r="1220" spans="1:9" x14ac:dyDescent="0.25">
      <c r="A1220" s="249">
        <v>45123</v>
      </c>
      <c r="B1220" s="237"/>
      <c r="C1220" s="238"/>
      <c r="D1220" s="239"/>
      <c r="E1220" s="237">
        <v>1600</v>
      </c>
      <c r="F1220" s="242" t="s">
        <v>14</v>
      </c>
      <c r="G1220" s="239" t="s">
        <v>935</v>
      </c>
      <c r="H1220" s="240">
        <f t="shared" si="19"/>
        <v>119346</v>
      </c>
      <c r="I1220" s="241"/>
    </row>
    <row r="1221" spans="1:9" x14ac:dyDescent="0.25">
      <c r="A1221" s="249">
        <v>45123</v>
      </c>
      <c r="B1221" s="237"/>
      <c r="C1221" s="238"/>
      <c r="D1221" s="239"/>
      <c r="E1221" s="237">
        <v>50</v>
      </c>
      <c r="F1221" s="242" t="s">
        <v>1052</v>
      </c>
      <c r="G1221" s="239" t="s">
        <v>931</v>
      </c>
      <c r="H1221" s="240">
        <f t="shared" si="19"/>
        <v>119296</v>
      </c>
      <c r="I1221" s="241"/>
    </row>
    <row r="1222" spans="1:9" x14ac:dyDescent="0.25">
      <c r="A1222" s="249">
        <v>45123</v>
      </c>
      <c r="B1222" s="237"/>
      <c r="C1222" s="238"/>
      <c r="D1222" s="239"/>
      <c r="E1222" s="237">
        <v>50</v>
      </c>
      <c r="F1222" s="242" t="s">
        <v>373</v>
      </c>
      <c r="G1222" s="239" t="s">
        <v>931</v>
      </c>
      <c r="H1222" s="240">
        <f t="shared" si="19"/>
        <v>119246</v>
      </c>
      <c r="I1222" s="241" t="s">
        <v>1053</v>
      </c>
    </row>
    <row r="1223" spans="1:9" x14ac:dyDescent="0.25">
      <c r="A1223" s="249">
        <v>45123</v>
      </c>
      <c r="B1223" s="237"/>
      <c r="C1223" s="238"/>
      <c r="D1223" s="239"/>
      <c r="E1223" s="237">
        <v>185</v>
      </c>
      <c r="F1223" s="242" t="s">
        <v>1054</v>
      </c>
      <c r="G1223" s="239" t="s">
        <v>930</v>
      </c>
      <c r="H1223" s="240">
        <f t="shared" si="19"/>
        <v>119061</v>
      </c>
      <c r="I1223" s="241"/>
    </row>
    <row r="1224" spans="1:9" x14ac:dyDescent="0.25">
      <c r="A1224" s="249">
        <v>45123</v>
      </c>
      <c r="B1224" s="237"/>
      <c r="C1224" s="238"/>
      <c r="D1224" s="239"/>
      <c r="E1224" s="237">
        <v>1548</v>
      </c>
      <c r="F1224" s="242" t="s">
        <v>45</v>
      </c>
      <c r="G1224" s="239" t="s">
        <v>928</v>
      </c>
      <c r="H1224" s="240">
        <f t="shared" si="19"/>
        <v>117513</v>
      </c>
      <c r="I1224" s="241"/>
    </row>
    <row r="1225" spans="1:9" x14ac:dyDescent="0.25">
      <c r="A1225" s="249">
        <v>45123</v>
      </c>
      <c r="B1225" s="237"/>
      <c r="C1225" s="238"/>
      <c r="D1225" s="239"/>
      <c r="E1225" s="237">
        <v>10000</v>
      </c>
      <c r="F1225" s="242" t="s">
        <v>27</v>
      </c>
      <c r="G1225" s="239" t="s">
        <v>943</v>
      </c>
      <c r="H1225" s="240">
        <f t="shared" si="19"/>
        <v>107513</v>
      </c>
      <c r="I1225" s="241"/>
    </row>
    <row r="1226" spans="1:9" x14ac:dyDescent="0.25">
      <c r="A1226" s="249">
        <v>45123</v>
      </c>
      <c r="B1226" s="237"/>
      <c r="C1226" s="238"/>
      <c r="D1226" s="239"/>
      <c r="E1226" s="237">
        <v>2250</v>
      </c>
      <c r="F1226" s="242" t="s">
        <v>814</v>
      </c>
      <c r="G1226" s="239" t="s">
        <v>928</v>
      </c>
      <c r="H1226" s="240">
        <f t="shared" si="19"/>
        <v>105263</v>
      </c>
      <c r="I1226" s="241"/>
    </row>
    <row r="1227" spans="1:9" x14ac:dyDescent="0.25">
      <c r="A1227" s="249">
        <v>45123</v>
      </c>
      <c r="B1227" s="237"/>
      <c r="C1227" s="238"/>
      <c r="D1227" s="239"/>
      <c r="E1227" s="237">
        <v>75</v>
      </c>
      <c r="F1227" s="242" t="s">
        <v>26</v>
      </c>
      <c r="G1227" s="239" t="s">
        <v>930</v>
      </c>
      <c r="H1227" s="240">
        <f t="shared" si="19"/>
        <v>105188</v>
      </c>
      <c r="I1227" s="241" t="s">
        <v>1057</v>
      </c>
    </row>
    <row r="1228" spans="1:9" x14ac:dyDescent="0.25">
      <c r="A1228" s="249">
        <v>45123</v>
      </c>
      <c r="B1228" s="237"/>
      <c r="C1228" s="238"/>
      <c r="D1228" s="239"/>
      <c r="E1228" s="320">
        <v>120</v>
      </c>
      <c r="F1228" s="321" t="s">
        <v>376</v>
      </c>
      <c r="G1228" s="239" t="s">
        <v>930</v>
      </c>
      <c r="H1228" s="240">
        <f t="shared" si="19"/>
        <v>105068</v>
      </c>
      <c r="I1228" s="241"/>
    </row>
    <row r="1229" spans="1:9" x14ac:dyDescent="0.25">
      <c r="A1229" s="249">
        <v>45123</v>
      </c>
      <c r="B1229" s="237"/>
      <c r="C1229" s="238"/>
      <c r="D1229" s="239"/>
      <c r="E1229" s="237">
        <v>5000</v>
      </c>
      <c r="F1229" s="242" t="s">
        <v>1058</v>
      </c>
      <c r="G1229" s="239" t="s">
        <v>928</v>
      </c>
      <c r="H1229" s="240">
        <f t="shared" si="19"/>
        <v>100068</v>
      </c>
      <c r="I1229" s="241"/>
    </row>
    <row r="1230" spans="1:9" x14ac:dyDescent="0.25">
      <c r="A1230" s="249">
        <v>45123</v>
      </c>
      <c r="B1230" s="237"/>
      <c r="C1230" s="238"/>
      <c r="D1230" s="239"/>
      <c r="E1230" s="320">
        <v>190</v>
      </c>
      <c r="F1230" s="321" t="s">
        <v>255</v>
      </c>
      <c r="G1230" s="239" t="s">
        <v>930</v>
      </c>
      <c r="H1230" s="240">
        <f t="shared" si="19"/>
        <v>99878</v>
      </c>
      <c r="I1230" s="241"/>
    </row>
    <row r="1231" spans="1:9" x14ac:dyDescent="0.25">
      <c r="A1231" s="249">
        <v>45123</v>
      </c>
      <c r="B1231" s="237"/>
      <c r="C1231" s="238"/>
      <c r="D1231" s="239"/>
      <c r="E1231" s="320">
        <v>27</v>
      </c>
      <c r="F1231" s="321" t="s">
        <v>212</v>
      </c>
      <c r="G1231" s="239" t="s">
        <v>464</v>
      </c>
      <c r="H1231" s="240">
        <f t="shared" si="19"/>
        <v>99851</v>
      </c>
      <c r="I1231" s="241"/>
    </row>
    <row r="1232" spans="1:9" x14ac:dyDescent="0.25">
      <c r="A1232" s="249">
        <v>45123</v>
      </c>
      <c r="B1232" s="237"/>
      <c r="C1232" s="238"/>
      <c r="D1232" s="239"/>
      <c r="E1232" s="320">
        <v>13480</v>
      </c>
      <c r="F1232" s="321" t="s">
        <v>358</v>
      </c>
      <c r="G1232" s="239" t="s">
        <v>938</v>
      </c>
      <c r="H1232" s="240">
        <f t="shared" si="19"/>
        <v>86371</v>
      </c>
      <c r="I1232" s="241"/>
    </row>
    <row r="1233" spans="1:9" x14ac:dyDescent="0.25">
      <c r="A1233" s="249">
        <v>45123</v>
      </c>
      <c r="B1233" s="237"/>
      <c r="C1233" s="238"/>
      <c r="D1233" s="239"/>
      <c r="E1233" s="320">
        <v>260</v>
      </c>
      <c r="F1233" s="321" t="s">
        <v>709</v>
      </c>
      <c r="G1233" s="239" t="s">
        <v>930</v>
      </c>
      <c r="H1233" s="240">
        <f t="shared" si="19"/>
        <v>86111</v>
      </c>
      <c r="I1233" s="241"/>
    </row>
    <row r="1234" spans="1:9" x14ac:dyDescent="0.25">
      <c r="A1234" s="249">
        <v>45123</v>
      </c>
      <c r="B1234" s="237"/>
      <c r="C1234" s="238"/>
      <c r="D1234" s="239"/>
      <c r="E1234" s="320">
        <v>100</v>
      </c>
      <c r="F1234" s="321" t="s">
        <v>9</v>
      </c>
      <c r="G1234" s="239" t="s">
        <v>930</v>
      </c>
      <c r="H1234" s="240">
        <f t="shared" si="19"/>
        <v>86011</v>
      </c>
      <c r="I1234" s="241"/>
    </row>
    <row r="1235" spans="1:9" x14ac:dyDescent="0.25">
      <c r="A1235" s="249">
        <v>45123</v>
      </c>
      <c r="B1235" s="237"/>
      <c r="C1235" s="238"/>
      <c r="D1235" s="239"/>
      <c r="E1235" s="320">
        <v>120</v>
      </c>
      <c r="F1235" s="321" t="s">
        <v>39</v>
      </c>
      <c r="G1235" s="239" t="s">
        <v>930</v>
      </c>
      <c r="H1235" s="240">
        <f t="shared" si="19"/>
        <v>85891</v>
      </c>
      <c r="I1235" s="241"/>
    </row>
    <row r="1236" spans="1:9" x14ac:dyDescent="0.25">
      <c r="A1236" s="249">
        <v>45123</v>
      </c>
      <c r="B1236" s="237"/>
      <c r="C1236" s="238"/>
      <c r="D1236" s="239"/>
      <c r="E1236" s="320">
        <v>140</v>
      </c>
      <c r="F1236" s="321" t="s">
        <v>341</v>
      </c>
      <c r="G1236" s="239" t="s">
        <v>930</v>
      </c>
      <c r="H1236" s="240">
        <f t="shared" si="19"/>
        <v>85751</v>
      </c>
      <c r="I1236" s="241"/>
    </row>
    <row r="1237" spans="1:9" x14ac:dyDescent="0.25">
      <c r="A1237" s="249">
        <v>45123</v>
      </c>
      <c r="B1237" s="237"/>
      <c r="C1237" s="238"/>
      <c r="D1237" s="239"/>
      <c r="E1237" s="320">
        <v>205</v>
      </c>
      <c r="F1237" s="321" t="s">
        <v>1059</v>
      </c>
      <c r="G1237" s="239" t="s">
        <v>935</v>
      </c>
      <c r="H1237" s="240">
        <f t="shared" si="19"/>
        <v>85546</v>
      </c>
      <c r="I1237" s="241"/>
    </row>
    <row r="1238" spans="1:9" x14ac:dyDescent="0.25">
      <c r="A1238" s="249">
        <v>45123</v>
      </c>
      <c r="B1238" s="237"/>
      <c r="C1238" s="238"/>
      <c r="D1238" s="239"/>
      <c r="E1238" s="320">
        <v>250</v>
      </c>
      <c r="F1238" s="321" t="s">
        <v>11</v>
      </c>
      <c r="G1238" s="239" t="s">
        <v>935</v>
      </c>
      <c r="H1238" s="240">
        <f t="shared" si="19"/>
        <v>85296</v>
      </c>
      <c r="I1238" s="241"/>
    </row>
    <row r="1239" spans="1:9" x14ac:dyDescent="0.25">
      <c r="A1239" s="249">
        <v>45123</v>
      </c>
      <c r="B1239" s="237"/>
      <c r="C1239" s="238"/>
      <c r="D1239" s="239"/>
      <c r="E1239" s="320">
        <v>175</v>
      </c>
      <c r="F1239" s="321" t="s">
        <v>265</v>
      </c>
      <c r="G1239" s="239" t="s">
        <v>935</v>
      </c>
      <c r="H1239" s="240">
        <f t="shared" si="19"/>
        <v>85121</v>
      </c>
      <c r="I1239" s="241"/>
    </row>
    <row r="1240" spans="1:9" x14ac:dyDescent="0.25">
      <c r="A1240" s="249">
        <v>45123</v>
      </c>
      <c r="B1240" s="237"/>
      <c r="C1240" s="238"/>
      <c r="D1240" s="239"/>
      <c r="E1240" s="320">
        <v>735</v>
      </c>
      <c r="F1240" s="321" t="s">
        <v>1060</v>
      </c>
      <c r="G1240" s="239" t="s">
        <v>928</v>
      </c>
      <c r="H1240" s="240">
        <f t="shared" si="19"/>
        <v>84386</v>
      </c>
      <c r="I1240" s="241"/>
    </row>
    <row r="1241" spans="1:9" x14ac:dyDescent="0.25">
      <c r="A1241" s="249">
        <v>45123</v>
      </c>
      <c r="B1241" s="237"/>
      <c r="C1241" s="238"/>
      <c r="D1241" s="239"/>
      <c r="E1241" s="320">
        <v>545</v>
      </c>
      <c r="F1241" s="321" t="s">
        <v>215</v>
      </c>
      <c r="G1241" s="239" t="s">
        <v>935</v>
      </c>
      <c r="H1241" s="240">
        <f t="shared" si="19"/>
        <v>83841</v>
      </c>
      <c r="I1241" s="241"/>
    </row>
    <row r="1242" spans="1:9" x14ac:dyDescent="0.25">
      <c r="A1242" s="249">
        <v>45123</v>
      </c>
      <c r="B1242" s="237"/>
      <c r="C1242" s="238"/>
      <c r="D1242" s="239"/>
      <c r="E1242" s="320">
        <v>100</v>
      </c>
      <c r="F1242" s="321" t="s">
        <v>350</v>
      </c>
      <c r="G1242" s="239" t="s">
        <v>931</v>
      </c>
      <c r="H1242" s="240">
        <f t="shared" si="19"/>
        <v>83741</v>
      </c>
      <c r="I1242" s="241"/>
    </row>
    <row r="1243" spans="1:9" x14ac:dyDescent="0.25">
      <c r="A1243" s="249">
        <v>45123</v>
      </c>
      <c r="B1243" s="237"/>
      <c r="C1243" s="238"/>
      <c r="D1243" s="239"/>
      <c r="E1243" s="237">
        <v>2040</v>
      </c>
      <c r="F1243" s="242" t="s">
        <v>12</v>
      </c>
      <c r="G1243" s="239" t="s">
        <v>974</v>
      </c>
      <c r="H1243" s="240">
        <f t="shared" si="19"/>
        <v>81701</v>
      </c>
      <c r="I1243" s="241"/>
    </row>
    <row r="1244" spans="1:9" x14ac:dyDescent="0.25">
      <c r="A1244" s="249">
        <v>45123</v>
      </c>
      <c r="B1244" s="237"/>
      <c r="C1244" s="238"/>
      <c r="D1244" s="239"/>
      <c r="E1244" s="320">
        <v>5</v>
      </c>
      <c r="F1244" s="321" t="s">
        <v>954</v>
      </c>
      <c r="G1244" s="239" t="s">
        <v>464</v>
      </c>
      <c r="H1244" s="240">
        <f t="shared" si="19"/>
        <v>81696</v>
      </c>
      <c r="I1244" s="241"/>
    </row>
    <row r="1245" spans="1:9" x14ac:dyDescent="0.25">
      <c r="A1245" s="249">
        <v>45123</v>
      </c>
      <c r="B1245" s="237"/>
      <c r="C1245" s="238"/>
      <c r="D1245" s="239"/>
      <c r="E1245" s="237">
        <v>500</v>
      </c>
      <c r="F1245" s="242" t="s">
        <v>50</v>
      </c>
      <c r="G1245" s="239" t="s">
        <v>931</v>
      </c>
      <c r="H1245" s="240">
        <f t="shared" si="19"/>
        <v>81196</v>
      </c>
      <c r="I1245" s="241"/>
    </row>
    <row r="1246" spans="1:9" x14ac:dyDescent="0.25">
      <c r="A1246" s="249">
        <v>45123</v>
      </c>
      <c r="B1246" s="237"/>
      <c r="C1246" s="238"/>
      <c r="D1246" s="239"/>
      <c r="E1246" s="320">
        <v>32</v>
      </c>
      <c r="F1246" s="321" t="s">
        <v>358</v>
      </c>
      <c r="G1246" s="239" t="s">
        <v>938</v>
      </c>
      <c r="H1246" s="240">
        <f t="shared" si="19"/>
        <v>81164</v>
      </c>
      <c r="I1246" s="241"/>
    </row>
    <row r="1247" spans="1:9" x14ac:dyDescent="0.25">
      <c r="A1247" s="249">
        <v>45123</v>
      </c>
      <c r="B1247" s="237"/>
      <c r="C1247" s="238"/>
      <c r="D1247" s="239"/>
      <c r="E1247" s="320">
        <v>5</v>
      </c>
      <c r="F1247" s="321" t="s">
        <v>954</v>
      </c>
      <c r="G1247" s="239" t="s">
        <v>464</v>
      </c>
      <c r="H1247" s="240">
        <f t="shared" si="19"/>
        <v>81159</v>
      </c>
      <c r="I1247" s="241"/>
    </row>
    <row r="1248" spans="1:9" x14ac:dyDescent="0.25">
      <c r="A1248" s="249">
        <v>45123</v>
      </c>
      <c r="B1248" s="237"/>
      <c r="C1248" s="238"/>
      <c r="D1248" s="239"/>
      <c r="E1248" s="320">
        <v>120</v>
      </c>
      <c r="F1248" s="321" t="s">
        <v>382</v>
      </c>
      <c r="G1248" s="239" t="s">
        <v>930</v>
      </c>
      <c r="H1248" s="240">
        <f t="shared" si="19"/>
        <v>81039</v>
      </c>
      <c r="I1248" s="241"/>
    </row>
    <row r="1249" spans="1:9" x14ac:dyDescent="0.25">
      <c r="A1249" s="249">
        <v>45123</v>
      </c>
      <c r="B1249" s="237"/>
      <c r="C1249" s="238"/>
      <c r="D1249" s="239"/>
      <c r="E1249" s="320">
        <v>105</v>
      </c>
      <c r="F1249" s="321" t="s">
        <v>381</v>
      </c>
      <c r="G1249" s="239" t="s">
        <v>930</v>
      </c>
      <c r="H1249" s="240">
        <f t="shared" si="19"/>
        <v>80934</v>
      </c>
      <c r="I1249" s="241"/>
    </row>
    <row r="1250" spans="1:9" x14ac:dyDescent="0.25">
      <c r="A1250" s="249">
        <v>45123</v>
      </c>
      <c r="B1250" s="237"/>
      <c r="C1250" s="238"/>
      <c r="D1250" s="239"/>
      <c r="E1250" s="320">
        <v>240</v>
      </c>
      <c r="F1250" s="321" t="s">
        <v>1064</v>
      </c>
      <c r="G1250" s="239" t="s">
        <v>928</v>
      </c>
      <c r="H1250" s="240">
        <f t="shared" si="19"/>
        <v>80694</v>
      </c>
      <c r="I1250" s="241"/>
    </row>
    <row r="1251" spans="1:9" x14ac:dyDescent="0.25">
      <c r="A1251" s="249">
        <v>45123</v>
      </c>
      <c r="B1251" s="237"/>
      <c r="C1251" s="238"/>
      <c r="D1251" s="239"/>
      <c r="E1251" s="320">
        <v>130</v>
      </c>
      <c r="F1251" s="321" t="s">
        <v>1065</v>
      </c>
      <c r="G1251" s="239" t="s">
        <v>930</v>
      </c>
      <c r="H1251" s="240">
        <f t="shared" si="19"/>
        <v>80564</v>
      </c>
      <c r="I1251" s="241"/>
    </row>
    <row r="1252" spans="1:9" x14ac:dyDescent="0.25">
      <c r="A1252" s="249">
        <v>45123</v>
      </c>
      <c r="B1252" s="237"/>
      <c r="C1252" s="238"/>
      <c r="D1252" s="239"/>
      <c r="E1252" s="320">
        <v>85</v>
      </c>
      <c r="F1252" s="321" t="s">
        <v>1066</v>
      </c>
      <c r="G1252" s="239" t="s">
        <v>930</v>
      </c>
      <c r="H1252" s="240">
        <f t="shared" si="19"/>
        <v>80479</v>
      </c>
      <c r="I1252" s="241"/>
    </row>
    <row r="1253" spans="1:9" x14ac:dyDescent="0.25">
      <c r="A1253" s="249">
        <v>45123</v>
      </c>
      <c r="B1253" s="237"/>
      <c r="C1253" s="238"/>
      <c r="D1253" s="239"/>
      <c r="E1253" s="320">
        <v>170</v>
      </c>
      <c r="F1253" s="321" t="s">
        <v>1067</v>
      </c>
      <c r="G1253" s="239" t="s">
        <v>930</v>
      </c>
      <c r="H1253" s="240">
        <f t="shared" si="19"/>
        <v>80309</v>
      </c>
      <c r="I1253" s="241"/>
    </row>
    <row r="1254" spans="1:9" x14ac:dyDescent="0.25">
      <c r="A1254" s="249">
        <v>45123</v>
      </c>
      <c r="B1254" s="237"/>
      <c r="C1254" s="238"/>
      <c r="D1254" s="239"/>
      <c r="E1254" s="237">
        <v>750</v>
      </c>
      <c r="F1254" s="242" t="s">
        <v>1070</v>
      </c>
      <c r="G1254" s="239" t="s">
        <v>464</v>
      </c>
      <c r="H1254" s="240">
        <f t="shared" si="19"/>
        <v>79559</v>
      </c>
      <c r="I1254" s="241" t="s">
        <v>1071</v>
      </c>
    </row>
    <row r="1255" spans="1:9" x14ac:dyDescent="0.25">
      <c r="A1255" s="249">
        <v>45123</v>
      </c>
      <c r="B1255" s="237"/>
      <c r="C1255" s="238"/>
      <c r="D1255" s="239"/>
      <c r="E1255" s="237">
        <v>113</v>
      </c>
      <c r="F1255" s="242" t="s">
        <v>954</v>
      </c>
      <c r="G1255" s="239" t="s">
        <v>464</v>
      </c>
      <c r="H1255" s="240">
        <f t="shared" si="19"/>
        <v>79446</v>
      </c>
      <c r="I1255" s="241"/>
    </row>
    <row r="1256" spans="1:9" x14ac:dyDescent="0.25">
      <c r="A1256" s="249">
        <v>45123</v>
      </c>
      <c r="B1256" s="237"/>
      <c r="C1256" s="238"/>
      <c r="D1256" s="239"/>
      <c r="E1256" s="237">
        <v>180</v>
      </c>
      <c r="F1256" s="242" t="s">
        <v>1068</v>
      </c>
      <c r="G1256" s="239" t="s">
        <v>930</v>
      </c>
      <c r="H1256" s="240">
        <f t="shared" si="19"/>
        <v>79266</v>
      </c>
      <c r="I1256" s="241"/>
    </row>
    <row r="1257" spans="1:9" x14ac:dyDescent="0.25">
      <c r="A1257" s="249">
        <v>45123</v>
      </c>
      <c r="B1257" s="237"/>
      <c r="C1257" s="238"/>
      <c r="D1257" s="239"/>
      <c r="E1257" s="237">
        <v>793</v>
      </c>
      <c r="F1257" s="242" t="s">
        <v>1069</v>
      </c>
      <c r="G1257" s="239" t="s">
        <v>938</v>
      </c>
      <c r="H1257" s="240">
        <f t="shared" si="19"/>
        <v>78473</v>
      </c>
      <c r="I1257" s="241"/>
    </row>
    <row r="1258" spans="1:9" x14ac:dyDescent="0.25">
      <c r="A1258" s="249">
        <v>45123</v>
      </c>
      <c r="B1258" s="237"/>
      <c r="C1258" s="238"/>
      <c r="D1258" s="239"/>
      <c r="E1258" s="237">
        <v>2390</v>
      </c>
      <c r="F1258" s="242" t="s">
        <v>222</v>
      </c>
      <c r="G1258" s="239" t="s">
        <v>928</v>
      </c>
      <c r="H1258" s="240">
        <f t="shared" si="19"/>
        <v>76083</v>
      </c>
      <c r="I1258" s="241"/>
    </row>
    <row r="1259" spans="1:9" x14ac:dyDescent="0.25">
      <c r="A1259" s="249">
        <v>45123</v>
      </c>
      <c r="B1259" s="237"/>
      <c r="C1259" s="238"/>
      <c r="D1259" s="239"/>
      <c r="E1259" s="237">
        <v>10</v>
      </c>
      <c r="F1259" s="242" t="s">
        <v>552</v>
      </c>
      <c r="G1259" s="239" t="s">
        <v>930</v>
      </c>
      <c r="H1259" s="240">
        <f t="shared" si="19"/>
        <v>76073</v>
      </c>
      <c r="I1259" s="241"/>
    </row>
    <row r="1260" spans="1:9" x14ac:dyDescent="0.25">
      <c r="A1260" s="249">
        <v>45123</v>
      </c>
      <c r="B1260" s="237"/>
      <c r="C1260" s="238"/>
      <c r="D1260" s="239"/>
      <c r="E1260" s="237">
        <v>100</v>
      </c>
      <c r="F1260" s="242" t="s">
        <v>29</v>
      </c>
      <c r="G1260" s="239" t="s">
        <v>930</v>
      </c>
      <c r="H1260" s="240">
        <f t="shared" ref="H1260:H1323" si="20">H1259+B1260-E1260</f>
        <v>75973</v>
      </c>
      <c r="I1260" s="241"/>
    </row>
    <row r="1261" spans="1:9" x14ac:dyDescent="0.25">
      <c r="A1261" s="249">
        <v>45123</v>
      </c>
      <c r="B1261" s="237"/>
      <c r="C1261" s="238"/>
      <c r="D1261" s="239"/>
      <c r="E1261" s="237">
        <v>350</v>
      </c>
      <c r="F1261" s="242" t="s">
        <v>708</v>
      </c>
      <c r="G1261" s="239" t="s">
        <v>930</v>
      </c>
      <c r="H1261" s="240">
        <f t="shared" si="20"/>
        <v>75623</v>
      </c>
      <c r="I1261" s="241"/>
    </row>
    <row r="1262" spans="1:9" x14ac:dyDescent="0.25">
      <c r="A1262" s="249">
        <v>45123</v>
      </c>
      <c r="B1262" s="237"/>
      <c r="C1262" s="238"/>
      <c r="D1262" s="239"/>
      <c r="E1262" s="237">
        <v>90</v>
      </c>
      <c r="F1262" s="242" t="s">
        <v>494</v>
      </c>
      <c r="G1262" s="239" t="s">
        <v>930</v>
      </c>
      <c r="H1262" s="240">
        <f t="shared" si="20"/>
        <v>75533</v>
      </c>
      <c r="I1262" s="241"/>
    </row>
    <row r="1263" spans="1:9" x14ac:dyDescent="0.25">
      <c r="A1263" s="249">
        <v>45123</v>
      </c>
      <c r="B1263" s="237"/>
      <c r="C1263" s="238"/>
      <c r="D1263" s="239"/>
      <c r="E1263" s="237">
        <v>2000</v>
      </c>
      <c r="F1263" s="242" t="s">
        <v>1072</v>
      </c>
      <c r="G1263" s="239" t="s">
        <v>928</v>
      </c>
      <c r="H1263" s="240">
        <f t="shared" si="20"/>
        <v>73533</v>
      </c>
      <c r="I1263" s="241"/>
    </row>
    <row r="1264" spans="1:9" x14ac:dyDescent="0.25">
      <c r="A1264" s="249">
        <v>45123</v>
      </c>
      <c r="B1264" s="237"/>
      <c r="C1264" s="238"/>
      <c r="D1264" s="239"/>
      <c r="E1264" s="237">
        <v>345</v>
      </c>
      <c r="F1264" s="242" t="s">
        <v>83</v>
      </c>
      <c r="G1264" s="239" t="s">
        <v>935</v>
      </c>
      <c r="H1264" s="240">
        <f t="shared" si="20"/>
        <v>73188</v>
      </c>
      <c r="I1264" s="241"/>
    </row>
    <row r="1265" spans="1:11" s="306" customFormat="1" x14ac:dyDescent="0.25">
      <c r="A1265" s="299">
        <v>45123</v>
      </c>
      <c r="B1265" s="300"/>
      <c r="C1265" s="301"/>
      <c r="D1265" s="302"/>
      <c r="E1265" s="300">
        <v>145</v>
      </c>
      <c r="F1265" s="303" t="s">
        <v>1073</v>
      </c>
      <c r="G1265" s="239" t="s">
        <v>930</v>
      </c>
      <c r="H1265" s="240">
        <f t="shared" si="20"/>
        <v>73043</v>
      </c>
      <c r="I1265" s="304"/>
      <c r="J1265" s="305"/>
      <c r="K1265" s="305"/>
    </row>
    <row r="1266" spans="1:11" x14ac:dyDescent="0.25">
      <c r="A1266" s="249">
        <v>45124</v>
      </c>
      <c r="B1266" s="237">
        <v>14639</v>
      </c>
      <c r="C1266" s="238" t="s">
        <v>80</v>
      </c>
      <c r="D1266" s="239" t="s">
        <v>763</v>
      </c>
      <c r="E1266" s="237">
        <v>50000</v>
      </c>
      <c r="F1266" s="242" t="s">
        <v>1074</v>
      </c>
      <c r="G1266" s="239" t="s">
        <v>1075</v>
      </c>
      <c r="H1266" s="240">
        <f t="shared" si="20"/>
        <v>37682</v>
      </c>
      <c r="I1266" s="241"/>
    </row>
    <row r="1267" spans="1:11" x14ac:dyDescent="0.25">
      <c r="A1267" s="249">
        <v>45124</v>
      </c>
      <c r="B1267" s="237">
        <v>2150</v>
      </c>
      <c r="C1267" s="238" t="s">
        <v>979</v>
      </c>
      <c r="D1267" s="239" t="s">
        <v>765</v>
      </c>
      <c r="E1267" s="237">
        <v>165</v>
      </c>
      <c r="F1267" s="242" t="s">
        <v>1078</v>
      </c>
      <c r="G1267" s="239" t="s">
        <v>930</v>
      </c>
      <c r="H1267" s="240">
        <f t="shared" si="20"/>
        <v>39667</v>
      </c>
      <c r="I1267" s="241"/>
    </row>
    <row r="1268" spans="1:11" x14ac:dyDescent="0.25">
      <c r="A1268" s="249">
        <v>45124</v>
      </c>
      <c r="B1268" s="237">
        <v>15170</v>
      </c>
      <c r="C1268" s="238" t="s">
        <v>300</v>
      </c>
      <c r="D1268" s="239" t="s">
        <v>763</v>
      </c>
      <c r="E1268" s="237">
        <v>125</v>
      </c>
      <c r="F1268" s="242" t="s">
        <v>1079</v>
      </c>
      <c r="G1268" s="239" t="s">
        <v>930</v>
      </c>
      <c r="H1268" s="240">
        <f t="shared" si="20"/>
        <v>54712</v>
      </c>
      <c r="I1268" s="241"/>
    </row>
    <row r="1269" spans="1:11" x14ac:dyDescent="0.25">
      <c r="A1269" s="249">
        <v>45124</v>
      </c>
      <c r="B1269" s="237">
        <v>1075</v>
      </c>
      <c r="C1269" s="238" t="s">
        <v>989</v>
      </c>
      <c r="D1269" s="239" t="s">
        <v>765</v>
      </c>
      <c r="E1269" s="237">
        <v>260</v>
      </c>
      <c r="F1269" s="242" t="s">
        <v>1080</v>
      </c>
      <c r="G1269" s="239" t="s">
        <v>464</v>
      </c>
      <c r="H1269" s="240">
        <f t="shared" si="20"/>
        <v>55527</v>
      </c>
      <c r="I1269" s="241"/>
    </row>
    <row r="1270" spans="1:11" x14ac:dyDescent="0.25">
      <c r="A1270" s="249">
        <v>45124</v>
      </c>
      <c r="B1270" s="237">
        <v>205</v>
      </c>
      <c r="C1270" s="238" t="s">
        <v>1099</v>
      </c>
      <c r="D1270" s="239" t="s">
        <v>772</v>
      </c>
      <c r="E1270" s="237">
        <v>105</v>
      </c>
      <c r="F1270" s="242" t="s">
        <v>349</v>
      </c>
      <c r="G1270" s="239" t="s">
        <v>930</v>
      </c>
      <c r="H1270" s="240">
        <f t="shared" si="20"/>
        <v>55627</v>
      </c>
      <c r="I1270" s="241"/>
    </row>
    <row r="1271" spans="1:11" x14ac:dyDescent="0.25">
      <c r="A1271" s="249">
        <v>45124</v>
      </c>
      <c r="B1271" s="237">
        <v>17289</v>
      </c>
      <c r="C1271" s="238" t="s">
        <v>1110</v>
      </c>
      <c r="D1271" s="239" t="s">
        <v>763</v>
      </c>
      <c r="E1271" s="237">
        <v>14</v>
      </c>
      <c r="F1271" s="242" t="s">
        <v>1081</v>
      </c>
      <c r="G1271" s="239" t="s">
        <v>464</v>
      </c>
      <c r="H1271" s="240">
        <f t="shared" si="20"/>
        <v>72902</v>
      </c>
      <c r="I1271" s="241"/>
    </row>
    <row r="1272" spans="1:11" x14ac:dyDescent="0.25">
      <c r="A1272" s="249">
        <v>45124</v>
      </c>
      <c r="B1272" s="237">
        <v>1655</v>
      </c>
      <c r="C1272" s="238" t="s">
        <v>1111</v>
      </c>
      <c r="D1272" s="239" t="s">
        <v>765</v>
      </c>
      <c r="E1272" s="237">
        <v>1920</v>
      </c>
      <c r="F1272" s="242" t="s">
        <v>1082</v>
      </c>
      <c r="G1272" s="239" t="s">
        <v>974</v>
      </c>
      <c r="H1272" s="240">
        <f t="shared" si="20"/>
        <v>72637</v>
      </c>
      <c r="I1272" s="241"/>
    </row>
    <row r="1273" spans="1:11" x14ac:dyDescent="0.25">
      <c r="A1273" s="249">
        <v>45124</v>
      </c>
      <c r="B1273" s="237">
        <v>350</v>
      </c>
      <c r="C1273" s="238" t="s">
        <v>1112</v>
      </c>
      <c r="D1273" s="239" t="s">
        <v>924</v>
      </c>
      <c r="E1273" s="237">
        <v>570</v>
      </c>
      <c r="F1273" s="242" t="s">
        <v>1007</v>
      </c>
      <c r="G1273" s="239" t="s">
        <v>935</v>
      </c>
      <c r="H1273" s="240">
        <f t="shared" si="20"/>
        <v>72417</v>
      </c>
      <c r="I1273" s="241"/>
    </row>
    <row r="1274" spans="1:11" x14ac:dyDescent="0.25">
      <c r="A1274" s="249">
        <v>45124</v>
      </c>
      <c r="B1274" s="237">
        <f>205+205</f>
        <v>410</v>
      </c>
      <c r="C1274" s="238" t="s">
        <v>610</v>
      </c>
      <c r="D1274" s="239" t="s">
        <v>772</v>
      </c>
      <c r="E1274" s="237">
        <v>1625</v>
      </c>
      <c r="F1274" s="242" t="s">
        <v>1083</v>
      </c>
      <c r="G1274" s="239" t="s">
        <v>928</v>
      </c>
      <c r="H1274" s="240">
        <f t="shared" si="20"/>
        <v>71202</v>
      </c>
      <c r="I1274" s="241"/>
    </row>
    <row r="1275" spans="1:11" x14ac:dyDescent="0.25">
      <c r="A1275" s="249">
        <v>45124</v>
      </c>
      <c r="B1275" s="237">
        <v>3436</v>
      </c>
      <c r="C1275" s="238" t="s">
        <v>60</v>
      </c>
      <c r="D1275" s="239"/>
      <c r="E1275" s="237">
        <v>30</v>
      </c>
      <c r="F1275" s="242" t="s">
        <v>1084</v>
      </c>
      <c r="G1275" s="239" t="s">
        <v>938</v>
      </c>
      <c r="H1275" s="240">
        <f t="shared" si="20"/>
        <v>74608</v>
      </c>
      <c r="I1275" s="241"/>
    </row>
    <row r="1276" spans="1:11" x14ac:dyDescent="0.25">
      <c r="A1276" s="249">
        <v>45124</v>
      </c>
      <c r="B1276" s="237">
        <v>12065</v>
      </c>
      <c r="C1276" s="238" t="s">
        <v>19</v>
      </c>
      <c r="D1276" s="239"/>
      <c r="E1276" s="237">
        <v>135</v>
      </c>
      <c r="F1276" s="242" t="s">
        <v>610</v>
      </c>
      <c r="G1276" s="239" t="s">
        <v>943</v>
      </c>
      <c r="H1276" s="240">
        <f t="shared" si="20"/>
        <v>86538</v>
      </c>
      <c r="I1276" s="241"/>
    </row>
    <row r="1277" spans="1:11" x14ac:dyDescent="0.25">
      <c r="A1277" s="249">
        <v>45124</v>
      </c>
      <c r="B1277" s="237">
        <v>582</v>
      </c>
      <c r="C1277" s="238" t="s">
        <v>374</v>
      </c>
      <c r="D1277" s="239"/>
      <c r="E1277" s="237">
        <v>1000</v>
      </c>
      <c r="F1277" s="242" t="s">
        <v>1085</v>
      </c>
      <c r="G1277" s="239" t="s">
        <v>928</v>
      </c>
      <c r="H1277" s="240">
        <f t="shared" si="20"/>
        <v>86120</v>
      </c>
      <c r="I1277" s="241"/>
    </row>
    <row r="1278" spans="1:11" x14ac:dyDescent="0.25">
      <c r="A1278" s="249">
        <v>45124</v>
      </c>
      <c r="B1278" s="237">
        <v>15120</v>
      </c>
      <c r="C1278" s="238" t="s">
        <v>15</v>
      </c>
      <c r="D1278" s="239"/>
      <c r="E1278" s="237">
        <v>580</v>
      </c>
      <c r="F1278" s="242" t="s">
        <v>1086</v>
      </c>
      <c r="G1278" s="239" t="s">
        <v>928</v>
      </c>
      <c r="H1278" s="240">
        <f t="shared" si="20"/>
        <v>100660</v>
      </c>
      <c r="I1278" s="241"/>
    </row>
    <row r="1279" spans="1:11" x14ac:dyDescent="0.25">
      <c r="A1279" s="249">
        <v>45124</v>
      </c>
      <c r="B1279" s="237">
        <v>135</v>
      </c>
      <c r="C1279" s="238" t="s">
        <v>916</v>
      </c>
      <c r="D1279" s="239"/>
      <c r="E1279" s="237">
        <v>475</v>
      </c>
      <c r="F1279" s="242" t="s">
        <v>1087</v>
      </c>
      <c r="G1279" s="239" t="s">
        <v>928</v>
      </c>
      <c r="H1279" s="240">
        <f t="shared" si="20"/>
        <v>100320</v>
      </c>
      <c r="I1279" s="241"/>
    </row>
    <row r="1280" spans="1:11" x14ac:dyDescent="0.25">
      <c r="A1280" s="249">
        <v>45124</v>
      </c>
      <c r="B1280" s="237">
        <f>17055</f>
        <v>17055</v>
      </c>
      <c r="C1280" s="238" t="s">
        <v>88</v>
      </c>
      <c r="D1280" s="239"/>
      <c r="E1280" s="237">
        <v>1605</v>
      </c>
      <c r="F1280" s="242" t="s">
        <v>1088</v>
      </c>
      <c r="G1280" s="239" t="s">
        <v>928</v>
      </c>
      <c r="H1280" s="240">
        <f t="shared" si="20"/>
        <v>115770</v>
      </c>
      <c r="I1280" s="241"/>
    </row>
    <row r="1281" spans="1:9" x14ac:dyDescent="0.25">
      <c r="A1281" s="249">
        <v>45124</v>
      </c>
      <c r="B1281" s="237">
        <v>640</v>
      </c>
      <c r="C1281" s="238" t="s">
        <v>1062</v>
      </c>
      <c r="D1281" s="239"/>
      <c r="E1281" s="237">
        <v>805</v>
      </c>
      <c r="F1281" s="242" t="s">
        <v>1077</v>
      </c>
      <c r="G1281" s="239" t="s">
        <v>928</v>
      </c>
      <c r="H1281" s="240">
        <f t="shared" si="20"/>
        <v>115605</v>
      </c>
      <c r="I1281" s="241"/>
    </row>
    <row r="1282" spans="1:9" x14ac:dyDescent="0.25">
      <c r="A1282" s="249">
        <v>45124</v>
      </c>
      <c r="B1282" s="237">
        <v>7696</v>
      </c>
      <c r="C1282" s="238" t="s">
        <v>6</v>
      </c>
      <c r="D1282" s="239"/>
      <c r="E1282" s="237">
        <v>320</v>
      </c>
      <c r="F1282" s="242" t="s">
        <v>1093</v>
      </c>
      <c r="G1282" s="239" t="s">
        <v>464</v>
      </c>
      <c r="H1282" s="240">
        <f t="shared" si="20"/>
        <v>122981</v>
      </c>
      <c r="I1282" s="241"/>
    </row>
    <row r="1283" spans="1:9" x14ac:dyDescent="0.25">
      <c r="A1283" s="249">
        <v>45124</v>
      </c>
      <c r="B1283" s="237">
        <v>7305</v>
      </c>
      <c r="C1283" s="238"/>
      <c r="D1283" s="239"/>
      <c r="E1283" s="237">
        <v>170</v>
      </c>
      <c r="F1283" s="242" t="s">
        <v>521</v>
      </c>
      <c r="G1283" s="239" t="s">
        <v>930</v>
      </c>
      <c r="H1283" s="240">
        <f t="shared" si="20"/>
        <v>130116</v>
      </c>
      <c r="I1283" s="241"/>
    </row>
    <row r="1284" spans="1:9" x14ac:dyDescent="0.25">
      <c r="A1284" s="249">
        <v>45124</v>
      </c>
      <c r="B1284" s="237"/>
      <c r="C1284" s="238"/>
      <c r="D1284" s="239"/>
      <c r="E1284" s="237">
        <v>90</v>
      </c>
      <c r="F1284" s="242" t="s">
        <v>1090</v>
      </c>
      <c r="G1284" s="239" t="s">
        <v>931</v>
      </c>
      <c r="H1284" s="240">
        <f t="shared" si="20"/>
        <v>130026</v>
      </c>
      <c r="I1284" s="241"/>
    </row>
    <row r="1285" spans="1:9" x14ac:dyDescent="0.25">
      <c r="A1285" s="249">
        <v>45124</v>
      </c>
      <c r="B1285" s="237"/>
      <c r="C1285" s="238"/>
      <c r="D1285" s="239"/>
      <c r="E1285" s="237">
        <v>480</v>
      </c>
      <c r="F1285" s="242" t="s">
        <v>850</v>
      </c>
      <c r="G1285" s="239" t="s">
        <v>931</v>
      </c>
      <c r="H1285" s="240">
        <f t="shared" si="20"/>
        <v>129546</v>
      </c>
      <c r="I1285" s="241"/>
    </row>
    <row r="1286" spans="1:9" x14ac:dyDescent="0.25">
      <c r="A1286" s="249">
        <v>45124</v>
      </c>
      <c r="B1286" s="237"/>
      <c r="C1286" s="238"/>
      <c r="D1286" s="239"/>
      <c r="E1286" s="237">
        <v>290</v>
      </c>
      <c r="F1286" s="242" t="s">
        <v>1091</v>
      </c>
      <c r="G1286" s="239" t="s">
        <v>938</v>
      </c>
      <c r="H1286" s="240">
        <f t="shared" si="20"/>
        <v>129256</v>
      </c>
      <c r="I1286" s="241"/>
    </row>
    <row r="1287" spans="1:9" x14ac:dyDescent="0.25">
      <c r="A1287" s="249">
        <v>45124</v>
      </c>
      <c r="B1287" s="237"/>
      <c r="C1287" s="238"/>
      <c r="D1287" s="239"/>
      <c r="E1287" s="237">
        <v>2735</v>
      </c>
      <c r="F1287" s="242" t="s">
        <v>1092</v>
      </c>
      <c r="G1287" s="239" t="s">
        <v>928</v>
      </c>
      <c r="H1287" s="240">
        <f t="shared" si="20"/>
        <v>126521</v>
      </c>
      <c r="I1287" s="241"/>
    </row>
    <row r="1288" spans="1:9" x14ac:dyDescent="0.25">
      <c r="A1288" s="249">
        <v>45124</v>
      </c>
      <c r="B1288" s="237"/>
      <c r="C1288" s="238"/>
      <c r="D1288" s="239"/>
      <c r="E1288" s="237">
        <v>14000</v>
      </c>
      <c r="F1288" s="242" t="s">
        <v>1094</v>
      </c>
      <c r="G1288" s="239" t="s">
        <v>928</v>
      </c>
      <c r="H1288" s="240">
        <f t="shared" si="20"/>
        <v>112521</v>
      </c>
      <c r="I1288" s="241" t="s">
        <v>819</v>
      </c>
    </row>
    <row r="1289" spans="1:9" x14ac:dyDescent="0.25">
      <c r="A1289" s="249">
        <v>45124</v>
      </c>
      <c r="B1289" s="237"/>
      <c r="C1289" s="238"/>
      <c r="D1289" s="239"/>
      <c r="E1289" s="237">
        <v>3240</v>
      </c>
      <c r="F1289" s="322" t="s">
        <v>997</v>
      </c>
      <c r="G1289" s="239" t="s">
        <v>928</v>
      </c>
      <c r="H1289" s="240">
        <f t="shared" si="20"/>
        <v>109281</v>
      </c>
      <c r="I1289" s="241"/>
    </row>
    <row r="1290" spans="1:9" x14ac:dyDescent="0.25">
      <c r="A1290" s="249">
        <v>45124</v>
      </c>
      <c r="B1290" s="237"/>
      <c r="C1290" s="238"/>
      <c r="D1290" s="239"/>
      <c r="E1290" s="237">
        <v>1170</v>
      </c>
      <c r="F1290" s="323" t="s">
        <v>1095</v>
      </c>
      <c r="G1290" s="239" t="s">
        <v>464</v>
      </c>
      <c r="H1290" s="240">
        <f t="shared" si="20"/>
        <v>108111</v>
      </c>
      <c r="I1290" s="241"/>
    </row>
    <row r="1291" spans="1:9" x14ac:dyDescent="0.25">
      <c r="A1291" s="249">
        <v>45124</v>
      </c>
      <c r="B1291" s="237"/>
      <c r="C1291" s="238"/>
      <c r="D1291" s="239"/>
      <c r="E1291" s="237">
        <v>2000</v>
      </c>
      <c r="F1291" s="323" t="s">
        <v>740</v>
      </c>
      <c r="G1291" s="239" t="s">
        <v>928</v>
      </c>
      <c r="H1291" s="240">
        <f t="shared" si="20"/>
        <v>106111</v>
      </c>
      <c r="I1291" s="241"/>
    </row>
    <row r="1292" spans="1:9" x14ac:dyDescent="0.25">
      <c r="A1292" s="249">
        <v>45124</v>
      </c>
      <c r="B1292" s="237"/>
      <c r="C1292" s="238"/>
      <c r="D1292" s="239"/>
      <c r="E1292" s="237">
        <v>5000</v>
      </c>
      <c r="F1292" s="323" t="s">
        <v>182</v>
      </c>
      <c r="G1292" s="239" t="s">
        <v>941</v>
      </c>
      <c r="H1292" s="240">
        <f t="shared" si="20"/>
        <v>101111</v>
      </c>
      <c r="I1292" s="241"/>
    </row>
    <row r="1293" spans="1:9" x14ac:dyDescent="0.25">
      <c r="A1293" s="249">
        <v>45124</v>
      </c>
      <c r="B1293" s="237"/>
      <c r="C1293" s="238"/>
      <c r="D1293" s="239"/>
      <c r="E1293" s="237">
        <v>7575</v>
      </c>
      <c r="F1293" s="323" t="s">
        <v>1046</v>
      </c>
      <c r="G1293" s="239" t="s">
        <v>936</v>
      </c>
      <c r="H1293" s="240">
        <f t="shared" si="20"/>
        <v>93536</v>
      </c>
      <c r="I1293" s="241"/>
    </row>
    <row r="1294" spans="1:9" x14ac:dyDescent="0.25">
      <c r="A1294" s="249">
        <v>45124</v>
      </c>
      <c r="B1294" s="237"/>
      <c r="C1294" s="238"/>
      <c r="D1294" s="239"/>
      <c r="E1294" s="237">
        <v>2145</v>
      </c>
      <c r="F1294" s="323" t="s">
        <v>1100</v>
      </c>
      <c r="G1294" s="239" t="s">
        <v>928</v>
      </c>
      <c r="H1294" s="240">
        <f t="shared" si="20"/>
        <v>91391</v>
      </c>
      <c r="I1294" s="241"/>
    </row>
    <row r="1295" spans="1:9" x14ac:dyDescent="0.25">
      <c r="A1295" s="249">
        <v>45124</v>
      </c>
      <c r="B1295" s="237"/>
      <c r="C1295" s="238"/>
      <c r="D1295" s="239"/>
      <c r="E1295" s="237">
        <v>4770</v>
      </c>
      <c r="F1295" s="242" t="s">
        <v>745</v>
      </c>
      <c r="G1295" s="239" t="s">
        <v>928</v>
      </c>
      <c r="H1295" s="240">
        <f t="shared" si="20"/>
        <v>86621</v>
      </c>
      <c r="I1295" s="241"/>
    </row>
    <row r="1296" spans="1:9" x14ac:dyDescent="0.25">
      <c r="A1296" s="249">
        <v>45124</v>
      </c>
      <c r="B1296" s="237"/>
      <c r="C1296" s="238"/>
      <c r="D1296" s="239"/>
      <c r="E1296" s="237">
        <v>400</v>
      </c>
      <c r="F1296" s="242" t="s">
        <v>1101</v>
      </c>
      <c r="G1296" s="239" t="s">
        <v>938</v>
      </c>
      <c r="H1296" s="240">
        <f t="shared" si="20"/>
        <v>86221</v>
      </c>
      <c r="I1296" s="241"/>
    </row>
    <row r="1297" spans="1:9" x14ac:dyDescent="0.25">
      <c r="A1297" s="249">
        <v>45124</v>
      </c>
      <c r="B1297" s="237"/>
      <c r="C1297" s="238"/>
      <c r="D1297" s="239"/>
      <c r="E1297" s="237">
        <v>1000</v>
      </c>
      <c r="F1297" s="242" t="s">
        <v>881</v>
      </c>
      <c r="G1297" s="239" t="s">
        <v>928</v>
      </c>
      <c r="H1297" s="240">
        <f t="shared" si="20"/>
        <v>85221</v>
      </c>
      <c r="I1297" s="241"/>
    </row>
    <row r="1298" spans="1:9" x14ac:dyDescent="0.25">
      <c r="A1298" s="249">
        <v>45124</v>
      </c>
      <c r="B1298" s="237"/>
      <c r="C1298" s="238"/>
      <c r="D1298" s="239"/>
      <c r="E1298" s="57">
        <v>4450</v>
      </c>
      <c r="F1298" s="242" t="s">
        <v>1102</v>
      </c>
      <c r="G1298" s="239" t="s">
        <v>928</v>
      </c>
      <c r="H1298" s="240">
        <f t="shared" si="20"/>
        <v>80771</v>
      </c>
      <c r="I1298" s="241" t="s">
        <v>1103</v>
      </c>
    </row>
    <row r="1299" spans="1:9" x14ac:dyDescent="0.25">
      <c r="A1299" s="249">
        <v>45124</v>
      </c>
      <c r="B1299" s="237"/>
      <c r="C1299" s="238"/>
      <c r="D1299" s="239"/>
      <c r="E1299" s="237">
        <v>126</v>
      </c>
      <c r="F1299" s="242" t="s">
        <v>1105</v>
      </c>
      <c r="G1299" s="239" t="s">
        <v>464</v>
      </c>
      <c r="H1299" s="240">
        <f t="shared" si="20"/>
        <v>80645</v>
      </c>
      <c r="I1299" s="241"/>
    </row>
    <row r="1300" spans="1:9" x14ac:dyDescent="0.25">
      <c r="A1300" s="249">
        <v>45124</v>
      </c>
      <c r="B1300" s="237"/>
      <c r="C1300" s="238"/>
      <c r="D1300" s="239"/>
      <c r="E1300" s="237">
        <v>210</v>
      </c>
      <c r="F1300" s="242" t="s">
        <v>1106</v>
      </c>
      <c r="G1300" s="239" t="s">
        <v>464</v>
      </c>
      <c r="H1300" s="240">
        <f t="shared" si="20"/>
        <v>80435</v>
      </c>
      <c r="I1300" s="241"/>
    </row>
    <row r="1301" spans="1:9" x14ac:dyDescent="0.25">
      <c r="A1301" s="249">
        <v>45124</v>
      </c>
      <c r="B1301" s="237"/>
      <c r="C1301" s="238"/>
      <c r="D1301" s="239"/>
      <c r="E1301" s="57">
        <v>10</v>
      </c>
      <c r="F1301" s="242" t="s">
        <v>1107</v>
      </c>
      <c r="G1301" s="239" t="s">
        <v>938</v>
      </c>
      <c r="H1301" s="240">
        <f t="shared" si="20"/>
        <v>80425</v>
      </c>
      <c r="I1301" s="241"/>
    </row>
    <row r="1302" spans="1:9" x14ac:dyDescent="0.25">
      <c r="A1302" s="249">
        <v>45124</v>
      </c>
      <c r="B1302" s="237"/>
      <c r="C1302" s="238"/>
      <c r="D1302" s="239"/>
      <c r="E1302" s="237">
        <v>1625</v>
      </c>
      <c r="F1302" s="242" t="s">
        <v>1108</v>
      </c>
      <c r="G1302" s="239" t="s">
        <v>935</v>
      </c>
      <c r="H1302" s="240">
        <f t="shared" si="20"/>
        <v>78800</v>
      </c>
      <c r="I1302" s="241"/>
    </row>
    <row r="1303" spans="1:9" x14ac:dyDescent="0.25">
      <c r="A1303" s="249">
        <v>45124</v>
      </c>
      <c r="B1303" s="237"/>
      <c r="C1303" s="238"/>
      <c r="D1303" s="239"/>
      <c r="E1303" s="237">
        <v>10</v>
      </c>
      <c r="F1303" s="242" t="s">
        <v>1109</v>
      </c>
      <c r="G1303" s="239" t="s">
        <v>931</v>
      </c>
      <c r="H1303" s="240">
        <f t="shared" si="20"/>
        <v>78790</v>
      </c>
      <c r="I1303" s="241"/>
    </row>
    <row r="1304" spans="1:9" x14ac:dyDescent="0.25">
      <c r="A1304" s="249">
        <v>45124</v>
      </c>
      <c r="B1304" s="237"/>
      <c r="C1304" s="238"/>
      <c r="D1304" s="239"/>
      <c r="E1304" s="57">
        <v>500</v>
      </c>
      <c r="F1304" s="242" t="s">
        <v>27</v>
      </c>
      <c r="G1304" s="239" t="s">
        <v>943</v>
      </c>
      <c r="H1304" s="240">
        <f t="shared" si="20"/>
        <v>78290</v>
      </c>
      <c r="I1304" s="241"/>
    </row>
    <row r="1305" spans="1:9" x14ac:dyDescent="0.25">
      <c r="A1305" s="249">
        <v>45124</v>
      </c>
      <c r="B1305" s="237"/>
      <c r="C1305" s="238"/>
      <c r="D1305" s="239"/>
      <c r="E1305" s="237">
        <v>38</v>
      </c>
      <c r="F1305" s="242" t="s">
        <v>27</v>
      </c>
      <c r="G1305" s="239" t="s">
        <v>943</v>
      </c>
      <c r="H1305" s="240">
        <f t="shared" si="20"/>
        <v>78252</v>
      </c>
      <c r="I1305" s="241"/>
    </row>
    <row r="1306" spans="1:9" x14ac:dyDescent="0.25">
      <c r="A1306" s="249">
        <v>45124</v>
      </c>
      <c r="B1306" s="237"/>
      <c r="C1306" s="238"/>
      <c r="D1306" s="239"/>
      <c r="E1306" s="237">
        <v>495</v>
      </c>
      <c r="F1306" s="242" t="s">
        <v>27</v>
      </c>
      <c r="G1306" s="239" t="s">
        <v>943</v>
      </c>
      <c r="H1306" s="240">
        <f t="shared" si="20"/>
        <v>77757</v>
      </c>
      <c r="I1306" s="241"/>
    </row>
    <row r="1307" spans="1:9" x14ac:dyDescent="0.25">
      <c r="A1307" s="249">
        <v>45124</v>
      </c>
      <c r="B1307" s="237"/>
      <c r="C1307" s="238"/>
      <c r="D1307" s="239"/>
      <c r="E1307" s="57">
        <v>90</v>
      </c>
      <c r="F1307" s="242" t="s">
        <v>486</v>
      </c>
      <c r="G1307" s="239" t="s">
        <v>1098</v>
      </c>
      <c r="H1307" s="240">
        <f t="shared" si="20"/>
        <v>77667</v>
      </c>
      <c r="I1307" s="241"/>
    </row>
    <row r="1308" spans="1:9" x14ac:dyDescent="0.25">
      <c r="A1308" s="249">
        <v>45124</v>
      </c>
      <c r="B1308" s="237"/>
      <c r="C1308" s="238"/>
      <c r="D1308" s="239"/>
      <c r="E1308" s="237">
        <v>3000</v>
      </c>
      <c r="F1308" s="242" t="s">
        <v>1113</v>
      </c>
      <c r="G1308" s="239" t="s">
        <v>928</v>
      </c>
      <c r="H1308" s="240">
        <f t="shared" si="20"/>
        <v>74667</v>
      </c>
      <c r="I1308" s="241"/>
    </row>
    <row r="1309" spans="1:9" x14ac:dyDescent="0.25">
      <c r="A1309" s="249">
        <v>45124</v>
      </c>
      <c r="B1309" s="237"/>
      <c r="C1309" s="238"/>
      <c r="D1309" s="239"/>
      <c r="E1309" s="237">
        <v>7505</v>
      </c>
      <c r="F1309" s="242" t="s">
        <v>1114</v>
      </c>
      <c r="G1309" s="239" t="s">
        <v>935</v>
      </c>
      <c r="H1309" s="240">
        <f t="shared" si="20"/>
        <v>67162</v>
      </c>
      <c r="I1309" s="241"/>
    </row>
    <row r="1310" spans="1:9" x14ac:dyDescent="0.25">
      <c r="A1310" s="249">
        <v>45124</v>
      </c>
      <c r="B1310" s="237"/>
      <c r="C1310" s="238"/>
      <c r="D1310" s="239"/>
      <c r="E1310" s="57">
        <v>445</v>
      </c>
      <c r="F1310" s="242" t="s">
        <v>27</v>
      </c>
      <c r="G1310" s="239"/>
      <c r="H1310" s="240">
        <f t="shared" si="20"/>
        <v>66717</v>
      </c>
      <c r="I1310" s="241"/>
    </row>
    <row r="1311" spans="1:9" x14ac:dyDescent="0.25">
      <c r="A1311" s="249">
        <v>45124</v>
      </c>
      <c r="B1311" s="237"/>
      <c r="C1311" s="238"/>
      <c r="D1311" s="239"/>
      <c r="E1311" s="237">
        <v>300</v>
      </c>
      <c r="F1311" s="242" t="s">
        <v>27</v>
      </c>
      <c r="G1311" s="239"/>
      <c r="H1311" s="240">
        <f t="shared" si="20"/>
        <v>66417</v>
      </c>
      <c r="I1311" s="241"/>
    </row>
    <row r="1312" spans="1:9" x14ac:dyDescent="0.25">
      <c r="A1312" s="249">
        <v>45124</v>
      </c>
      <c r="B1312" s="237"/>
      <c r="C1312" s="238"/>
      <c r="D1312" s="239"/>
      <c r="E1312" s="237">
        <v>1080</v>
      </c>
      <c r="F1312" s="242" t="s">
        <v>1115</v>
      </c>
      <c r="G1312" s="239"/>
      <c r="H1312" s="240">
        <f t="shared" si="20"/>
        <v>65337</v>
      </c>
      <c r="I1312" s="241"/>
    </row>
    <row r="1313" spans="1:9" x14ac:dyDescent="0.25">
      <c r="A1313" s="249">
        <v>45124</v>
      </c>
      <c r="B1313" s="237"/>
      <c r="C1313" s="238"/>
      <c r="D1313" s="239"/>
      <c r="E1313" s="57">
        <v>120</v>
      </c>
      <c r="F1313" s="242" t="s">
        <v>38</v>
      </c>
      <c r="G1313" s="239"/>
      <c r="H1313" s="240">
        <f t="shared" si="20"/>
        <v>65217</v>
      </c>
      <c r="I1313" s="241"/>
    </row>
    <row r="1314" spans="1:9" x14ac:dyDescent="0.25">
      <c r="A1314" s="249">
        <v>45124</v>
      </c>
      <c r="B1314" s="237"/>
      <c r="C1314" s="238"/>
      <c r="D1314" s="239"/>
      <c r="E1314" s="237">
        <v>75</v>
      </c>
      <c r="F1314" s="242" t="s">
        <v>26</v>
      </c>
      <c r="G1314" s="239"/>
      <c r="H1314" s="240">
        <f t="shared" si="20"/>
        <v>65142</v>
      </c>
      <c r="I1314" s="241"/>
    </row>
    <row r="1315" spans="1:9" x14ac:dyDescent="0.25">
      <c r="A1315" s="249">
        <v>45124</v>
      </c>
      <c r="B1315" s="237"/>
      <c r="C1315" s="238"/>
      <c r="D1315" s="239"/>
      <c r="E1315" s="237">
        <v>215</v>
      </c>
      <c r="F1315" s="242" t="s">
        <v>1116</v>
      </c>
      <c r="G1315" s="239"/>
      <c r="H1315" s="240">
        <f t="shared" si="20"/>
        <v>64927</v>
      </c>
      <c r="I1315" s="241"/>
    </row>
    <row r="1316" spans="1:9" x14ac:dyDescent="0.25">
      <c r="A1316" s="249">
        <v>45124</v>
      </c>
      <c r="B1316" s="237"/>
      <c r="C1316" s="238"/>
      <c r="D1316" s="239"/>
      <c r="E1316" s="57">
        <v>1110</v>
      </c>
      <c r="F1316" s="242" t="s">
        <v>1017</v>
      </c>
      <c r="G1316" s="239"/>
      <c r="H1316" s="240">
        <f t="shared" si="20"/>
        <v>63817</v>
      </c>
      <c r="I1316" s="241"/>
    </row>
    <row r="1317" spans="1:9" x14ac:dyDescent="0.25">
      <c r="A1317" s="249">
        <v>45124</v>
      </c>
      <c r="B1317" s="237"/>
      <c r="C1317" s="238"/>
      <c r="D1317" s="239"/>
      <c r="E1317" s="237">
        <v>24</v>
      </c>
      <c r="F1317" s="242" t="s">
        <v>1117</v>
      </c>
      <c r="G1317" s="239"/>
      <c r="H1317" s="240">
        <f t="shared" si="20"/>
        <v>63793</v>
      </c>
      <c r="I1317" s="241"/>
    </row>
    <row r="1318" spans="1:9" x14ac:dyDescent="0.25">
      <c r="A1318" s="249">
        <v>45124</v>
      </c>
      <c r="B1318" s="237"/>
      <c r="C1318" s="238"/>
      <c r="D1318" s="239"/>
      <c r="E1318" s="237">
        <v>51</v>
      </c>
      <c r="F1318" s="242" t="s">
        <v>1118</v>
      </c>
      <c r="G1318" s="239"/>
      <c r="H1318" s="240">
        <f t="shared" si="20"/>
        <v>63742</v>
      </c>
      <c r="I1318" s="241"/>
    </row>
    <row r="1319" spans="1:9" x14ac:dyDescent="0.25">
      <c r="A1319" s="249">
        <v>45124</v>
      </c>
      <c r="B1319" s="237"/>
      <c r="C1319" s="238"/>
      <c r="D1319" s="239"/>
      <c r="E1319" s="57">
        <v>7</v>
      </c>
      <c r="F1319" s="242" t="s">
        <v>73</v>
      </c>
      <c r="G1319" s="239"/>
      <c r="H1319" s="240">
        <f t="shared" si="20"/>
        <v>63735</v>
      </c>
      <c r="I1319" s="241"/>
    </row>
    <row r="1320" spans="1:9" x14ac:dyDescent="0.25">
      <c r="A1320" s="249">
        <v>45124</v>
      </c>
      <c r="B1320" s="237"/>
      <c r="C1320" s="238"/>
      <c r="D1320" s="239"/>
      <c r="E1320" s="237">
        <v>109</v>
      </c>
      <c r="F1320" s="242" t="s">
        <v>1130</v>
      </c>
      <c r="G1320" s="239"/>
      <c r="H1320" s="240">
        <f t="shared" si="20"/>
        <v>63626</v>
      </c>
      <c r="I1320" s="241"/>
    </row>
    <row r="1321" spans="1:9" x14ac:dyDescent="0.25">
      <c r="A1321" s="249">
        <v>45124</v>
      </c>
      <c r="B1321" s="237"/>
      <c r="C1321" s="238"/>
      <c r="D1321" s="239"/>
      <c r="E1321" s="237">
        <v>40</v>
      </c>
      <c r="F1321" s="242" t="s">
        <v>119</v>
      </c>
      <c r="G1321" s="239"/>
      <c r="H1321" s="240">
        <f t="shared" si="20"/>
        <v>63586</v>
      </c>
      <c r="I1321" s="241"/>
    </row>
    <row r="1322" spans="1:9" x14ac:dyDescent="0.25">
      <c r="A1322" s="249">
        <v>45124</v>
      </c>
      <c r="B1322" s="237"/>
      <c r="C1322" s="238"/>
      <c r="D1322" s="239"/>
      <c r="E1322" s="57">
        <v>60</v>
      </c>
      <c r="F1322" s="242" t="s">
        <v>72</v>
      </c>
      <c r="G1322" s="239"/>
      <c r="H1322" s="240">
        <f t="shared" si="20"/>
        <v>63526</v>
      </c>
      <c r="I1322" s="241"/>
    </row>
    <row r="1323" spans="1:9" x14ac:dyDescent="0.25">
      <c r="A1323" s="249">
        <v>45124</v>
      </c>
      <c r="B1323" s="237"/>
      <c r="C1323" s="238"/>
      <c r="D1323" s="239"/>
      <c r="E1323" s="237">
        <v>95</v>
      </c>
      <c r="F1323" s="242" t="s">
        <v>32</v>
      </c>
      <c r="G1323" s="239"/>
      <c r="H1323" s="240">
        <f t="shared" si="20"/>
        <v>63431</v>
      </c>
      <c r="I1323" s="241"/>
    </row>
    <row r="1324" spans="1:9" x14ac:dyDescent="0.25">
      <c r="A1324" s="249">
        <v>45124</v>
      </c>
      <c r="B1324" s="237"/>
      <c r="C1324" s="238"/>
      <c r="D1324" s="239"/>
      <c r="E1324" s="237">
        <v>160</v>
      </c>
      <c r="F1324" s="242" t="s">
        <v>15</v>
      </c>
      <c r="G1324" s="239"/>
      <c r="H1324" s="240">
        <f t="shared" ref="H1324:H1387" si="21">H1323+B1324-E1324</f>
        <v>63271</v>
      </c>
      <c r="I1324" s="241"/>
    </row>
    <row r="1325" spans="1:9" x14ac:dyDescent="0.25">
      <c r="A1325" s="249">
        <v>45124</v>
      </c>
      <c r="B1325" s="237"/>
      <c r="C1325" s="238"/>
      <c r="D1325" s="239"/>
      <c r="E1325" s="57">
        <v>90</v>
      </c>
      <c r="F1325" s="242" t="s">
        <v>970</v>
      </c>
      <c r="G1325" s="239"/>
      <c r="H1325" s="240">
        <f t="shared" si="21"/>
        <v>63181</v>
      </c>
      <c r="I1325" s="241"/>
    </row>
    <row r="1326" spans="1:9" x14ac:dyDescent="0.25">
      <c r="A1326" s="249">
        <v>45124</v>
      </c>
      <c r="B1326" s="237"/>
      <c r="C1326" s="238"/>
      <c r="D1326" s="239"/>
      <c r="E1326" s="237">
        <v>225</v>
      </c>
      <c r="F1326" s="242" t="s">
        <v>86</v>
      </c>
      <c r="G1326" s="239"/>
      <c r="H1326" s="240">
        <f t="shared" si="21"/>
        <v>62956</v>
      </c>
      <c r="I1326" s="241"/>
    </row>
    <row r="1327" spans="1:9" x14ac:dyDescent="0.25">
      <c r="A1327" s="249">
        <v>45124</v>
      </c>
      <c r="B1327" s="237"/>
      <c r="C1327" s="238"/>
      <c r="D1327" s="239"/>
      <c r="E1327" s="237">
        <v>180</v>
      </c>
      <c r="F1327" s="242" t="s">
        <v>1124</v>
      </c>
      <c r="G1327" s="239"/>
      <c r="H1327" s="240">
        <f t="shared" si="21"/>
        <v>62776</v>
      </c>
      <c r="I1327" s="241"/>
    </row>
    <row r="1328" spans="1:9" x14ac:dyDescent="0.25">
      <c r="A1328" s="249">
        <v>45124</v>
      </c>
      <c r="B1328" s="237"/>
      <c r="C1328" s="238"/>
      <c r="D1328" s="239"/>
      <c r="E1328" s="57">
        <v>540</v>
      </c>
      <c r="F1328" s="242" t="s">
        <v>1125</v>
      </c>
      <c r="G1328" s="239"/>
      <c r="H1328" s="240">
        <f t="shared" si="21"/>
        <v>62236</v>
      </c>
      <c r="I1328" s="241"/>
    </row>
    <row r="1329" spans="1:9" x14ac:dyDescent="0.25">
      <c r="A1329" s="249">
        <v>45124</v>
      </c>
      <c r="B1329" s="237"/>
      <c r="C1329" s="238"/>
      <c r="D1329" s="239"/>
      <c r="E1329" s="237">
        <v>100</v>
      </c>
      <c r="F1329" s="242" t="s">
        <v>1126</v>
      </c>
      <c r="G1329" s="239"/>
      <c r="H1329" s="240">
        <f t="shared" si="21"/>
        <v>62136</v>
      </c>
      <c r="I1329" s="241"/>
    </row>
    <row r="1330" spans="1:9" x14ac:dyDescent="0.25">
      <c r="A1330" s="249">
        <v>45124</v>
      </c>
      <c r="B1330" s="237"/>
      <c r="C1330" s="238"/>
      <c r="D1330" s="239"/>
      <c r="E1330" s="237">
        <v>150</v>
      </c>
      <c r="F1330" s="242" t="s">
        <v>708</v>
      </c>
      <c r="G1330" s="239"/>
      <c r="H1330" s="240">
        <f t="shared" si="21"/>
        <v>61986</v>
      </c>
      <c r="I1330" s="241"/>
    </row>
    <row r="1331" spans="1:9" x14ac:dyDescent="0.25">
      <c r="A1331" s="249">
        <v>45124</v>
      </c>
      <c r="B1331" s="237"/>
      <c r="C1331" s="238"/>
      <c r="D1331" s="239"/>
      <c r="E1331" s="57">
        <v>520</v>
      </c>
      <c r="F1331" s="242" t="s">
        <v>1127</v>
      </c>
      <c r="G1331" s="239"/>
      <c r="H1331" s="240">
        <f t="shared" si="21"/>
        <v>61466</v>
      </c>
      <c r="I1331" s="241"/>
    </row>
    <row r="1332" spans="1:9" x14ac:dyDescent="0.25">
      <c r="A1332" s="249">
        <v>45124</v>
      </c>
      <c r="B1332" s="237"/>
      <c r="C1332" s="238"/>
      <c r="D1332" s="239"/>
      <c r="E1332" s="237">
        <v>185</v>
      </c>
      <c r="F1332" s="242" t="s">
        <v>498</v>
      </c>
      <c r="G1332" s="239"/>
      <c r="H1332" s="240">
        <f t="shared" si="21"/>
        <v>61281</v>
      </c>
      <c r="I1332" s="241"/>
    </row>
    <row r="1333" spans="1:9" x14ac:dyDescent="0.25">
      <c r="A1333" s="249">
        <v>45124</v>
      </c>
      <c r="B1333" s="237"/>
      <c r="C1333" s="238"/>
      <c r="D1333" s="239"/>
      <c r="E1333" s="237">
        <v>650</v>
      </c>
      <c r="F1333" s="242" t="s">
        <v>1128</v>
      </c>
      <c r="G1333" s="239"/>
      <c r="H1333" s="240">
        <f t="shared" si="21"/>
        <v>60631</v>
      </c>
      <c r="I1333" s="241"/>
    </row>
    <row r="1334" spans="1:9" x14ac:dyDescent="0.25">
      <c r="A1334" s="249">
        <v>45124</v>
      </c>
      <c r="B1334" s="237"/>
      <c r="C1334" s="238"/>
      <c r="D1334" s="239"/>
      <c r="E1334" s="57">
        <v>120</v>
      </c>
      <c r="F1334" s="242" t="s">
        <v>1129</v>
      </c>
      <c r="G1334" s="239"/>
      <c r="H1334" s="240">
        <f t="shared" si="21"/>
        <v>60511</v>
      </c>
      <c r="I1334" s="241"/>
    </row>
    <row r="1335" spans="1:9" x14ac:dyDescent="0.25">
      <c r="A1335" s="249">
        <v>45124</v>
      </c>
      <c r="B1335" s="237"/>
      <c r="C1335" s="238"/>
      <c r="D1335" s="239"/>
      <c r="E1335" s="237">
        <v>5</v>
      </c>
      <c r="F1335" s="242" t="s">
        <v>1131</v>
      </c>
      <c r="G1335" s="239"/>
      <c r="H1335" s="240">
        <f t="shared" si="21"/>
        <v>60506</v>
      </c>
      <c r="I1335" s="241"/>
    </row>
    <row r="1336" spans="1:9" x14ac:dyDescent="0.25">
      <c r="A1336" s="249">
        <v>45124</v>
      </c>
      <c r="B1336" s="237"/>
      <c r="C1336" s="238"/>
      <c r="D1336" s="239"/>
      <c r="E1336" s="237">
        <v>225</v>
      </c>
      <c r="F1336" s="242" t="s">
        <v>255</v>
      </c>
      <c r="G1336" s="239"/>
      <c r="H1336" s="240">
        <f t="shared" si="21"/>
        <v>60281</v>
      </c>
      <c r="I1336" s="241"/>
    </row>
    <row r="1337" spans="1:9" x14ac:dyDescent="0.25">
      <c r="A1337" s="249">
        <v>45124</v>
      </c>
      <c r="B1337" s="237"/>
      <c r="C1337" s="238"/>
      <c r="D1337" s="239"/>
      <c r="E1337" s="57">
        <v>90</v>
      </c>
      <c r="F1337" s="242" t="s">
        <v>9</v>
      </c>
      <c r="G1337" s="239"/>
      <c r="H1337" s="240">
        <f t="shared" si="21"/>
        <v>60191</v>
      </c>
      <c r="I1337" s="241"/>
    </row>
    <row r="1338" spans="1:9" x14ac:dyDescent="0.25">
      <c r="A1338" s="249">
        <v>45124</v>
      </c>
      <c r="B1338" s="237"/>
      <c r="C1338" s="238"/>
      <c r="D1338" s="239"/>
      <c r="E1338" s="237">
        <v>50</v>
      </c>
      <c r="F1338" s="242" t="s">
        <v>50</v>
      </c>
      <c r="G1338" s="239"/>
      <c r="H1338" s="240">
        <f t="shared" si="21"/>
        <v>60141</v>
      </c>
      <c r="I1338" s="241"/>
    </row>
    <row r="1339" spans="1:9" x14ac:dyDescent="0.25">
      <c r="A1339" s="249">
        <v>45124</v>
      </c>
      <c r="B1339" s="237"/>
      <c r="C1339" s="238"/>
      <c r="D1339" s="239"/>
      <c r="E1339" s="237">
        <v>290</v>
      </c>
      <c r="F1339" s="242" t="s">
        <v>709</v>
      </c>
      <c r="G1339" s="239"/>
      <c r="H1339" s="240">
        <f t="shared" si="21"/>
        <v>59851</v>
      </c>
      <c r="I1339" s="241"/>
    </row>
    <row r="1340" spans="1:9" x14ac:dyDescent="0.25">
      <c r="A1340" s="249">
        <v>45124</v>
      </c>
      <c r="B1340" s="237"/>
      <c r="C1340" s="238"/>
      <c r="D1340" s="239"/>
      <c r="E1340" s="57">
        <v>304</v>
      </c>
      <c r="F1340" s="242" t="s">
        <v>252</v>
      </c>
      <c r="G1340" s="239"/>
      <c r="H1340" s="240">
        <f t="shared" si="21"/>
        <v>59547</v>
      </c>
      <c r="I1340" s="241"/>
    </row>
    <row r="1341" spans="1:9" x14ac:dyDescent="0.25">
      <c r="A1341" s="249">
        <v>45124</v>
      </c>
      <c r="B1341" s="237"/>
      <c r="C1341" s="238"/>
      <c r="D1341" s="239"/>
      <c r="E1341" s="237">
        <v>140</v>
      </c>
      <c r="F1341" s="242" t="s">
        <v>341</v>
      </c>
      <c r="G1341" s="239"/>
      <c r="H1341" s="240">
        <f t="shared" si="21"/>
        <v>59407</v>
      </c>
      <c r="I1341" s="241"/>
    </row>
    <row r="1342" spans="1:9" x14ac:dyDescent="0.25">
      <c r="A1342" s="249">
        <v>45124</v>
      </c>
      <c r="B1342" s="237"/>
      <c r="C1342" s="238"/>
      <c r="D1342" s="239"/>
      <c r="E1342" s="237">
        <v>120</v>
      </c>
      <c r="F1342" s="242" t="s">
        <v>39</v>
      </c>
      <c r="G1342" s="239"/>
      <c r="H1342" s="240">
        <f t="shared" si="21"/>
        <v>59287</v>
      </c>
      <c r="I1342" s="241"/>
    </row>
    <row r="1343" spans="1:9" x14ac:dyDescent="0.25">
      <c r="A1343" s="249">
        <v>45124</v>
      </c>
      <c r="B1343" s="237"/>
      <c r="C1343" s="238"/>
      <c r="D1343" s="239"/>
      <c r="E1343" s="57">
        <v>1715</v>
      </c>
      <c r="F1343" s="242" t="s">
        <v>12</v>
      </c>
      <c r="G1343" s="239"/>
      <c r="H1343" s="240">
        <f t="shared" si="21"/>
        <v>57572</v>
      </c>
      <c r="I1343" s="241"/>
    </row>
    <row r="1344" spans="1:9" x14ac:dyDescent="0.25">
      <c r="A1344" s="249">
        <v>45124</v>
      </c>
      <c r="B1344" s="237"/>
      <c r="C1344" s="238"/>
      <c r="D1344" s="239"/>
      <c r="E1344" s="237">
        <v>1073</v>
      </c>
      <c r="F1344" s="242" t="s">
        <v>1122</v>
      </c>
      <c r="G1344" s="239"/>
      <c r="H1344" s="240">
        <f t="shared" si="21"/>
        <v>56499</v>
      </c>
      <c r="I1344" s="241"/>
    </row>
    <row r="1345" spans="1:9" x14ac:dyDescent="0.25">
      <c r="A1345" s="249">
        <v>45124</v>
      </c>
      <c r="B1345" s="237"/>
      <c r="C1345" s="238"/>
      <c r="D1345" s="239"/>
      <c r="E1345" s="237">
        <v>390</v>
      </c>
      <c r="F1345" s="242" t="s">
        <v>312</v>
      </c>
      <c r="G1345" s="239"/>
      <c r="H1345" s="240">
        <f t="shared" si="21"/>
        <v>56109</v>
      </c>
      <c r="I1345" s="241"/>
    </row>
    <row r="1346" spans="1:9" x14ac:dyDescent="0.25">
      <c r="A1346" s="249">
        <v>45124</v>
      </c>
      <c r="B1346" s="237"/>
      <c r="C1346" s="238"/>
      <c r="D1346" s="239"/>
      <c r="E1346" s="57">
        <v>140</v>
      </c>
      <c r="F1346" s="242" t="s">
        <v>656</v>
      </c>
      <c r="G1346" s="239"/>
      <c r="H1346" s="240">
        <f t="shared" si="21"/>
        <v>55969</v>
      </c>
      <c r="I1346" s="241"/>
    </row>
    <row r="1347" spans="1:9" x14ac:dyDescent="0.25">
      <c r="A1347" s="249">
        <v>45124</v>
      </c>
      <c r="B1347" s="237"/>
      <c r="C1347" s="238"/>
      <c r="D1347" s="239"/>
      <c r="E1347" s="237">
        <v>2870</v>
      </c>
      <c r="F1347" s="242" t="s">
        <v>14</v>
      </c>
      <c r="G1347" s="239"/>
      <c r="H1347" s="240">
        <f t="shared" si="21"/>
        <v>53099</v>
      </c>
      <c r="I1347" s="241"/>
    </row>
    <row r="1348" spans="1:9" x14ac:dyDescent="0.25">
      <c r="A1348" s="249">
        <v>45124</v>
      </c>
      <c r="B1348" s="237"/>
      <c r="C1348" s="238"/>
      <c r="D1348" s="239"/>
      <c r="E1348" s="237">
        <v>16</v>
      </c>
      <c r="F1348" s="242" t="s">
        <v>315</v>
      </c>
      <c r="G1348" s="239"/>
      <c r="H1348" s="240">
        <f t="shared" si="21"/>
        <v>53083</v>
      </c>
      <c r="I1348" s="241"/>
    </row>
    <row r="1349" spans="1:9" x14ac:dyDescent="0.25">
      <c r="A1349" s="249">
        <v>45124</v>
      </c>
      <c r="B1349" s="237"/>
      <c r="C1349" s="238"/>
      <c r="D1349" s="239"/>
      <c r="E1349" s="57">
        <v>245</v>
      </c>
      <c r="F1349" s="242" t="s">
        <v>1121</v>
      </c>
      <c r="G1349" s="239"/>
      <c r="H1349" s="240">
        <f t="shared" si="21"/>
        <v>52838</v>
      </c>
      <c r="I1349" s="241"/>
    </row>
    <row r="1350" spans="1:9" x14ac:dyDescent="0.25">
      <c r="A1350" s="249">
        <v>45124</v>
      </c>
      <c r="B1350" s="237"/>
      <c r="C1350" s="238"/>
      <c r="D1350" s="239"/>
      <c r="E1350" s="237">
        <v>130</v>
      </c>
      <c r="F1350" s="242" t="s">
        <v>1120</v>
      </c>
      <c r="G1350" s="239"/>
      <c r="H1350" s="240">
        <f t="shared" si="21"/>
        <v>52708</v>
      </c>
      <c r="I1350" s="241"/>
    </row>
    <row r="1351" spans="1:9" x14ac:dyDescent="0.25">
      <c r="A1351" s="249">
        <v>45124</v>
      </c>
      <c r="B1351" s="237"/>
      <c r="C1351" s="238"/>
      <c r="D1351" s="239"/>
      <c r="E1351" s="237">
        <v>145</v>
      </c>
      <c r="F1351" s="242" t="s">
        <v>73</v>
      </c>
      <c r="G1351" s="239"/>
      <c r="H1351" s="240">
        <f t="shared" si="21"/>
        <v>52563</v>
      </c>
      <c r="I1351" s="241"/>
    </row>
    <row r="1352" spans="1:9" x14ac:dyDescent="0.25">
      <c r="A1352" s="324">
        <v>45124</v>
      </c>
      <c r="B1352" s="325"/>
      <c r="C1352" s="326"/>
      <c r="D1352" s="327"/>
      <c r="E1352" s="333">
        <v>41088</v>
      </c>
      <c r="F1352" s="328"/>
      <c r="G1352" s="327"/>
      <c r="H1352" s="240">
        <f t="shared" si="21"/>
        <v>11475</v>
      </c>
      <c r="I1352" s="329"/>
    </row>
    <row r="1353" spans="1:9" x14ac:dyDescent="0.25">
      <c r="A1353" s="249">
        <v>45125</v>
      </c>
      <c r="B1353" s="237">
        <v>13260</v>
      </c>
      <c r="C1353" s="238" t="s">
        <v>300</v>
      </c>
      <c r="D1353" s="239"/>
      <c r="E1353" s="332">
        <f>5000+500+5000+500+475</f>
        <v>11475</v>
      </c>
      <c r="F1353" s="242" t="s">
        <v>565</v>
      </c>
      <c r="G1353" s="239"/>
      <c r="H1353" s="240">
        <f t="shared" si="21"/>
        <v>13260</v>
      </c>
      <c r="I1353" s="241"/>
    </row>
    <row r="1354" spans="1:9" x14ac:dyDescent="0.25">
      <c r="A1354" s="249">
        <v>45125</v>
      </c>
      <c r="B1354" s="237">
        <v>810</v>
      </c>
      <c r="C1354" s="238" t="s">
        <v>1135</v>
      </c>
      <c r="D1354" s="239"/>
      <c r="E1354" s="332">
        <v>28</v>
      </c>
      <c r="F1354" s="242" t="s">
        <v>451</v>
      </c>
      <c r="G1354" s="239"/>
      <c r="H1354" s="240">
        <f t="shared" si="21"/>
        <v>14042</v>
      </c>
      <c r="I1354" s="241"/>
    </row>
    <row r="1355" spans="1:9" x14ac:dyDescent="0.25">
      <c r="A1355" s="249">
        <v>45125</v>
      </c>
      <c r="B1355" s="237">
        <v>3485</v>
      </c>
      <c r="C1355" s="238" t="s">
        <v>27</v>
      </c>
      <c r="D1355" s="239"/>
      <c r="E1355" s="332">
        <v>3135</v>
      </c>
      <c r="F1355" s="242" t="s">
        <v>1136</v>
      </c>
      <c r="G1355" s="239"/>
      <c r="H1355" s="240">
        <f t="shared" si="21"/>
        <v>14392</v>
      </c>
      <c r="I1355" s="241"/>
    </row>
    <row r="1356" spans="1:9" x14ac:dyDescent="0.25">
      <c r="A1356" s="249">
        <v>45125</v>
      </c>
      <c r="B1356" s="237">
        <v>14090</v>
      </c>
      <c r="C1356" s="238" t="s">
        <v>80</v>
      </c>
      <c r="D1356" s="239"/>
      <c r="E1356" s="332">
        <v>130</v>
      </c>
      <c r="F1356" s="242" t="s">
        <v>7</v>
      </c>
      <c r="G1356" s="239"/>
      <c r="H1356" s="240">
        <f t="shared" si="21"/>
        <v>28352</v>
      </c>
      <c r="I1356" s="241" t="s">
        <v>1137</v>
      </c>
    </row>
    <row r="1357" spans="1:9" x14ac:dyDescent="0.25">
      <c r="A1357" s="249">
        <v>45125</v>
      </c>
      <c r="B1357" s="237">
        <v>1763</v>
      </c>
      <c r="C1357" s="238" t="s">
        <v>1152</v>
      </c>
      <c r="D1357" s="239"/>
      <c r="E1357" s="332">
        <v>300</v>
      </c>
      <c r="F1357" s="242" t="s">
        <v>8</v>
      </c>
      <c r="G1357" s="239"/>
      <c r="H1357" s="240">
        <f t="shared" si="21"/>
        <v>29815</v>
      </c>
      <c r="I1357" s="241"/>
    </row>
    <row r="1358" spans="1:9" x14ac:dyDescent="0.25">
      <c r="A1358" s="249">
        <v>45125</v>
      </c>
      <c r="B1358" s="237"/>
      <c r="C1358" s="238"/>
      <c r="D1358" s="239"/>
      <c r="E1358" s="332">
        <v>2410</v>
      </c>
      <c r="F1358" s="242" t="s">
        <v>1144</v>
      </c>
      <c r="G1358" s="239"/>
      <c r="H1358" s="240">
        <f t="shared" si="21"/>
        <v>27405</v>
      </c>
      <c r="I1358" s="241"/>
    </row>
    <row r="1359" spans="1:9" x14ac:dyDescent="0.25">
      <c r="A1359" s="249">
        <v>45125</v>
      </c>
      <c r="B1359" s="237"/>
      <c r="C1359" s="238"/>
      <c r="D1359" s="239"/>
      <c r="E1359" s="332">
        <v>15</v>
      </c>
      <c r="F1359" s="242" t="s">
        <v>1134</v>
      </c>
      <c r="G1359" s="239"/>
      <c r="H1359" s="240">
        <f t="shared" si="21"/>
        <v>27390</v>
      </c>
      <c r="I1359" s="241" t="s">
        <v>1145</v>
      </c>
    </row>
    <row r="1360" spans="1:9" x14ac:dyDescent="0.25">
      <c r="A1360" s="249">
        <v>45125</v>
      </c>
      <c r="B1360" s="237"/>
      <c r="C1360" s="238"/>
      <c r="D1360" s="239"/>
      <c r="E1360" s="332">
        <v>100</v>
      </c>
      <c r="F1360" s="242" t="s">
        <v>373</v>
      </c>
      <c r="G1360" s="239"/>
      <c r="H1360" s="240">
        <f t="shared" si="21"/>
        <v>27290</v>
      </c>
      <c r="I1360" s="241"/>
    </row>
    <row r="1361" spans="1:9" x14ac:dyDescent="0.25">
      <c r="A1361" s="249">
        <v>45125</v>
      </c>
      <c r="B1361" s="237"/>
      <c r="C1361" s="238"/>
      <c r="D1361" s="239"/>
      <c r="E1361" s="332">
        <v>1185</v>
      </c>
      <c r="F1361" s="242" t="s">
        <v>1140</v>
      </c>
      <c r="G1361" s="239"/>
      <c r="H1361" s="240">
        <f t="shared" si="21"/>
        <v>26105</v>
      </c>
      <c r="I1361" s="241"/>
    </row>
    <row r="1362" spans="1:9" x14ac:dyDescent="0.25">
      <c r="A1362" s="249">
        <v>45125</v>
      </c>
      <c r="B1362" s="237"/>
      <c r="C1362" s="238"/>
      <c r="D1362" s="239"/>
      <c r="E1362" s="332">
        <v>700</v>
      </c>
      <c r="F1362" s="242" t="s">
        <v>1138</v>
      </c>
      <c r="G1362" s="239"/>
      <c r="H1362" s="240">
        <f t="shared" si="21"/>
        <v>25405</v>
      </c>
      <c r="I1362" s="241"/>
    </row>
    <row r="1363" spans="1:9" x14ac:dyDescent="0.25">
      <c r="A1363" s="249">
        <v>45125</v>
      </c>
      <c r="B1363" s="237"/>
      <c r="C1363" s="238"/>
      <c r="D1363" s="239"/>
      <c r="E1363" s="332">
        <v>786</v>
      </c>
      <c r="F1363" s="242" t="s">
        <v>37</v>
      </c>
      <c r="G1363" s="239"/>
      <c r="H1363" s="240">
        <f t="shared" si="21"/>
        <v>24619</v>
      </c>
      <c r="I1363" s="241"/>
    </row>
    <row r="1364" spans="1:9" x14ac:dyDescent="0.25">
      <c r="A1364" s="249">
        <v>45125</v>
      </c>
      <c r="B1364" s="237"/>
      <c r="C1364" s="238"/>
      <c r="D1364" s="239"/>
      <c r="E1364" s="332">
        <v>530</v>
      </c>
      <c r="F1364" s="242" t="s">
        <v>1139</v>
      </c>
      <c r="G1364" s="239"/>
      <c r="H1364" s="240">
        <f t="shared" si="21"/>
        <v>24089</v>
      </c>
      <c r="I1364" s="241"/>
    </row>
    <row r="1365" spans="1:9" x14ac:dyDescent="0.25">
      <c r="A1365" s="249">
        <v>45125</v>
      </c>
      <c r="B1365" s="237"/>
      <c r="C1365" s="238"/>
      <c r="D1365" s="239"/>
      <c r="E1365" s="332">
        <v>1910</v>
      </c>
      <c r="F1365" s="242" t="s">
        <v>155</v>
      </c>
      <c r="G1365" s="239"/>
      <c r="H1365" s="240">
        <f t="shared" si="21"/>
        <v>22179</v>
      </c>
      <c r="I1365" s="241"/>
    </row>
    <row r="1366" spans="1:9" x14ac:dyDescent="0.25">
      <c r="A1366" s="249">
        <v>45125</v>
      </c>
      <c r="B1366" s="237"/>
      <c r="C1366" s="238"/>
      <c r="D1366" s="239"/>
      <c r="E1366" s="332">
        <v>1000</v>
      </c>
      <c r="F1366" s="242" t="s">
        <v>1141</v>
      </c>
      <c r="G1366" s="239"/>
      <c r="H1366" s="240">
        <f t="shared" si="21"/>
        <v>21179</v>
      </c>
      <c r="I1366" s="241"/>
    </row>
    <row r="1367" spans="1:9" x14ac:dyDescent="0.25">
      <c r="A1367" s="249">
        <v>45125</v>
      </c>
      <c r="B1367" s="237"/>
      <c r="C1367" s="238"/>
      <c r="D1367" s="239"/>
      <c r="E1367" s="332">
        <f>155+1768</f>
        <v>1923</v>
      </c>
      <c r="F1367" s="242" t="s">
        <v>270</v>
      </c>
      <c r="G1367" s="239"/>
      <c r="H1367" s="240">
        <f t="shared" si="21"/>
        <v>19256</v>
      </c>
      <c r="I1367" s="241" t="s">
        <v>791</v>
      </c>
    </row>
    <row r="1368" spans="1:9" x14ac:dyDescent="0.25">
      <c r="A1368" s="249">
        <v>45125</v>
      </c>
      <c r="B1368" s="237"/>
      <c r="C1368" s="238"/>
      <c r="D1368" s="239"/>
      <c r="E1368" s="332">
        <v>1655</v>
      </c>
      <c r="F1368" s="242" t="s">
        <v>1142</v>
      </c>
      <c r="G1368" s="239"/>
      <c r="H1368" s="240">
        <f t="shared" si="21"/>
        <v>17601</v>
      </c>
      <c r="I1368" s="241"/>
    </row>
    <row r="1369" spans="1:9" x14ac:dyDescent="0.25">
      <c r="A1369" s="249">
        <v>45125</v>
      </c>
      <c r="B1369" s="237"/>
      <c r="C1369" s="238"/>
      <c r="D1369" s="239"/>
      <c r="E1369" s="332">
        <v>495</v>
      </c>
      <c r="F1369" s="242" t="s">
        <v>27</v>
      </c>
      <c r="G1369" s="239"/>
      <c r="H1369" s="240">
        <f t="shared" si="21"/>
        <v>17106</v>
      </c>
      <c r="I1369" s="241" t="s">
        <v>1143</v>
      </c>
    </row>
    <row r="1370" spans="1:9" x14ac:dyDescent="0.25">
      <c r="A1370" s="249">
        <v>45125</v>
      </c>
      <c r="B1370" s="237"/>
      <c r="C1370" s="238"/>
      <c r="D1370" s="239"/>
      <c r="E1370" s="332">
        <v>430</v>
      </c>
      <c r="F1370" s="242" t="s">
        <v>1151</v>
      </c>
      <c r="G1370" s="239"/>
      <c r="H1370" s="240">
        <f t="shared" si="21"/>
        <v>16676</v>
      </c>
      <c r="I1370" s="241"/>
    </row>
    <row r="1371" spans="1:9" x14ac:dyDescent="0.25">
      <c r="A1371" s="249">
        <v>45125</v>
      </c>
      <c r="B1371" s="237"/>
      <c r="C1371" s="238"/>
      <c r="D1371" s="239"/>
      <c r="E1371" s="332">
        <v>50</v>
      </c>
      <c r="F1371" s="242" t="s">
        <v>13</v>
      </c>
      <c r="G1371" s="239"/>
      <c r="H1371" s="240">
        <f t="shared" si="21"/>
        <v>16626</v>
      </c>
      <c r="I1371" s="241"/>
    </row>
    <row r="1372" spans="1:9" x14ac:dyDescent="0.25">
      <c r="A1372" s="249">
        <v>45125</v>
      </c>
      <c r="B1372" s="237"/>
      <c r="C1372" s="238"/>
      <c r="D1372" s="239"/>
      <c r="E1372" s="332">
        <v>120</v>
      </c>
      <c r="F1372" s="242" t="s">
        <v>38</v>
      </c>
      <c r="G1372" s="239"/>
      <c r="H1372" s="240">
        <f t="shared" si="21"/>
        <v>16506</v>
      </c>
      <c r="I1372" s="241"/>
    </row>
    <row r="1373" spans="1:9" x14ac:dyDescent="0.25">
      <c r="A1373" s="249">
        <v>45125</v>
      </c>
      <c r="B1373" s="237"/>
      <c r="C1373" s="238"/>
      <c r="D1373" s="239"/>
      <c r="E1373" s="332">
        <v>180</v>
      </c>
      <c r="F1373" s="242" t="s">
        <v>399</v>
      </c>
      <c r="G1373" s="239"/>
      <c r="H1373" s="240">
        <f t="shared" si="21"/>
        <v>16326</v>
      </c>
      <c r="I1373" s="241"/>
    </row>
    <row r="1374" spans="1:9" x14ac:dyDescent="0.25">
      <c r="A1374" s="249">
        <v>45125</v>
      </c>
      <c r="B1374" s="237"/>
      <c r="C1374" s="238"/>
      <c r="D1374" s="239"/>
      <c r="E1374" s="332">
        <v>120</v>
      </c>
      <c r="F1374" s="242" t="s">
        <v>393</v>
      </c>
      <c r="G1374" s="239"/>
      <c r="H1374" s="240">
        <f t="shared" si="21"/>
        <v>16206</v>
      </c>
      <c r="I1374" s="241"/>
    </row>
    <row r="1375" spans="1:9" x14ac:dyDescent="0.25">
      <c r="A1375" s="249">
        <v>45125</v>
      </c>
      <c r="B1375" s="237"/>
      <c r="C1375" s="238"/>
      <c r="D1375" s="239"/>
      <c r="E1375" s="332">
        <v>115</v>
      </c>
      <c r="F1375" s="242" t="s">
        <v>19</v>
      </c>
      <c r="G1375" s="239"/>
      <c r="H1375" s="240">
        <f t="shared" si="21"/>
        <v>16091</v>
      </c>
      <c r="I1375" s="241"/>
    </row>
    <row r="1376" spans="1:9" x14ac:dyDescent="0.25">
      <c r="A1376" s="249">
        <v>45125</v>
      </c>
      <c r="B1376" s="237"/>
      <c r="C1376" s="238"/>
      <c r="D1376" s="239"/>
      <c r="E1376" s="332">
        <v>75</v>
      </c>
      <c r="F1376" s="242" t="s">
        <v>741</v>
      </c>
      <c r="G1376" s="239"/>
      <c r="H1376" s="240">
        <f t="shared" si="21"/>
        <v>16016</v>
      </c>
      <c r="I1376" s="241"/>
    </row>
    <row r="1377" spans="1:9" x14ac:dyDescent="0.25">
      <c r="A1377" s="249">
        <v>45125</v>
      </c>
      <c r="B1377" s="237"/>
      <c r="C1377" s="238"/>
      <c r="D1377" s="239"/>
      <c r="E1377" s="332">
        <v>420</v>
      </c>
      <c r="F1377" s="242" t="s">
        <v>61</v>
      </c>
      <c r="G1377" s="239"/>
      <c r="H1377" s="240">
        <f t="shared" si="21"/>
        <v>15596</v>
      </c>
      <c r="I1377" s="241"/>
    </row>
    <row r="1378" spans="1:9" x14ac:dyDescent="0.25">
      <c r="A1378" s="249">
        <v>45125</v>
      </c>
      <c r="B1378" s="237"/>
      <c r="C1378" s="238"/>
      <c r="D1378" s="239"/>
      <c r="E1378" s="332">
        <v>1540</v>
      </c>
      <c r="F1378" s="242" t="s">
        <v>12</v>
      </c>
      <c r="G1378" s="239"/>
      <c r="H1378" s="240">
        <f t="shared" si="21"/>
        <v>14056</v>
      </c>
      <c r="I1378" s="241"/>
    </row>
    <row r="1379" spans="1:9" x14ac:dyDescent="0.25">
      <c r="A1379" s="249">
        <v>45125</v>
      </c>
      <c r="B1379" s="237"/>
      <c r="C1379" s="238"/>
      <c r="D1379" s="239"/>
      <c r="E1379" s="332">
        <v>1500</v>
      </c>
      <c r="F1379" s="242" t="s">
        <v>1146</v>
      </c>
      <c r="G1379" s="239"/>
      <c r="H1379" s="240">
        <f t="shared" si="21"/>
        <v>12556</v>
      </c>
      <c r="I1379" s="241"/>
    </row>
    <row r="1380" spans="1:9" x14ac:dyDescent="0.25">
      <c r="A1380" s="249">
        <v>45125</v>
      </c>
      <c r="B1380" s="237"/>
      <c r="C1380" s="238"/>
      <c r="D1380" s="239"/>
      <c r="E1380" s="332">
        <v>250</v>
      </c>
      <c r="F1380" s="242" t="s">
        <v>34</v>
      </c>
      <c r="G1380" s="239"/>
      <c r="H1380" s="240">
        <f t="shared" si="21"/>
        <v>12306</v>
      </c>
      <c r="I1380" s="241"/>
    </row>
    <row r="1381" spans="1:9" x14ac:dyDescent="0.25">
      <c r="A1381" s="249">
        <v>45125</v>
      </c>
      <c r="B1381" s="237"/>
      <c r="C1381" s="238"/>
      <c r="D1381" s="239"/>
      <c r="E1381" s="332">
        <v>2850</v>
      </c>
      <c r="F1381" s="242" t="s">
        <v>1147</v>
      </c>
      <c r="G1381" s="239"/>
      <c r="H1381" s="240">
        <f t="shared" si="21"/>
        <v>9456</v>
      </c>
      <c r="I1381" s="241"/>
    </row>
    <row r="1382" spans="1:9" x14ac:dyDescent="0.25">
      <c r="A1382" s="249">
        <v>45125</v>
      </c>
      <c r="B1382" s="237"/>
      <c r="C1382" s="238"/>
      <c r="D1382" s="239"/>
      <c r="E1382" s="332">
        <v>95</v>
      </c>
      <c r="F1382" s="242" t="s">
        <v>27</v>
      </c>
      <c r="G1382" s="239"/>
      <c r="H1382" s="240">
        <f t="shared" si="21"/>
        <v>9361</v>
      </c>
      <c r="I1382" s="241"/>
    </row>
    <row r="1383" spans="1:9" x14ac:dyDescent="0.25">
      <c r="A1383" s="249">
        <v>45125</v>
      </c>
      <c r="B1383" s="237"/>
      <c r="C1383" s="238"/>
      <c r="D1383" s="239"/>
      <c r="E1383" s="332">
        <v>15</v>
      </c>
      <c r="F1383" s="242" t="s">
        <v>1148</v>
      </c>
      <c r="G1383" s="239"/>
      <c r="H1383" s="240">
        <f t="shared" si="21"/>
        <v>9346</v>
      </c>
      <c r="I1383" s="241"/>
    </row>
    <row r="1384" spans="1:9" x14ac:dyDescent="0.25">
      <c r="A1384" s="249">
        <v>45125</v>
      </c>
      <c r="B1384" s="237"/>
      <c r="C1384" s="238"/>
      <c r="D1384" s="239"/>
      <c r="E1384" s="332">
        <v>20</v>
      </c>
      <c r="F1384" s="242" t="s">
        <v>1149</v>
      </c>
      <c r="G1384" s="239"/>
      <c r="H1384" s="240">
        <f t="shared" si="21"/>
        <v>9326</v>
      </c>
      <c r="I1384" s="241"/>
    </row>
    <row r="1385" spans="1:9" x14ac:dyDescent="0.25">
      <c r="A1385" s="249">
        <v>45125</v>
      </c>
      <c r="B1385" s="237"/>
      <c r="C1385" s="238"/>
      <c r="D1385" s="239"/>
      <c r="E1385" s="332">
        <v>10</v>
      </c>
      <c r="F1385" s="242" t="s">
        <v>1150</v>
      </c>
      <c r="G1385" s="239"/>
      <c r="H1385" s="240">
        <f t="shared" si="21"/>
        <v>9316</v>
      </c>
      <c r="I1385" s="241"/>
    </row>
    <row r="1386" spans="1:9" x14ac:dyDescent="0.25">
      <c r="A1386" s="249">
        <v>45125</v>
      </c>
      <c r="B1386" s="237"/>
      <c r="C1386" s="238"/>
      <c r="D1386" s="239"/>
      <c r="E1386" s="334">
        <v>500</v>
      </c>
      <c r="F1386" s="243" t="s">
        <v>1155</v>
      </c>
      <c r="G1386" s="239"/>
      <c r="H1386" s="240">
        <f t="shared" si="21"/>
        <v>8816</v>
      </c>
      <c r="I1386" s="241"/>
    </row>
    <row r="1387" spans="1:9" x14ac:dyDescent="0.25">
      <c r="A1387" s="249">
        <v>45125</v>
      </c>
      <c r="B1387" s="237"/>
      <c r="C1387" s="238"/>
      <c r="D1387" s="239"/>
      <c r="E1387" s="332">
        <v>2000</v>
      </c>
      <c r="F1387" s="242" t="s">
        <v>1156</v>
      </c>
      <c r="G1387" s="239"/>
      <c r="H1387" s="240">
        <f t="shared" si="21"/>
        <v>6816</v>
      </c>
      <c r="I1387" s="335" t="s">
        <v>1157</v>
      </c>
    </row>
    <row r="1388" spans="1:9" x14ac:dyDescent="0.25">
      <c r="A1388" s="249">
        <v>45125</v>
      </c>
      <c r="B1388" s="237"/>
      <c r="C1388" s="238"/>
      <c r="D1388" s="239"/>
      <c r="E1388" s="332"/>
      <c r="F1388" s="242"/>
      <c r="G1388" s="239"/>
      <c r="H1388" s="240">
        <f t="shared" ref="H1388:H1451" si="22">H1387+B1388-E1388</f>
        <v>6816</v>
      </c>
      <c r="I1388" s="241"/>
    </row>
    <row r="1389" spans="1:9" x14ac:dyDescent="0.25">
      <c r="A1389" s="249"/>
      <c r="B1389" s="237"/>
      <c r="C1389" s="238"/>
      <c r="D1389" s="239"/>
      <c r="E1389" s="237"/>
      <c r="F1389" s="242"/>
      <c r="G1389" s="239"/>
      <c r="H1389" s="240">
        <f t="shared" si="22"/>
        <v>6816</v>
      </c>
      <c r="I1389" s="241"/>
    </row>
    <row r="1390" spans="1:9" x14ac:dyDescent="0.25">
      <c r="A1390" s="249"/>
      <c r="B1390" s="237"/>
      <c r="C1390" s="238"/>
      <c r="D1390" s="239"/>
      <c r="E1390" s="237"/>
      <c r="F1390" s="242"/>
      <c r="G1390" s="239"/>
      <c r="H1390" s="240">
        <f t="shared" si="22"/>
        <v>6816</v>
      </c>
      <c r="I1390" s="241"/>
    </row>
    <row r="1391" spans="1:9" x14ac:dyDescent="0.25">
      <c r="A1391" s="249"/>
      <c r="B1391" s="237"/>
      <c r="C1391" s="238"/>
      <c r="D1391" s="239"/>
      <c r="E1391" s="237"/>
      <c r="F1391" s="242"/>
      <c r="G1391" s="239"/>
      <c r="H1391" s="240">
        <f t="shared" si="22"/>
        <v>6816</v>
      </c>
      <c r="I1391" s="241"/>
    </row>
    <row r="1392" spans="1:9" x14ac:dyDescent="0.25">
      <c r="A1392" s="249"/>
      <c r="B1392" s="237"/>
      <c r="C1392" s="238"/>
      <c r="D1392" s="239"/>
      <c r="E1392" s="237"/>
      <c r="F1392" s="242"/>
      <c r="G1392" s="239"/>
      <c r="H1392" s="240">
        <f t="shared" si="22"/>
        <v>6816</v>
      </c>
      <c r="I1392" s="241"/>
    </row>
    <row r="1393" spans="1:9" x14ac:dyDescent="0.25">
      <c r="A1393" s="249"/>
      <c r="B1393" s="237"/>
      <c r="C1393" s="238"/>
      <c r="D1393" s="239"/>
      <c r="E1393" s="237"/>
      <c r="F1393" s="242"/>
      <c r="G1393" s="239"/>
      <c r="H1393" s="240">
        <f t="shared" si="22"/>
        <v>6816</v>
      </c>
      <c r="I1393" s="241"/>
    </row>
    <row r="1394" spans="1:9" x14ac:dyDescent="0.25">
      <c r="A1394" s="249"/>
      <c r="B1394" s="237"/>
      <c r="C1394" s="238"/>
      <c r="D1394" s="239"/>
      <c r="E1394" s="237"/>
      <c r="F1394" s="242"/>
      <c r="G1394" s="239"/>
      <c r="H1394" s="240">
        <f t="shared" si="22"/>
        <v>6816</v>
      </c>
      <c r="I1394" s="241"/>
    </row>
    <row r="1395" spans="1:9" x14ac:dyDescent="0.25">
      <c r="A1395" s="249"/>
      <c r="B1395" s="237"/>
      <c r="C1395" s="238"/>
      <c r="D1395" s="239"/>
      <c r="E1395" s="237"/>
      <c r="F1395" s="242"/>
      <c r="G1395" s="239"/>
      <c r="H1395" s="240">
        <f t="shared" si="22"/>
        <v>6816</v>
      </c>
      <c r="I1395" s="241"/>
    </row>
    <row r="1396" spans="1:9" x14ac:dyDescent="0.25">
      <c r="A1396" s="249"/>
      <c r="B1396" s="237"/>
      <c r="C1396" s="238"/>
      <c r="D1396" s="239"/>
      <c r="E1396" s="237"/>
      <c r="F1396" s="242"/>
      <c r="G1396" s="239"/>
      <c r="H1396" s="240">
        <f t="shared" si="22"/>
        <v>6816</v>
      </c>
      <c r="I1396" s="241"/>
    </row>
    <row r="1397" spans="1:9" x14ac:dyDescent="0.25">
      <c r="A1397" s="249"/>
      <c r="B1397" s="237"/>
      <c r="C1397" s="238"/>
      <c r="D1397" s="239"/>
      <c r="E1397" s="237"/>
      <c r="F1397" s="242"/>
      <c r="G1397" s="239"/>
      <c r="H1397" s="240">
        <f t="shared" si="22"/>
        <v>6816</v>
      </c>
      <c r="I1397" s="241"/>
    </row>
    <row r="1398" spans="1:9" x14ac:dyDescent="0.25">
      <c r="A1398" s="249"/>
      <c r="B1398" s="237"/>
      <c r="C1398" s="238"/>
      <c r="D1398" s="239"/>
      <c r="E1398" s="237"/>
      <c r="F1398" s="242"/>
      <c r="G1398" s="239"/>
      <c r="H1398" s="240">
        <f t="shared" si="22"/>
        <v>6816</v>
      </c>
      <c r="I1398" s="241"/>
    </row>
    <row r="1399" spans="1:9" x14ac:dyDescent="0.25">
      <c r="A1399" s="249"/>
      <c r="B1399" s="237"/>
      <c r="C1399" s="238"/>
      <c r="D1399" s="239"/>
      <c r="E1399" s="237"/>
      <c r="F1399" s="242"/>
      <c r="G1399" s="239"/>
      <c r="H1399" s="240">
        <f t="shared" si="22"/>
        <v>6816</v>
      </c>
      <c r="I1399" s="241"/>
    </row>
    <row r="1400" spans="1:9" x14ac:dyDescent="0.25">
      <c r="A1400" s="249"/>
      <c r="B1400" s="237"/>
      <c r="C1400" s="238"/>
      <c r="D1400" s="239"/>
      <c r="E1400" s="237"/>
      <c r="F1400" s="242"/>
      <c r="G1400" s="239"/>
      <c r="H1400" s="240">
        <f t="shared" si="22"/>
        <v>6816</v>
      </c>
      <c r="I1400" s="241"/>
    </row>
    <row r="1401" spans="1:9" x14ac:dyDescent="0.25">
      <c r="A1401" s="249"/>
      <c r="B1401" s="237"/>
      <c r="C1401" s="238"/>
      <c r="D1401" s="239"/>
      <c r="E1401" s="237"/>
      <c r="F1401" s="242"/>
      <c r="G1401" s="239"/>
      <c r="H1401" s="240">
        <f t="shared" si="22"/>
        <v>6816</v>
      </c>
      <c r="I1401" s="241"/>
    </row>
    <row r="1402" spans="1:9" x14ac:dyDescent="0.25">
      <c r="A1402" s="249"/>
      <c r="B1402" s="237"/>
      <c r="C1402" s="238"/>
      <c r="D1402" s="239"/>
      <c r="E1402" s="237"/>
      <c r="F1402" s="242"/>
      <c r="G1402" s="239"/>
      <c r="H1402" s="240">
        <f t="shared" si="22"/>
        <v>6816</v>
      </c>
      <c r="I1402" s="241"/>
    </row>
    <row r="1403" spans="1:9" x14ac:dyDescent="0.25">
      <c r="A1403" s="249"/>
      <c r="B1403" s="237"/>
      <c r="C1403" s="238"/>
      <c r="D1403" s="239"/>
      <c r="E1403" s="237"/>
      <c r="F1403" s="242"/>
      <c r="G1403" s="239"/>
      <c r="H1403" s="240">
        <f t="shared" si="22"/>
        <v>6816</v>
      </c>
      <c r="I1403" s="241"/>
    </row>
    <row r="1404" spans="1:9" x14ac:dyDescent="0.25">
      <c r="A1404" s="249"/>
      <c r="B1404" s="237"/>
      <c r="C1404" s="238"/>
      <c r="D1404" s="239"/>
      <c r="E1404" s="237"/>
      <c r="F1404" s="242"/>
      <c r="G1404" s="239"/>
      <c r="H1404" s="240">
        <f t="shared" si="22"/>
        <v>6816</v>
      </c>
      <c r="I1404" s="241"/>
    </row>
    <row r="1405" spans="1:9" x14ac:dyDescent="0.25">
      <c r="A1405" s="249"/>
      <c r="B1405" s="237"/>
      <c r="C1405" s="238"/>
      <c r="D1405" s="239"/>
      <c r="E1405" s="237"/>
      <c r="F1405" s="242"/>
      <c r="G1405" s="239"/>
      <c r="H1405" s="240">
        <f t="shared" si="22"/>
        <v>6816</v>
      </c>
      <c r="I1405" s="241"/>
    </row>
    <row r="1406" spans="1:9" x14ac:dyDescent="0.25">
      <c r="A1406" s="249"/>
      <c r="B1406" s="237"/>
      <c r="C1406" s="238"/>
      <c r="D1406" s="239"/>
      <c r="E1406" s="237"/>
      <c r="F1406" s="242"/>
      <c r="G1406" s="239"/>
      <c r="H1406" s="240">
        <f t="shared" si="22"/>
        <v>6816</v>
      </c>
      <c r="I1406" s="241"/>
    </row>
    <row r="1407" spans="1:9" x14ac:dyDescent="0.25">
      <c r="A1407" s="249"/>
      <c r="B1407" s="237"/>
      <c r="C1407" s="238"/>
      <c r="D1407" s="239"/>
      <c r="E1407" s="237"/>
      <c r="F1407" s="242"/>
      <c r="G1407" s="239"/>
      <c r="H1407" s="240">
        <f t="shared" si="22"/>
        <v>6816</v>
      </c>
      <c r="I1407" s="241"/>
    </row>
    <row r="1408" spans="1:9" x14ac:dyDescent="0.25">
      <c r="A1408" s="249"/>
      <c r="B1408" s="237"/>
      <c r="C1408" s="238"/>
      <c r="D1408" s="239"/>
      <c r="E1408" s="237"/>
      <c r="F1408" s="242"/>
      <c r="G1408" s="239"/>
      <c r="H1408" s="240">
        <f t="shared" si="22"/>
        <v>6816</v>
      </c>
      <c r="I1408" s="241"/>
    </row>
    <row r="1409" spans="1:9" x14ac:dyDescent="0.25">
      <c r="A1409" s="249"/>
      <c r="B1409" s="237"/>
      <c r="C1409" s="238"/>
      <c r="D1409" s="239"/>
      <c r="E1409" s="237"/>
      <c r="F1409" s="242"/>
      <c r="G1409" s="239"/>
      <c r="H1409" s="240">
        <f t="shared" si="22"/>
        <v>6816</v>
      </c>
      <c r="I1409" s="241"/>
    </row>
    <row r="1410" spans="1:9" x14ac:dyDescent="0.25">
      <c r="A1410" s="249"/>
      <c r="B1410" s="237"/>
      <c r="C1410" s="238"/>
      <c r="D1410" s="239"/>
      <c r="E1410" s="237"/>
      <c r="F1410" s="242"/>
      <c r="G1410" s="239"/>
      <c r="H1410" s="240">
        <f t="shared" si="22"/>
        <v>6816</v>
      </c>
      <c r="I1410" s="241"/>
    </row>
    <row r="1411" spans="1:9" x14ac:dyDescent="0.25">
      <c r="A1411" s="249"/>
      <c r="B1411" s="237"/>
      <c r="C1411" s="238"/>
      <c r="D1411" s="239"/>
      <c r="E1411" s="237"/>
      <c r="F1411" s="242"/>
      <c r="G1411" s="239"/>
      <c r="H1411" s="240">
        <f t="shared" si="22"/>
        <v>6816</v>
      </c>
      <c r="I1411" s="241"/>
    </row>
    <row r="1412" spans="1:9" x14ac:dyDescent="0.25">
      <c r="A1412" s="249"/>
      <c r="B1412" s="237"/>
      <c r="C1412" s="238"/>
      <c r="D1412" s="239"/>
      <c r="E1412" s="237"/>
      <c r="F1412" s="242"/>
      <c r="G1412" s="239"/>
      <c r="H1412" s="240">
        <f t="shared" si="22"/>
        <v>6816</v>
      </c>
      <c r="I1412" s="241"/>
    </row>
    <row r="1413" spans="1:9" x14ac:dyDescent="0.25">
      <c r="A1413" s="249"/>
      <c r="B1413" s="237"/>
      <c r="C1413" s="238"/>
      <c r="D1413" s="239"/>
      <c r="E1413" s="237"/>
      <c r="F1413" s="242"/>
      <c r="G1413" s="239"/>
      <c r="H1413" s="240">
        <f t="shared" si="22"/>
        <v>6816</v>
      </c>
      <c r="I1413" s="241"/>
    </row>
    <row r="1414" spans="1:9" x14ac:dyDescent="0.25">
      <c r="A1414" s="249"/>
      <c r="B1414" s="237"/>
      <c r="C1414" s="238"/>
      <c r="D1414" s="239"/>
      <c r="E1414" s="237"/>
      <c r="F1414" s="242"/>
      <c r="G1414" s="239"/>
      <c r="H1414" s="240">
        <f t="shared" si="22"/>
        <v>6816</v>
      </c>
      <c r="I1414" s="241"/>
    </row>
    <row r="1415" spans="1:9" x14ac:dyDescent="0.25">
      <c r="A1415" s="249"/>
      <c r="B1415" s="237"/>
      <c r="C1415" s="238"/>
      <c r="D1415" s="239"/>
      <c r="E1415" s="237"/>
      <c r="F1415" s="242"/>
      <c r="G1415" s="239"/>
      <c r="H1415" s="240">
        <f t="shared" si="22"/>
        <v>6816</v>
      </c>
      <c r="I1415" s="241"/>
    </row>
    <row r="1416" spans="1:9" x14ac:dyDescent="0.25">
      <c r="A1416" s="249"/>
      <c r="B1416" s="237"/>
      <c r="C1416" s="238"/>
      <c r="D1416" s="239"/>
      <c r="E1416" s="237"/>
      <c r="F1416" s="242"/>
      <c r="G1416" s="239"/>
      <c r="H1416" s="240">
        <f t="shared" si="22"/>
        <v>6816</v>
      </c>
      <c r="I1416" s="241"/>
    </row>
    <row r="1417" spans="1:9" x14ac:dyDescent="0.25">
      <c r="A1417" s="249"/>
      <c r="B1417" s="237"/>
      <c r="C1417" s="238"/>
      <c r="D1417" s="239"/>
      <c r="E1417" s="237"/>
      <c r="F1417" s="242"/>
      <c r="G1417" s="239"/>
      <c r="H1417" s="240">
        <f t="shared" si="22"/>
        <v>6816</v>
      </c>
      <c r="I1417" s="241"/>
    </row>
    <row r="1418" spans="1:9" x14ac:dyDescent="0.25">
      <c r="A1418" s="249"/>
      <c r="B1418" s="237"/>
      <c r="C1418" s="238"/>
      <c r="D1418" s="239"/>
      <c r="E1418" s="237"/>
      <c r="F1418" s="242"/>
      <c r="G1418" s="239"/>
      <c r="H1418" s="240">
        <f t="shared" si="22"/>
        <v>6816</v>
      </c>
      <c r="I1418" s="241"/>
    </row>
    <row r="1419" spans="1:9" x14ac:dyDescent="0.25">
      <c r="A1419" s="249"/>
      <c r="B1419" s="237"/>
      <c r="C1419" s="238"/>
      <c r="D1419" s="239"/>
      <c r="E1419" s="237"/>
      <c r="F1419" s="242"/>
      <c r="G1419" s="239"/>
      <c r="H1419" s="240">
        <f t="shared" si="22"/>
        <v>6816</v>
      </c>
      <c r="I1419" s="241"/>
    </row>
    <row r="1420" spans="1:9" x14ac:dyDescent="0.25">
      <c r="A1420" s="249"/>
      <c r="B1420" s="237"/>
      <c r="C1420" s="238"/>
      <c r="D1420" s="239"/>
      <c r="E1420" s="237"/>
      <c r="F1420" s="242"/>
      <c r="G1420" s="239"/>
      <c r="H1420" s="240">
        <f t="shared" si="22"/>
        <v>6816</v>
      </c>
      <c r="I1420" s="241"/>
    </row>
    <row r="1421" spans="1:9" x14ac:dyDescent="0.25">
      <c r="A1421" s="249"/>
      <c r="B1421" s="237"/>
      <c r="C1421" s="238"/>
      <c r="D1421" s="239"/>
      <c r="E1421" s="237"/>
      <c r="F1421" s="242"/>
      <c r="G1421" s="239"/>
      <c r="H1421" s="240">
        <f t="shared" si="22"/>
        <v>6816</v>
      </c>
      <c r="I1421" s="241"/>
    </row>
    <row r="1422" spans="1:9" x14ac:dyDescent="0.25">
      <c r="A1422" s="249"/>
      <c r="B1422" s="237"/>
      <c r="C1422" s="238"/>
      <c r="D1422" s="239"/>
      <c r="E1422" s="237"/>
      <c r="F1422" s="242"/>
      <c r="G1422" s="239"/>
      <c r="H1422" s="240">
        <f t="shared" si="22"/>
        <v>6816</v>
      </c>
      <c r="I1422" s="241"/>
    </row>
    <row r="1423" spans="1:9" x14ac:dyDescent="0.25">
      <c r="A1423" s="249"/>
      <c r="B1423" s="237"/>
      <c r="C1423" s="238"/>
      <c r="D1423" s="239"/>
      <c r="E1423" s="237"/>
      <c r="F1423" s="242"/>
      <c r="G1423" s="239"/>
      <c r="H1423" s="240">
        <f t="shared" si="22"/>
        <v>6816</v>
      </c>
      <c r="I1423" s="241"/>
    </row>
    <row r="1424" spans="1:9" x14ac:dyDescent="0.25">
      <c r="A1424" s="249"/>
      <c r="B1424" s="237"/>
      <c r="C1424" s="238"/>
      <c r="D1424" s="239"/>
      <c r="E1424" s="237"/>
      <c r="F1424" s="242"/>
      <c r="G1424" s="239"/>
      <c r="H1424" s="240">
        <f t="shared" si="22"/>
        <v>6816</v>
      </c>
      <c r="I1424" s="241"/>
    </row>
    <row r="1425" spans="1:9" x14ac:dyDescent="0.25">
      <c r="A1425" s="249"/>
      <c r="B1425" s="237"/>
      <c r="C1425" s="238"/>
      <c r="D1425" s="239"/>
      <c r="E1425" s="237"/>
      <c r="F1425" s="242"/>
      <c r="G1425" s="239"/>
      <c r="H1425" s="240">
        <f t="shared" si="22"/>
        <v>6816</v>
      </c>
      <c r="I1425" s="241"/>
    </row>
    <row r="1426" spans="1:9" x14ac:dyDescent="0.25">
      <c r="A1426" s="249"/>
      <c r="B1426" s="237"/>
      <c r="C1426" s="238"/>
      <c r="D1426" s="239"/>
      <c r="E1426" s="237"/>
      <c r="F1426" s="242"/>
      <c r="G1426" s="239"/>
      <c r="H1426" s="240">
        <f t="shared" si="22"/>
        <v>6816</v>
      </c>
      <c r="I1426" s="241"/>
    </row>
    <row r="1427" spans="1:9" x14ac:dyDescent="0.25">
      <c r="A1427" s="249"/>
      <c r="B1427" s="237"/>
      <c r="C1427" s="238"/>
      <c r="D1427" s="239"/>
      <c r="E1427" s="237"/>
      <c r="F1427" s="242"/>
      <c r="G1427" s="239"/>
      <c r="H1427" s="240">
        <f t="shared" si="22"/>
        <v>6816</v>
      </c>
      <c r="I1427" s="241"/>
    </row>
    <row r="1428" spans="1:9" x14ac:dyDescent="0.25">
      <c r="A1428" s="249"/>
      <c r="B1428" s="237"/>
      <c r="C1428" s="238"/>
      <c r="D1428" s="239"/>
      <c r="E1428" s="237"/>
      <c r="F1428" s="242"/>
      <c r="G1428" s="239"/>
      <c r="H1428" s="240">
        <f t="shared" si="22"/>
        <v>6816</v>
      </c>
      <c r="I1428" s="241"/>
    </row>
    <row r="1429" spans="1:9" x14ac:dyDescent="0.25">
      <c r="A1429" s="249"/>
      <c r="B1429" s="237"/>
      <c r="C1429" s="238"/>
      <c r="D1429" s="239"/>
      <c r="E1429" s="237"/>
      <c r="F1429" s="242"/>
      <c r="G1429" s="239"/>
      <c r="H1429" s="240">
        <f t="shared" si="22"/>
        <v>6816</v>
      </c>
      <c r="I1429" s="241"/>
    </row>
    <row r="1430" spans="1:9" x14ac:dyDescent="0.25">
      <c r="A1430" s="249"/>
      <c r="B1430" s="237"/>
      <c r="C1430" s="238"/>
      <c r="D1430" s="239"/>
      <c r="E1430" s="237"/>
      <c r="F1430" s="242"/>
      <c r="G1430" s="239"/>
      <c r="H1430" s="240">
        <f t="shared" si="22"/>
        <v>6816</v>
      </c>
      <c r="I1430" s="241"/>
    </row>
    <row r="1431" spans="1:9" x14ac:dyDescent="0.25">
      <c r="A1431" s="249"/>
      <c r="B1431" s="237"/>
      <c r="C1431" s="238"/>
      <c r="D1431" s="239"/>
      <c r="E1431" s="237"/>
      <c r="F1431" s="242"/>
      <c r="G1431" s="239"/>
      <c r="H1431" s="240">
        <f t="shared" si="22"/>
        <v>6816</v>
      </c>
      <c r="I1431" s="241"/>
    </row>
    <row r="1432" spans="1:9" x14ac:dyDescent="0.25">
      <c r="A1432" s="249"/>
      <c r="B1432" s="237"/>
      <c r="C1432" s="238"/>
      <c r="D1432" s="239"/>
      <c r="E1432" s="237"/>
      <c r="F1432" s="242"/>
      <c r="G1432" s="239"/>
      <c r="H1432" s="240">
        <f t="shared" si="22"/>
        <v>6816</v>
      </c>
      <c r="I1432" s="241"/>
    </row>
    <row r="1433" spans="1:9" x14ac:dyDescent="0.25">
      <c r="A1433" s="249"/>
      <c r="B1433" s="237"/>
      <c r="C1433" s="238"/>
      <c r="D1433" s="239"/>
      <c r="E1433" s="237"/>
      <c r="F1433" s="242"/>
      <c r="G1433" s="239"/>
      <c r="H1433" s="240">
        <f t="shared" si="22"/>
        <v>6816</v>
      </c>
      <c r="I1433" s="241"/>
    </row>
    <row r="1434" spans="1:9" x14ac:dyDescent="0.25">
      <c r="A1434" s="249"/>
      <c r="B1434" s="237"/>
      <c r="C1434" s="238"/>
      <c r="D1434" s="239"/>
      <c r="E1434" s="237"/>
      <c r="F1434" s="242"/>
      <c r="G1434" s="239"/>
      <c r="H1434" s="240">
        <f t="shared" si="22"/>
        <v>6816</v>
      </c>
      <c r="I1434" s="241"/>
    </row>
    <row r="1435" spans="1:9" x14ac:dyDescent="0.25">
      <c r="A1435" s="249"/>
      <c r="B1435" s="237"/>
      <c r="C1435" s="238"/>
      <c r="D1435" s="239"/>
      <c r="E1435" s="237"/>
      <c r="F1435" s="242"/>
      <c r="G1435" s="239"/>
      <c r="H1435" s="240">
        <f t="shared" si="22"/>
        <v>6816</v>
      </c>
      <c r="I1435" s="241"/>
    </row>
    <row r="1436" spans="1:9" x14ac:dyDescent="0.25">
      <c r="A1436" s="249"/>
      <c r="B1436" s="237"/>
      <c r="C1436" s="238"/>
      <c r="D1436" s="239"/>
      <c r="E1436" s="237"/>
      <c r="F1436" s="242"/>
      <c r="G1436" s="239"/>
      <c r="H1436" s="240">
        <f t="shared" si="22"/>
        <v>6816</v>
      </c>
      <c r="I1436" s="241"/>
    </row>
    <row r="1437" spans="1:9" x14ac:dyDescent="0.25">
      <c r="A1437" s="249"/>
      <c r="B1437" s="237"/>
      <c r="C1437" s="238"/>
      <c r="D1437" s="239"/>
      <c r="E1437" s="237"/>
      <c r="F1437" s="242"/>
      <c r="G1437" s="239"/>
      <c r="H1437" s="240">
        <f t="shared" si="22"/>
        <v>6816</v>
      </c>
      <c r="I1437" s="241"/>
    </row>
    <row r="1438" spans="1:9" x14ac:dyDescent="0.25">
      <c r="A1438" s="249"/>
      <c r="B1438" s="237"/>
      <c r="C1438" s="238"/>
      <c r="D1438" s="239"/>
      <c r="E1438" s="237"/>
      <c r="F1438" s="242"/>
      <c r="G1438" s="239"/>
      <c r="H1438" s="240">
        <f t="shared" si="22"/>
        <v>6816</v>
      </c>
      <c r="I1438" s="241"/>
    </row>
    <row r="1439" spans="1:9" x14ac:dyDescent="0.25">
      <c r="A1439" s="249"/>
      <c r="B1439" s="237"/>
      <c r="C1439" s="238"/>
      <c r="D1439" s="239"/>
      <c r="E1439" s="237"/>
      <c r="F1439" s="242"/>
      <c r="G1439" s="239"/>
      <c r="H1439" s="240">
        <f t="shared" si="22"/>
        <v>6816</v>
      </c>
      <c r="I1439" s="241"/>
    </row>
    <row r="1440" spans="1:9" x14ac:dyDescent="0.25">
      <c r="A1440" s="249"/>
      <c r="B1440" s="237"/>
      <c r="C1440" s="238"/>
      <c r="D1440" s="239"/>
      <c r="E1440" s="237"/>
      <c r="F1440" s="242"/>
      <c r="G1440" s="239"/>
      <c r="H1440" s="240">
        <f t="shared" si="22"/>
        <v>6816</v>
      </c>
      <c r="I1440" s="241"/>
    </row>
    <row r="1441" spans="1:9" x14ac:dyDescent="0.25">
      <c r="A1441" s="249"/>
      <c r="B1441" s="237"/>
      <c r="C1441" s="238"/>
      <c r="D1441" s="239"/>
      <c r="E1441" s="237"/>
      <c r="F1441" s="242"/>
      <c r="G1441" s="239"/>
      <c r="H1441" s="240">
        <f t="shared" si="22"/>
        <v>6816</v>
      </c>
      <c r="I1441" s="241"/>
    </row>
    <row r="1442" spans="1:9" x14ac:dyDescent="0.25">
      <c r="A1442" s="249"/>
      <c r="B1442" s="237"/>
      <c r="C1442" s="238"/>
      <c r="D1442" s="239"/>
      <c r="E1442" s="237"/>
      <c r="F1442" s="242"/>
      <c r="G1442" s="239"/>
      <c r="H1442" s="240">
        <f t="shared" si="22"/>
        <v>6816</v>
      </c>
      <c r="I1442" s="241"/>
    </row>
    <row r="1443" spans="1:9" x14ac:dyDescent="0.25">
      <c r="A1443" s="249"/>
      <c r="B1443" s="237"/>
      <c r="C1443" s="238"/>
      <c r="D1443" s="239"/>
      <c r="E1443" s="237"/>
      <c r="F1443" s="242"/>
      <c r="G1443" s="239"/>
      <c r="H1443" s="240">
        <f t="shared" si="22"/>
        <v>6816</v>
      </c>
      <c r="I1443" s="241"/>
    </row>
    <row r="1444" spans="1:9" x14ac:dyDescent="0.25">
      <c r="A1444" s="249"/>
      <c r="B1444" s="237"/>
      <c r="C1444" s="238"/>
      <c r="D1444" s="239"/>
      <c r="E1444" s="237"/>
      <c r="F1444" s="242"/>
      <c r="G1444" s="239"/>
      <c r="H1444" s="240">
        <f t="shared" si="22"/>
        <v>6816</v>
      </c>
      <c r="I1444" s="241"/>
    </row>
    <row r="1445" spans="1:9" x14ac:dyDescent="0.25">
      <c r="A1445" s="249"/>
      <c r="B1445" s="237"/>
      <c r="C1445" s="238"/>
      <c r="D1445" s="239"/>
      <c r="E1445" s="237"/>
      <c r="F1445" s="242"/>
      <c r="G1445" s="239"/>
      <c r="H1445" s="240">
        <f t="shared" si="22"/>
        <v>6816</v>
      </c>
      <c r="I1445" s="241"/>
    </row>
    <row r="1446" spans="1:9" x14ac:dyDescent="0.25">
      <c r="A1446" s="249"/>
      <c r="B1446" s="237"/>
      <c r="C1446" s="238"/>
      <c r="D1446" s="239"/>
      <c r="E1446" s="237"/>
      <c r="F1446" s="242"/>
      <c r="G1446" s="239"/>
      <c r="H1446" s="240">
        <f t="shared" si="22"/>
        <v>6816</v>
      </c>
      <c r="I1446" s="241"/>
    </row>
    <row r="1447" spans="1:9" x14ac:dyDescent="0.25">
      <c r="A1447" s="249"/>
      <c r="B1447" s="237"/>
      <c r="C1447" s="238"/>
      <c r="D1447" s="239"/>
      <c r="E1447" s="237"/>
      <c r="F1447" s="242"/>
      <c r="G1447" s="239"/>
      <c r="H1447" s="240">
        <f t="shared" si="22"/>
        <v>6816</v>
      </c>
      <c r="I1447" s="241"/>
    </row>
    <row r="1448" spans="1:9" x14ac:dyDescent="0.25">
      <c r="A1448" s="249"/>
      <c r="B1448" s="237"/>
      <c r="C1448" s="238"/>
      <c r="D1448" s="239"/>
      <c r="E1448" s="237"/>
      <c r="F1448" s="242"/>
      <c r="G1448" s="239"/>
      <c r="H1448" s="240">
        <f t="shared" si="22"/>
        <v>6816</v>
      </c>
      <c r="I1448" s="241"/>
    </row>
    <row r="1449" spans="1:9" x14ac:dyDescent="0.25">
      <c r="A1449" s="249"/>
      <c r="B1449" s="237"/>
      <c r="C1449" s="238"/>
      <c r="D1449" s="239"/>
      <c r="E1449" s="237"/>
      <c r="F1449" s="242"/>
      <c r="G1449" s="239"/>
      <c r="H1449" s="240">
        <f t="shared" si="22"/>
        <v>6816</v>
      </c>
      <c r="I1449" s="241"/>
    </row>
    <row r="1450" spans="1:9" x14ac:dyDescent="0.25">
      <c r="A1450" s="249"/>
      <c r="B1450" s="237"/>
      <c r="C1450" s="238"/>
      <c r="D1450" s="239"/>
      <c r="E1450" s="237"/>
      <c r="F1450" s="242"/>
      <c r="G1450" s="239"/>
      <c r="H1450" s="240">
        <f t="shared" si="22"/>
        <v>6816</v>
      </c>
      <c r="I1450" s="241"/>
    </row>
    <row r="1451" spans="1:9" x14ac:dyDescent="0.25">
      <c r="A1451" s="249"/>
      <c r="B1451" s="237"/>
      <c r="C1451" s="238"/>
      <c r="D1451" s="239"/>
      <c r="E1451" s="237"/>
      <c r="F1451" s="242"/>
      <c r="G1451" s="239"/>
      <c r="H1451" s="240">
        <f t="shared" si="22"/>
        <v>6816</v>
      </c>
      <c r="I1451" s="241"/>
    </row>
    <row r="1452" spans="1:9" x14ac:dyDescent="0.25">
      <c r="A1452" s="249"/>
      <c r="B1452" s="237"/>
      <c r="C1452" s="238"/>
      <c r="D1452" s="239"/>
      <c r="E1452" s="237"/>
      <c r="F1452" s="242"/>
      <c r="G1452" s="239"/>
      <c r="H1452" s="240">
        <f t="shared" ref="H1452:H1487" si="23">H1451+B1452-E1452</f>
        <v>6816</v>
      </c>
      <c r="I1452" s="241"/>
    </row>
    <row r="1453" spans="1:9" x14ac:dyDescent="0.25">
      <c r="A1453" s="249"/>
      <c r="B1453" s="237"/>
      <c r="C1453" s="238"/>
      <c r="D1453" s="239"/>
      <c r="E1453" s="237"/>
      <c r="F1453" s="242"/>
      <c r="G1453" s="239"/>
      <c r="H1453" s="240">
        <f t="shared" si="23"/>
        <v>6816</v>
      </c>
      <c r="I1453" s="241"/>
    </row>
    <row r="1454" spans="1:9" x14ac:dyDescent="0.25">
      <c r="A1454" s="249"/>
      <c r="B1454" s="237"/>
      <c r="C1454" s="238"/>
      <c r="D1454" s="239"/>
      <c r="E1454" s="237"/>
      <c r="F1454" s="242"/>
      <c r="G1454" s="239"/>
      <c r="H1454" s="240">
        <f t="shared" si="23"/>
        <v>6816</v>
      </c>
      <c r="I1454" s="241"/>
    </row>
    <row r="1455" spans="1:9" x14ac:dyDescent="0.25">
      <c r="A1455" s="249"/>
      <c r="B1455" s="237"/>
      <c r="C1455" s="238"/>
      <c r="D1455" s="239"/>
      <c r="E1455" s="237"/>
      <c r="F1455" s="242"/>
      <c r="G1455" s="239"/>
      <c r="H1455" s="240">
        <f t="shared" si="23"/>
        <v>6816</v>
      </c>
      <c r="I1455" s="241"/>
    </row>
    <row r="1456" spans="1:9" x14ac:dyDescent="0.25">
      <c r="A1456" s="249"/>
      <c r="B1456" s="237"/>
      <c r="C1456" s="238"/>
      <c r="D1456" s="239"/>
      <c r="E1456" s="237"/>
      <c r="F1456" s="242"/>
      <c r="G1456" s="239"/>
      <c r="H1456" s="240">
        <f t="shared" si="23"/>
        <v>6816</v>
      </c>
      <c r="I1456" s="241"/>
    </row>
    <row r="1457" spans="1:9" x14ac:dyDescent="0.25">
      <c r="A1457" s="249"/>
      <c r="B1457" s="237"/>
      <c r="C1457" s="238"/>
      <c r="D1457" s="239"/>
      <c r="E1457" s="237"/>
      <c r="F1457" s="242"/>
      <c r="G1457" s="239"/>
      <c r="H1457" s="240">
        <f t="shared" si="23"/>
        <v>6816</v>
      </c>
      <c r="I1457" s="241"/>
    </row>
    <row r="1458" spans="1:9" x14ac:dyDescent="0.25">
      <c r="A1458" s="249"/>
      <c r="B1458" s="237"/>
      <c r="C1458" s="238"/>
      <c r="D1458" s="239"/>
      <c r="E1458" s="237"/>
      <c r="F1458" s="242"/>
      <c r="G1458" s="239"/>
      <c r="H1458" s="240">
        <f t="shared" si="23"/>
        <v>6816</v>
      </c>
      <c r="I1458" s="241"/>
    </row>
    <row r="1459" spans="1:9" x14ac:dyDescent="0.25">
      <c r="A1459" s="249"/>
      <c r="B1459" s="237"/>
      <c r="C1459" s="238"/>
      <c r="D1459" s="239"/>
      <c r="E1459" s="237"/>
      <c r="F1459" s="242"/>
      <c r="G1459" s="239"/>
      <c r="H1459" s="240">
        <f t="shared" si="23"/>
        <v>6816</v>
      </c>
      <c r="I1459" s="241"/>
    </row>
    <row r="1460" spans="1:9" x14ac:dyDescent="0.25">
      <c r="A1460" s="249"/>
      <c r="B1460" s="237"/>
      <c r="C1460" s="238"/>
      <c r="D1460" s="239"/>
      <c r="E1460" s="237"/>
      <c r="F1460" s="242"/>
      <c r="G1460" s="239"/>
      <c r="H1460" s="240">
        <f t="shared" si="23"/>
        <v>6816</v>
      </c>
      <c r="I1460" s="241"/>
    </row>
    <row r="1461" spans="1:9" x14ac:dyDescent="0.25">
      <c r="A1461" s="249"/>
      <c r="B1461" s="237"/>
      <c r="C1461" s="238"/>
      <c r="D1461" s="239"/>
      <c r="E1461" s="237"/>
      <c r="F1461" s="242"/>
      <c r="G1461" s="239"/>
      <c r="H1461" s="240">
        <f t="shared" si="23"/>
        <v>6816</v>
      </c>
      <c r="I1461" s="241"/>
    </row>
    <row r="1462" spans="1:9" x14ac:dyDescent="0.25">
      <c r="A1462" s="249"/>
      <c r="B1462" s="237"/>
      <c r="C1462" s="238"/>
      <c r="D1462" s="239"/>
      <c r="E1462" s="237"/>
      <c r="F1462" s="242"/>
      <c r="G1462" s="239"/>
      <c r="H1462" s="240">
        <f t="shared" si="23"/>
        <v>6816</v>
      </c>
      <c r="I1462" s="241"/>
    </row>
    <row r="1463" spans="1:9" x14ac:dyDescent="0.25">
      <c r="A1463" s="249"/>
      <c r="B1463" s="237"/>
      <c r="C1463" s="238"/>
      <c r="D1463" s="239"/>
      <c r="E1463" s="237"/>
      <c r="F1463" s="242"/>
      <c r="G1463" s="239"/>
      <c r="H1463" s="240">
        <f t="shared" si="23"/>
        <v>6816</v>
      </c>
      <c r="I1463" s="241"/>
    </row>
    <row r="1464" spans="1:9" x14ac:dyDescent="0.25">
      <c r="A1464" s="249"/>
      <c r="B1464" s="237"/>
      <c r="C1464" s="238"/>
      <c r="D1464" s="239"/>
      <c r="E1464" s="237"/>
      <c r="F1464" s="242"/>
      <c r="G1464" s="239"/>
      <c r="H1464" s="240">
        <f t="shared" si="23"/>
        <v>6816</v>
      </c>
      <c r="I1464" s="241"/>
    </row>
    <row r="1465" spans="1:9" x14ac:dyDescent="0.25">
      <c r="A1465" s="249"/>
      <c r="B1465" s="237"/>
      <c r="C1465" s="238"/>
      <c r="D1465" s="239"/>
      <c r="E1465" s="237"/>
      <c r="F1465" s="242"/>
      <c r="G1465" s="239"/>
      <c r="H1465" s="240">
        <f t="shared" si="23"/>
        <v>6816</v>
      </c>
      <c r="I1465" s="241"/>
    </row>
    <row r="1466" spans="1:9" x14ac:dyDescent="0.25">
      <c r="A1466" s="249"/>
      <c r="B1466" s="237"/>
      <c r="C1466" s="238"/>
      <c r="D1466" s="239"/>
      <c r="E1466" s="237"/>
      <c r="F1466" s="242"/>
      <c r="G1466" s="239"/>
      <c r="H1466" s="240">
        <f t="shared" si="23"/>
        <v>6816</v>
      </c>
      <c r="I1466" s="241"/>
    </row>
    <row r="1467" spans="1:9" x14ac:dyDescent="0.25">
      <c r="A1467" s="249"/>
      <c r="B1467" s="237"/>
      <c r="C1467" s="238"/>
      <c r="D1467" s="239"/>
      <c r="E1467" s="237"/>
      <c r="F1467" s="242"/>
      <c r="G1467" s="239"/>
      <c r="H1467" s="240">
        <f t="shared" si="23"/>
        <v>6816</v>
      </c>
      <c r="I1467" s="241"/>
    </row>
    <row r="1468" spans="1:9" x14ac:dyDescent="0.25">
      <c r="A1468" s="249"/>
      <c r="B1468" s="237"/>
      <c r="C1468" s="238"/>
      <c r="D1468" s="239"/>
      <c r="E1468" s="237"/>
      <c r="F1468" s="242"/>
      <c r="G1468" s="239"/>
      <c r="H1468" s="240">
        <f t="shared" si="23"/>
        <v>6816</v>
      </c>
      <c r="I1468" s="241"/>
    </row>
    <row r="1469" spans="1:9" x14ac:dyDescent="0.25">
      <c r="A1469" s="249"/>
      <c r="B1469" s="237"/>
      <c r="C1469" s="238"/>
      <c r="D1469" s="239"/>
      <c r="E1469" s="237"/>
      <c r="F1469" s="242"/>
      <c r="G1469" s="239"/>
      <c r="H1469" s="240">
        <f t="shared" si="23"/>
        <v>6816</v>
      </c>
      <c r="I1469" s="241"/>
    </row>
    <row r="1470" spans="1:9" x14ac:dyDescent="0.25">
      <c r="A1470" s="249"/>
      <c r="B1470" s="237"/>
      <c r="C1470" s="238"/>
      <c r="D1470" s="239"/>
      <c r="E1470" s="237"/>
      <c r="F1470" s="242"/>
      <c r="G1470" s="239"/>
      <c r="H1470" s="240">
        <f t="shared" si="23"/>
        <v>6816</v>
      </c>
      <c r="I1470" s="241"/>
    </row>
    <row r="1471" spans="1:9" x14ac:dyDescent="0.25">
      <c r="A1471" s="249"/>
      <c r="B1471" s="237"/>
      <c r="C1471" s="238"/>
      <c r="D1471" s="239"/>
      <c r="E1471" s="237"/>
      <c r="F1471" s="242"/>
      <c r="G1471" s="239"/>
      <c r="H1471" s="240">
        <f t="shared" si="23"/>
        <v>6816</v>
      </c>
      <c r="I1471" s="241"/>
    </row>
    <row r="1472" spans="1:9" x14ac:dyDescent="0.25">
      <c r="A1472" s="249"/>
      <c r="B1472" s="237"/>
      <c r="C1472" s="238"/>
      <c r="D1472" s="239"/>
      <c r="E1472" s="237"/>
      <c r="F1472" s="242"/>
      <c r="G1472" s="239"/>
      <c r="H1472" s="240">
        <f t="shared" si="23"/>
        <v>6816</v>
      </c>
      <c r="I1472" s="241"/>
    </row>
    <row r="1473" spans="1:9" x14ac:dyDescent="0.25">
      <c r="A1473" s="249"/>
      <c r="B1473" s="237"/>
      <c r="C1473" s="238"/>
      <c r="D1473" s="239"/>
      <c r="E1473" s="237"/>
      <c r="F1473" s="242"/>
      <c r="G1473" s="239"/>
      <c r="H1473" s="240">
        <f t="shared" si="23"/>
        <v>6816</v>
      </c>
      <c r="I1473" s="241"/>
    </row>
    <row r="1474" spans="1:9" x14ac:dyDescent="0.25">
      <c r="A1474" s="249"/>
      <c r="B1474" s="237"/>
      <c r="C1474" s="238"/>
      <c r="D1474" s="239"/>
      <c r="E1474" s="237"/>
      <c r="F1474" s="242"/>
      <c r="G1474" s="239"/>
      <c r="H1474" s="240">
        <f t="shared" si="23"/>
        <v>6816</v>
      </c>
      <c r="I1474" s="241"/>
    </row>
    <row r="1475" spans="1:9" x14ac:dyDescent="0.25">
      <c r="A1475" s="249"/>
      <c r="B1475" s="237"/>
      <c r="C1475" s="238"/>
      <c r="D1475" s="239"/>
      <c r="E1475" s="237"/>
      <c r="F1475" s="242"/>
      <c r="G1475" s="239"/>
      <c r="H1475" s="240">
        <f t="shared" si="23"/>
        <v>6816</v>
      </c>
      <c r="I1475" s="241"/>
    </row>
    <row r="1476" spans="1:9" x14ac:dyDescent="0.25">
      <c r="A1476" s="249"/>
      <c r="B1476" s="237"/>
      <c r="C1476" s="238"/>
      <c r="D1476" s="239"/>
      <c r="E1476" s="237"/>
      <c r="F1476" s="242"/>
      <c r="G1476" s="239"/>
      <c r="H1476" s="240">
        <f t="shared" si="23"/>
        <v>6816</v>
      </c>
      <c r="I1476" s="241"/>
    </row>
    <row r="1477" spans="1:9" x14ac:dyDescent="0.25">
      <c r="A1477" s="249"/>
      <c r="B1477" s="237"/>
      <c r="C1477" s="238"/>
      <c r="D1477" s="239"/>
      <c r="E1477" s="237"/>
      <c r="F1477" s="242"/>
      <c r="G1477" s="239"/>
      <c r="H1477" s="240">
        <f t="shared" si="23"/>
        <v>6816</v>
      </c>
      <c r="I1477" s="241"/>
    </row>
    <row r="1478" spans="1:9" x14ac:dyDescent="0.25">
      <c r="A1478" s="249"/>
      <c r="B1478" s="237"/>
      <c r="C1478" s="238"/>
      <c r="D1478" s="239"/>
      <c r="E1478" s="237"/>
      <c r="F1478" s="242"/>
      <c r="G1478" s="239"/>
      <c r="H1478" s="240">
        <f t="shared" si="23"/>
        <v>6816</v>
      </c>
      <c r="I1478" s="241"/>
    </row>
    <row r="1479" spans="1:9" x14ac:dyDescent="0.25">
      <c r="A1479" s="249"/>
      <c r="B1479" s="237"/>
      <c r="C1479" s="238"/>
      <c r="D1479" s="239"/>
      <c r="E1479" s="237"/>
      <c r="F1479" s="242"/>
      <c r="G1479" s="239"/>
      <c r="H1479" s="240">
        <f t="shared" si="23"/>
        <v>6816</v>
      </c>
      <c r="I1479" s="241"/>
    </row>
    <row r="1480" spans="1:9" x14ac:dyDescent="0.25">
      <c r="A1480" s="249"/>
      <c r="B1480" s="237"/>
      <c r="C1480" s="238"/>
      <c r="D1480" s="239"/>
      <c r="E1480" s="237"/>
      <c r="F1480" s="242"/>
      <c r="G1480" s="239"/>
      <c r="H1480" s="240">
        <f t="shared" si="23"/>
        <v>6816</v>
      </c>
      <c r="I1480" s="241"/>
    </row>
    <row r="1481" spans="1:9" x14ac:dyDescent="0.25">
      <c r="A1481" s="249"/>
      <c r="B1481" s="237"/>
      <c r="C1481" s="238"/>
      <c r="D1481" s="239"/>
      <c r="E1481" s="237"/>
      <c r="F1481" s="242"/>
      <c r="G1481" s="239"/>
      <c r="H1481" s="240">
        <f t="shared" si="23"/>
        <v>6816</v>
      </c>
      <c r="I1481" s="241"/>
    </row>
    <row r="1482" spans="1:9" x14ac:dyDescent="0.25">
      <c r="A1482" s="249"/>
      <c r="B1482" s="237"/>
      <c r="C1482" s="238"/>
      <c r="D1482" s="239"/>
      <c r="E1482" s="237"/>
      <c r="F1482" s="242"/>
      <c r="G1482" s="239"/>
      <c r="H1482" s="240">
        <f t="shared" si="23"/>
        <v>6816</v>
      </c>
      <c r="I1482" s="241"/>
    </row>
    <row r="1483" spans="1:9" x14ac:dyDescent="0.25">
      <c r="A1483" s="249"/>
      <c r="B1483" s="237"/>
      <c r="C1483" s="238"/>
      <c r="D1483" s="239"/>
      <c r="E1483" s="237"/>
      <c r="F1483" s="242"/>
      <c r="G1483" s="239"/>
      <c r="H1483" s="240">
        <f t="shared" si="23"/>
        <v>6816</v>
      </c>
      <c r="I1483" s="241"/>
    </row>
    <row r="1484" spans="1:9" x14ac:dyDescent="0.25">
      <c r="A1484" s="249"/>
      <c r="B1484" s="237"/>
      <c r="C1484" s="238"/>
      <c r="D1484" s="239"/>
      <c r="E1484" s="237"/>
      <c r="F1484" s="242"/>
      <c r="G1484" s="239"/>
      <c r="H1484" s="240">
        <f t="shared" si="23"/>
        <v>6816</v>
      </c>
      <c r="I1484" s="241"/>
    </row>
    <row r="1485" spans="1:9" x14ac:dyDescent="0.25">
      <c r="A1485" s="249"/>
      <c r="B1485" s="237"/>
      <c r="C1485" s="238"/>
      <c r="D1485" s="239"/>
      <c r="E1485" s="237"/>
      <c r="F1485" s="242"/>
      <c r="G1485" s="239"/>
      <c r="H1485" s="240">
        <f t="shared" si="23"/>
        <v>6816</v>
      </c>
      <c r="I1485" s="241"/>
    </row>
    <row r="1486" spans="1:9" x14ac:dyDescent="0.25">
      <c r="A1486" s="249"/>
      <c r="B1486" s="237"/>
      <c r="C1486" s="238"/>
      <c r="D1486" s="239"/>
      <c r="E1486" s="237"/>
      <c r="F1486" s="242"/>
      <c r="G1486" s="239"/>
      <c r="H1486" s="240">
        <f t="shared" si="23"/>
        <v>6816</v>
      </c>
      <c r="I1486" s="241"/>
    </row>
    <row r="1487" spans="1:9" x14ac:dyDescent="0.25">
      <c r="A1487" s="249"/>
      <c r="B1487" s="237"/>
      <c r="C1487" s="238"/>
      <c r="D1487" s="239"/>
      <c r="E1487" s="237"/>
      <c r="F1487" s="242"/>
      <c r="G1487" s="239"/>
      <c r="H1487" s="240">
        <f t="shared" si="23"/>
        <v>6816</v>
      </c>
      <c r="I1487" s="241"/>
    </row>
    <row r="1488" spans="1:9" x14ac:dyDescent="0.25">
      <c r="A1488" s="249"/>
      <c r="B1488" s="237"/>
      <c r="C1488" s="238"/>
      <c r="D1488" s="239"/>
      <c r="E1488" s="237"/>
      <c r="F1488" s="242"/>
      <c r="G1488" s="239"/>
      <c r="H1488" s="240">
        <f>H1487+B1488-E1488</f>
        <v>6816</v>
      </c>
      <c r="I1488" s="241"/>
    </row>
    <row r="1489" spans="1:9" x14ac:dyDescent="0.25">
      <c r="A1489" s="249"/>
      <c r="B1489" s="237"/>
      <c r="C1489" s="238"/>
      <c r="D1489" s="239"/>
      <c r="E1489" s="237"/>
      <c r="F1489" s="242"/>
      <c r="G1489" s="239"/>
      <c r="H1489" s="240">
        <f>H1488+B1489-E1489</f>
        <v>6816</v>
      </c>
      <c r="I1489" s="241"/>
    </row>
    <row r="1490" spans="1:9" x14ac:dyDescent="0.25">
      <c r="A1490" s="249"/>
      <c r="B1490" s="237"/>
      <c r="C1490" s="238"/>
      <c r="D1490" s="239"/>
      <c r="E1490" s="237"/>
      <c r="F1490" s="242"/>
      <c r="G1490" s="239"/>
      <c r="H1490" s="240">
        <f>H1489+B1490-E1490</f>
        <v>6816</v>
      </c>
      <c r="I1490" s="241"/>
    </row>
    <row r="1491" spans="1:9" x14ac:dyDescent="0.25">
      <c r="A1491" s="249"/>
      <c r="B1491" s="237"/>
      <c r="C1491" s="238"/>
      <c r="D1491" s="239"/>
      <c r="E1491" s="237"/>
      <c r="F1491" s="242"/>
      <c r="G1491" s="239"/>
      <c r="H1491" s="240">
        <f>H1490+B1491-E1491</f>
        <v>6816</v>
      </c>
      <c r="I1491" s="241"/>
    </row>
    <row r="1492" spans="1:9" x14ac:dyDescent="0.25">
      <c r="A1492" s="249"/>
      <c r="B1492" s="237"/>
      <c r="C1492" s="238"/>
      <c r="D1492" s="239"/>
      <c r="E1492" s="237"/>
      <c r="F1492" s="242"/>
      <c r="G1492" s="239"/>
      <c r="H1492" s="240"/>
      <c r="I1492" s="241"/>
    </row>
    <row r="1493" spans="1:9" x14ac:dyDescent="0.25">
      <c r="A1493" s="249"/>
      <c r="B1493" s="237"/>
      <c r="C1493" s="238"/>
      <c r="D1493" s="239"/>
      <c r="E1493" s="237"/>
      <c r="F1493" s="242"/>
      <c r="G1493" s="239"/>
      <c r="H1493" s="240"/>
      <c r="I1493" s="241"/>
    </row>
    <row r="1494" spans="1:9" x14ac:dyDescent="0.25">
      <c r="A1494" s="249"/>
      <c r="B1494" s="237"/>
      <c r="C1494" s="238"/>
      <c r="D1494" s="239"/>
      <c r="E1494" s="237"/>
      <c r="F1494" s="242"/>
      <c r="G1494" s="239"/>
      <c r="H1494" s="240"/>
      <c r="I1494" s="241"/>
    </row>
    <row r="1495" spans="1:9" x14ac:dyDescent="0.25">
      <c r="A1495" s="249"/>
      <c r="B1495" s="237"/>
      <c r="C1495" s="238"/>
      <c r="D1495" s="239"/>
      <c r="E1495" s="237"/>
      <c r="F1495" s="242"/>
      <c r="G1495" s="239"/>
      <c r="H1495" s="240"/>
      <c r="I1495" s="241"/>
    </row>
    <row r="1496" spans="1:9" x14ac:dyDescent="0.25">
      <c r="A1496" s="249"/>
      <c r="B1496" s="237"/>
      <c r="C1496" s="238"/>
      <c r="D1496" s="239"/>
      <c r="E1496" s="237"/>
      <c r="F1496" s="242"/>
      <c r="G1496" s="239"/>
      <c r="H1496" s="240"/>
      <c r="I1496" s="241"/>
    </row>
    <row r="1497" spans="1:9" x14ac:dyDescent="0.25">
      <c r="A1497" s="249"/>
      <c r="B1497" s="237"/>
      <c r="C1497" s="238"/>
      <c r="D1497" s="239"/>
      <c r="E1497" s="237"/>
      <c r="F1497" s="242"/>
      <c r="G1497" s="239"/>
      <c r="H1497" s="240"/>
      <c r="I1497" s="241"/>
    </row>
    <row r="1498" spans="1:9" x14ac:dyDescent="0.25">
      <c r="A1498" s="249"/>
      <c r="B1498" s="237"/>
      <c r="C1498" s="238"/>
      <c r="D1498" s="239"/>
      <c r="E1498" s="237"/>
      <c r="F1498" s="242"/>
      <c r="G1498" s="239"/>
      <c r="H1498" s="240"/>
      <c r="I1498" s="241"/>
    </row>
    <row r="1499" spans="1:9" x14ac:dyDescent="0.25">
      <c r="A1499" s="249"/>
      <c r="B1499" s="237"/>
      <c r="C1499" s="238"/>
      <c r="D1499" s="239"/>
      <c r="E1499" s="237"/>
      <c r="F1499" s="242"/>
      <c r="G1499" s="239"/>
      <c r="H1499" s="240"/>
      <c r="I1499" s="241"/>
    </row>
    <row r="1500" spans="1:9" x14ac:dyDescent="0.25">
      <c r="A1500" s="249"/>
      <c r="B1500" s="237"/>
      <c r="C1500" s="238"/>
      <c r="D1500" s="239"/>
      <c r="E1500" s="237"/>
      <c r="F1500" s="242"/>
      <c r="G1500" s="239"/>
      <c r="H1500" s="240"/>
      <c r="I1500" s="241"/>
    </row>
    <row r="1501" spans="1:9" x14ac:dyDescent="0.25">
      <c r="A1501" s="249"/>
      <c r="B1501" s="237"/>
      <c r="C1501" s="238"/>
      <c r="D1501" s="239"/>
      <c r="E1501" s="237"/>
      <c r="F1501" s="242"/>
      <c r="G1501" s="239"/>
      <c r="H1501" s="240"/>
      <c r="I1501" s="241"/>
    </row>
    <row r="1502" spans="1:9" x14ac:dyDescent="0.25">
      <c r="A1502" s="249"/>
      <c r="B1502" s="237"/>
      <c r="C1502" s="238"/>
      <c r="D1502" s="239"/>
      <c r="E1502" s="237"/>
      <c r="F1502" s="242"/>
      <c r="G1502" s="239"/>
      <c r="H1502" s="240"/>
      <c r="I1502" s="241"/>
    </row>
    <row r="1503" spans="1:9" x14ac:dyDescent="0.25">
      <c r="A1503" s="249"/>
      <c r="B1503" s="237"/>
      <c r="C1503" s="238"/>
      <c r="D1503" s="239"/>
      <c r="E1503" s="237"/>
      <c r="F1503" s="242"/>
      <c r="G1503" s="239"/>
      <c r="H1503" s="240"/>
      <c r="I1503" s="241"/>
    </row>
    <row r="1504" spans="1:9" x14ac:dyDescent="0.25">
      <c r="A1504" s="249"/>
      <c r="B1504" s="237"/>
      <c r="C1504" s="238"/>
      <c r="D1504" s="239"/>
      <c r="E1504" s="237"/>
      <c r="F1504" s="242"/>
      <c r="G1504" s="239"/>
      <c r="H1504" s="240"/>
      <c r="I1504" s="241"/>
    </row>
    <row r="1505" spans="1:9" x14ac:dyDescent="0.25">
      <c r="A1505" s="249"/>
      <c r="B1505" s="237"/>
      <c r="C1505" s="238"/>
      <c r="D1505" s="239"/>
      <c r="E1505" s="237"/>
      <c r="F1505" s="242"/>
      <c r="G1505" s="239"/>
      <c r="H1505" s="240"/>
      <c r="I1505" s="241"/>
    </row>
    <row r="1506" spans="1:9" x14ac:dyDescent="0.25">
      <c r="A1506" s="249"/>
      <c r="B1506" s="237"/>
      <c r="C1506" s="238"/>
      <c r="D1506" s="239"/>
      <c r="E1506" s="237"/>
      <c r="F1506" s="242"/>
      <c r="G1506" s="239"/>
      <c r="H1506" s="240"/>
      <c r="I1506" s="241"/>
    </row>
    <row r="1507" spans="1:9" x14ac:dyDescent="0.25">
      <c r="A1507" s="249"/>
      <c r="B1507" s="237"/>
      <c r="C1507" s="238"/>
      <c r="D1507" s="239"/>
      <c r="E1507" s="237"/>
      <c r="F1507" s="242"/>
      <c r="G1507" s="239"/>
      <c r="H1507" s="240"/>
      <c r="I1507" s="241"/>
    </row>
    <row r="1508" spans="1:9" x14ac:dyDescent="0.25">
      <c r="A1508" s="249"/>
      <c r="B1508" s="237"/>
      <c r="C1508" s="238"/>
      <c r="D1508" s="239"/>
      <c r="E1508" s="237"/>
      <c r="F1508" s="242"/>
      <c r="G1508" s="239"/>
      <c r="H1508" s="240"/>
      <c r="I1508" s="241"/>
    </row>
    <row r="1509" spans="1:9" x14ac:dyDescent="0.25">
      <c r="A1509" s="249"/>
      <c r="B1509" s="237"/>
      <c r="C1509" s="238"/>
      <c r="D1509" s="239"/>
      <c r="E1509" s="237"/>
      <c r="F1509" s="242"/>
      <c r="G1509" s="239"/>
      <c r="H1509" s="240"/>
      <c r="I1509" s="241"/>
    </row>
    <row r="1510" spans="1:9" x14ac:dyDescent="0.25">
      <c r="A1510" s="249"/>
      <c r="B1510" s="237"/>
      <c r="C1510" s="238"/>
      <c r="D1510" s="239"/>
      <c r="E1510" s="237"/>
      <c r="F1510" s="242"/>
      <c r="G1510" s="239"/>
      <c r="H1510" s="240"/>
      <c r="I1510" s="241"/>
    </row>
    <row r="1511" spans="1:9" x14ac:dyDescent="0.25">
      <c r="A1511" s="249"/>
      <c r="B1511" s="237"/>
      <c r="C1511" s="238"/>
      <c r="D1511" s="239"/>
      <c r="E1511" s="237"/>
      <c r="F1511" s="242"/>
      <c r="G1511" s="239"/>
      <c r="H1511" s="240"/>
      <c r="I1511" s="241"/>
    </row>
    <row r="1512" spans="1:9" x14ac:dyDescent="0.25">
      <c r="A1512" s="249"/>
      <c r="B1512" s="237"/>
      <c r="C1512" s="238"/>
      <c r="D1512" s="239"/>
      <c r="E1512" s="237"/>
      <c r="F1512" s="242"/>
      <c r="G1512" s="239"/>
      <c r="H1512" s="240"/>
      <c r="I1512" s="241"/>
    </row>
    <row r="1513" spans="1:9" x14ac:dyDescent="0.25">
      <c r="A1513" s="249"/>
      <c r="B1513" s="237"/>
      <c r="C1513" s="238"/>
      <c r="D1513" s="239"/>
      <c r="E1513" s="237"/>
      <c r="F1513" s="242"/>
      <c r="G1513" s="239"/>
      <c r="H1513" s="240"/>
      <c r="I1513" s="241"/>
    </row>
    <row r="1514" spans="1:9" x14ac:dyDescent="0.25">
      <c r="A1514" s="249"/>
      <c r="B1514" s="237"/>
      <c r="C1514" s="238"/>
      <c r="D1514" s="239"/>
      <c r="E1514" s="237"/>
      <c r="F1514" s="242"/>
      <c r="G1514" s="239"/>
      <c r="H1514" s="240"/>
      <c r="I1514" s="241"/>
    </row>
    <row r="1515" spans="1:9" x14ac:dyDescent="0.25">
      <c r="A1515" s="249"/>
      <c r="B1515" s="237"/>
      <c r="C1515" s="238"/>
      <c r="D1515" s="239"/>
      <c r="E1515" s="237"/>
      <c r="F1515" s="242"/>
      <c r="G1515" s="239"/>
      <c r="H1515" s="240"/>
      <c r="I1515" s="241"/>
    </row>
    <row r="1516" spans="1:9" x14ac:dyDescent="0.25">
      <c r="A1516" s="249"/>
      <c r="B1516" s="237"/>
      <c r="C1516" s="238"/>
      <c r="D1516" s="239"/>
      <c r="E1516" s="237"/>
      <c r="F1516" s="242"/>
      <c r="G1516" s="239"/>
      <c r="H1516" s="240"/>
      <c r="I1516" s="241"/>
    </row>
    <row r="1517" spans="1:9" x14ac:dyDescent="0.25">
      <c r="A1517" s="249"/>
      <c r="B1517" s="237"/>
      <c r="C1517" s="238"/>
      <c r="D1517" s="239"/>
      <c r="E1517" s="237"/>
      <c r="F1517" s="242"/>
      <c r="G1517" s="239"/>
      <c r="H1517" s="240"/>
      <c r="I1517" s="241"/>
    </row>
    <row r="1518" spans="1:9" x14ac:dyDescent="0.25">
      <c r="A1518" s="249"/>
      <c r="B1518" s="237"/>
      <c r="C1518" s="238"/>
      <c r="D1518" s="239"/>
      <c r="E1518" s="237"/>
      <c r="F1518" s="242"/>
      <c r="G1518" s="239"/>
      <c r="H1518" s="240"/>
      <c r="I1518" s="241"/>
    </row>
    <row r="1519" spans="1:9" x14ac:dyDescent="0.25">
      <c r="A1519" s="249"/>
      <c r="B1519" s="237"/>
      <c r="C1519" s="238"/>
      <c r="D1519" s="239"/>
      <c r="E1519" s="237"/>
      <c r="F1519" s="242"/>
      <c r="G1519" s="239"/>
      <c r="H1519" s="240"/>
      <c r="I1519" s="241"/>
    </row>
    <row r="1520" spans="1:9" x14ac:dyDescent="0.25">
      <c r="A1520" s="249"/>
      <c r="B1520" s="237"/>
      <c r="C1520" s="238"/>
      <c r="D1520" s="239"/>
      <c r="E1520" s="237"/>
      <c r="F1520" s="242"/>
      <c r="G1520" s="239"/>
      <c r="H1520" s="240"/>
      <c r="I1520" s="241"/>
    </row>
    <row r="1521" spans="1:9" x14ac:dyDescent="0.25">
      <c r="A1521" s="249"/>
      <c r="B1521" s="237"/>
      <c r="C1521" s="238"/>
      <c r="D1521" s="239"/>
      <c r="E1521" s="237"/>
      <c r="F1521" s="242"/>
      <c r="G1521" s="239"/>
      <c r="H1521" s="240"/>
      <c r="I1521" s="241"/>
    </row>
    <row r="1522" spans="1:9" x14ac:dyDescent="0.25">
      <c r="A1522" s="249"/>
      <c r="B1522" s="237"/>
      <c r="C1522" s="238"/>
      <c r="D1522" s="239"/>
      <c r="E1522" s="237"/>
      <c r="F1522" s="242"/>
      <c r="G1522" s="239"/>
      <c r="H1522" s="240"/>
      <c r="I1522" s="241"/>
    </row>
    <row r="1523" spans="1:9" x14ac:dyDescent="0.25">
      <c r="A1523" s="249"/>
      <c r="B1523" s="237"/>
      <c r="C1523" s="238"/>
      <c r="D1523" s="239"/>
      <c r="E1523" s="237"/>
      <c r="F1523" s="242"/>
      <c r="G1523" s="239"/>
      <c r="H1523" s="240"/>
      <c r="I1523" s="241"/>
    </row>
    <row r="1524" spans="1:9" x14ac:dyDescent="0.25">
      <c r="A1524" s="249"/>
      <c r="B1524" s="237"/>
      <c r="C1524" s="238"/>
      <c r="D1524" s="239"/>
      <c r="E1524" s="237"/>
      <c r="F1524" s="242"/>
      <c r="G1524" s="239"/>
      <c r="H1524" s="240"/>
      <c r="I1524" s="241"/>
    </row>
    <row r="1525" spans="1:9" x14ac:dyDescent="0.25">
      <c r="A1525" s="249"/>
      <c r="B1525" s="237"/>
      <c r="C1525" s="238"/>
      <c r="D1525" s="239"/>
      <c r="E1525" s="237"/>
      <c r="F1525" s="242"/>
      <c r="G1525" s="239"/>
      <c r="H1525" s="240"/>
      <c r="I1525" s="241"/>
    </row>
    <row r="1526" spans="1:9" x14ac:dyDescent="0.25">
      <c r="A1526" s="249"/>
      <c r="B1526" s="237"/>
      <c r="C1526" s="238"/>
      <c r="D1526" s="239"/>
      <c r="E1526" s="237"/>
      <c r="F1526" s="242"/>
      <c r="G1526" s="239"/>
      <c r="H1526" s="240"/>
      <c r="I1526" s="241"/>
    </row>
    <row r="1527" spans="1:9" x14ac:dyDescent="0.25">
      <c r="A1527" s="249"/>
      <c r="B1527" s="237"/>
      <c r="C1527" s="238"/>
      <c r="D1527" s="239"/>
      <c r="E1527" s="237"/>
      <c r="F1527" s="242"/>
      <c r="G1527" s="239"/>
      <c r="H1527" s="240"/>
      <c r="I1527" s="241"/>
    </row>
    <row r="1528" spans="1:9" x14ac:dyDescent="0.25">
      <c r="A1528" s="249"/>
      <c r="B1528" s="237"/>
      <c r="C1528" s="238"/>
      <c r="D1528" s="239"/>
      <c r="E1528" s="237"/>
      <c r="F1528" s="242"/>
      <c r="G1528" s="239"/>
      <c r="H1528" s="240"/>
      <c r="I1528" s="241"/>
    </row>
    <row r="1529" spans="1:9" x14ac:dyDescent="0.25">
      <c r="A1529" s="249"/>
      <c r="B1529" s="237"/>
      <c r="C1529" s="238"/>
      <c r="D1529" s="239"/>
      <c r="E1529" s="237"/>
      <c r="F1529" s="242"/>
      <c r="G1529" s="239"/>
      <c r="H1529" s="240"/>
      <c r="I1529" s="241"/>
    </row>
    <row r="1530" spans="1:9" x14ac:dyDescent="0.25">
      <c r="A1530" s="249"/>
      <c r="B1530" s="237"/>
      <c r="C1530" s="238"/>
      <c r="D1530" s="239"/>
      <c r="E1530" s="237"/>
      <c r="F1530" s="242"/>
      <c r="G1530" s="239"/>
      <c r="H1530" s="240"/>
      <c r="I1530" s="241"/>
    </row>
    <row r="1531" spans="1:9" x14ac:dyDescent="0.25">
      <c r="A1531" s="249"/>
      <c r="B1531" s="237"/>
      <c r="C1531" s="238"/>
      <c r="D1531" s="239"/>
      <c r="E1531" s="237"/>
      <c r="F1531" s="242"/>
      <c r="G1531" s="239"/>
      <c r="H1531" s="240"/>
      <c r="I1531" s="241"/>
    </row>
    <row r="1532" spans="1:9" x14ac:dyDescent="0.25">
      <c r="A1532" s="249"/>
      <c r="B1532" s="237"/>
      <c r="C1532" s="238"/>
      <c r="D1532" s="239"/>
      <c r="E1532" s="237"/>
      <c r="F1532" s="242"/>
      <c r="G1532" s="239"/>
      <c r="H1532" s="240"/>
      <c r="I1532" s="241"/>
    </row>
    <row r="1533" spans="1:9" x14ac:dyDescent="0.25">
      <c r="A1533" s="249"/>
      <c r="B1533" s="237"/>
      <c r="C1533" s="238"/>
      <c r="D1533" s="239"/>
      <c r="E1533" s="237"/>
      <c r="F1533" s="242"/>
      <c r="G1533" s="239"/>
      <c r="H1533" s="240"/>
      <c r="I1533" s="241"/>
    </row>
    <row r="1534" spans="1:9" x14ac:dyDescent="0.25">
      <c r="A1534" s="249"/>
      <c r="B1534" s="237"/>
      <c r="C1534" s="238"/>
      <c r="D1534" s="239"/>
      <c r="E1534" s="237"/>
      <c r="F1534" s="242"/>
      <c r="G1534" s="239"/>
      <c r="H1534" s="240"/>
      <c r="I1534" s="241"/>
    </row>
    <row r="1535" spans="1:9" x14ac:dyDescent="0.25">
      <c r="A1535" s="249"/>
      <c r="B1535" s="237"/>
      <c r="C1535" s="238"/>
      <c r="D1535" s="239"/>
      <c r="E1535" s="237"/>
      <c r="F1535" s="242"/>
      <c r="G1535" s="239"/>
      <c r="H1535" s="240"/>
      <c r="I1535" s="241"/>
    </row>
    <row r="1536" spans="1:9" x14ac:dyDescent="0.25">
      <c r="A1536" s="249"/>
      <c r="B1536" s="237"/>
      <c r="C1536" s="238"/>
      <c r="D1536" s="239"/>
      <c r="E1536" s="237"/>
      <c r="F1536" s="242"/>
      <c r="G1536" s="239"/>
      <c r="H1536" s="240"/>
      <c r="I1536" s="241"/>
    </row>
    <row r="1537" spans="1:9" x14ac:dyDescent="0.25">
      <c r="A1537" s="249"/>
      <c r="B1537" s="237"/>
      <c r="C1537" s="238"/>
      <c r="D1537" s="239"/>
      <c r="E1537" s="237"/>
      <c r="F1537" s="242"/>
      <c r="G1537" s="239"/>
      <c r="H1537" s="240"/>
      <c r="I1537" s="241"/>
    </row>
    <row r="1538" spans="1:9" x14ac:dyDescent="0.25">
      <c r="A1538" s="249"/>
      <c r="B1538" s="237"/>
      <c r="C1538" s="238"/>
      <c r="D1538" s="239"/>
      <c r="E1538" s="237"/>
      <c r="F1538" s="242"/>
      <c r="G1538" s="239"/>
      <c r="H1538" s="240"/>
      <c r="I1538" s="241"/>
    </row>
    <row r="1539" spans="1:9" x14ac:dyDescent="0.25">
      <c r="A1539" s="249"/>
      <c r="B1539" s="237"/>
      <c r="C1539" s="238"/>
      <c r="D1539" s="239"/>
      <c r="E1539" s="237"/>
      <c r="F1539" s="242"/>
      <c r="G1539" s="239"/>
      <c r="H1539" s="240"/>
      <c r="I1539" s="241"/>
    </row>
    <row r="1540" spans="1:9" x14ac:dyDescent="0.25">
      <c r="A1540" s="249"/>
      <c r="B1540" s="237"/>
      <c r="C1540" s="238"/>
      <c r="D1540" s="239"/>
      <c r="E1540" s="237"/>
      <c r="F1540" s="242"/>
      <c r="G1540" s="239"/>
      <c r="H1540" s="240"/>
      <c r="I1540" s="241"/>
    </row>
    <row r="1541" spans="1:9" x14ac:dyDescent="0.25">
      <c r="A1541" s="249"/>
      <c r="B1541" s="237"/>
      <c r="C1541" s="238"/>
      <c r="D1541" s="239"/>
      <c r="E1541" s="237"/>
      <c r="F1541" s="242"/>
      <c r="G1541" s="239"/>
      <c r="H1541" s="240"/>
      <c r="I1541" s="241"/>
    </row>
    <row r="1542" spans="1:9" x14ac:dyDescent="0.25">
      <c r="A1542" s="249"/>
      <c r="B1542" s="237"/>
      <c r="C1542" s="238"/>
      <c r="D1542" s="239"/>
      <c r="E1542" s="237"/>
      <c r="F1542" s="242"/>
      <c r="G1542" s="239"/>
      <c r="H1542" s="240"/>
      <c r="I1542" s="241"/>
    </row>
    <row r="1543" spans="1:9" x14ac:dyDescent="0.25">
      <c r="A1543" s="249"/>
      <c r="B1543" s="237"/>
      <c r="C1543" s="238"/>
      <c r="D1543" s="239"/>
      <c r="E1543" s="237"/>
      <c r="F1543" s="242"/>
      <c r="G1543" s="239"/>
      <c r="H1543" s="240"/>
      <c r="I1543" s="241"/>
    </row>
    <row r="1544" spans="1:9" x14ac:dyDescent="0.25">
      <c r="A1544" s="249"/>
      <c r="B1544" s="237"/>
      <c r="C1544" s="238"/>
      <c r="D1544" s="239"/>
      <c r="E1544" s="237"/>
      <c r="F1544" s="242"/>
      <c r="G1544" s="239"/>
      <c r="H1544" s="240"/>
      <c r="I1544" s="241"/>
    </row>
    <row r="1545" spans="1:9" x14ac:dyDescent="0.25">
      <c r="A1545" s="249"/>
      <c r="B1545" s="237"/>
      <c r="C1545" s="238"/>
      <c r="D1545" s="239"/>
      <c r="E1545" s="237"/>
      <c r="F1545" s="242"/>
      <c r="G1545" s="239"/>
      <c r="H1545" s="240"/>
      <c r="I1545" s="241"/>
    </row>
    <row r="1546" spans="1:9" x14ac:dyDescent="0.25">
      <c r="A1546" s="249"/>
      <c r="B1546" s="237"/>
      <c r="C1546" s="238"/>
      <c r="D1546" s="239"/>
      <c r="E1546" s="237"/>
      <c r="F1546" s="242"/>
      <c r="G1546" s="239"/>
      <c r="H1546" s="240"/>
      <c r="I1546" s="241"/>
    </row>
    <row r="1547" spans="1:9" x14ac:dyDescent="0.25">
      <c r="A1547" s="249"/>
      <c r="B1547" s="237"/>
      <c r="C1547" s="238"/>
      <c r="D1547" s="239"/>
      <c r="E1547" s="237"/>
      <c r="F1547" s="242"/>
      <c r="G1547" s="239"/>
      <c r="H1547" s="240"/>
      <c r="I1547" s="241"/>
    </row>
    <row r="1548" spans="1:9" x14ac:dyDescent="0.25">
      <c r="A1548" s="249"/>
      <c r="B1548" s="237"/>
      <c r="C1548" s="238"/>
      <c r="D1548" s="239"/>
      <c r="E1548" s="237"/>
      <c r="F1548" s="242"/>
      <c r="G1548" s="239"/>
      <c r="H1548" s="240"/>
      <c r="I1548" s="241"/>
    </row>
    <row r="1549" spans="1:9" x14ac:dyDescent="0.25">
      <c r="A1549" s="249"/>
      <c r="B1549" s="237"/>
      <c r="C1549" s="238"/>
      <c r="D1549" s="239"/>
      <c r="E1549" s="237"/>
      <c r="F1549" s="242"/>
      <c r="G1549" s="239"/>
      <c r="H1549" s="240"/>
      <c r="I1549" s="241"/>
    </row>
    <row r="1550" spans="1:9" x14ac:dyDescent="0.25">
      <c r="A1550" s="249"/>
      <c r="B1550" s="237"/>
      <c r="C1550" s="238"/>
      <c r="D1550" s="239"/>
      <c r="E1550" s="237"/>
      <c r="F1550" s="242"/>
      <c r="G1550" s="239"/>
      <c r="H1550" s="240"/>
      <c r="I1550" s="241"/>
    </row>
    <row r="1551" spans="1:9" x14ac:dyDescent="0.25">
      <c r="A1551" s="249"/>
      <c r="B1551" s="237"/>
      <c r="C1551" s="238"/>
      <c r="D1551" s="239"/>
      <c r="E1551" s="237"/>
      <c r="F1551" s="242"/>
      <c r="G1551" s="239"/>
      <c r="H1551" s="240"/>
      <c r="I1551" s="241"/>
    </row>
    <row r="1552" spans="1:9" x14ac:dyDescent="0.25">
      <c r="A1552" s="249"/>
      <c r="B1552" s="237"/>
      <c r="C1552" s="238"/>
      <c r="D1552" s="239"/>
      <c r="E1552" s="237"/>
      <c r="F1552" s="242"/>
      <c r="G1552" s="239"/>
      <c r="H1552" s="240"/>
      <c r="I1552" s="241"/>
    </row>
    <row r="1553" spans="1:9" x14ac:dyDescent="0.25">
      <c r="A1553" s="249"/>
      <c r="B1553" s="237"/>
      <c r="C1553" s="238"/>
      <c r="D1553" s="239"/>
      <c r="E1553" s="237"/>
      <c r="F1553" s="242"/>
      <c r="G1553" s="239"/>
      <c r="H1553" s="240"/>
      <c r="I1553" s="241"/>
    </row>
    <row r="1554" spans="1:9" x14ac:dyDescent="0.25">
      <c r="A1554" s="249"/>
      <c r="B1554" s="237"/>
      <c r="C1554" s="238"/>
      <c r="D1554" s="239"/>
      <c r="E1554" s="237"/>
      <c r="F1554" s="242"/>
      <c r="G1554" s="239"/>
      <c r="H1554" s="240"/>
      <c r="I1554" s="241"/>
    </row>
    <row r="1555" spans="1:9" x14ac:dyDescent="0.25">
      <c r="A1555" s="249"/>
      <c r="B1555" s="237"/>
      <c r="C1555" s="238"/>
      <c r="D1555" s="239"/>
      <c r="E1555" s="237"/>
      <c r="F1555" s="242"/>
      <c r="G1555" s="239"/>
      <c r="H1555" s="240">
        <f>H1486+B1555-E1555</f>
        <v>6816</v>
      </c>
      <c r="I1555" s="241"/>
    </row>
    <row r="1556" spans="1:9" x14ac:dyDescent="0.25">
      <c r="A1556" s="249"/>
      <c r="B1556" s="237"/>
      <c r="C1556" s="238"/>
      <c r="D1556" s="239"/>
      <c r="E1556" s="237"/>
      <c r="F1556" s="242"/>
      <c r="G1556" s="239"/>
      <c r="H1556" s="240">
        <f t="shared" ref="H1556:H1619" si="24">H1555+B1556-E1556</f>
        <v>6816</v>
      </c>
      <c r="I1556" s="241"/>
    </row>
    <row r="1557" spans="1:9" x14ac:dyDescent="0.25">
      <c r="A1557" s="249"/>
      <c r="B1557" s="237"/>
      <c r="C1557" s="238"/>
      <c r="D1557" s="239"/>
      <c r="E1557" s="237"/>
      <c r="F1557" s="242"/>
      <c r="G1557" s="239"/>
      <c r="H1557" s="240">
        <f t="shared" si="24"/>
        <v>6816</v>
      </c>
      <c r="I1557" s="241"/>
    </row>
    <row r="1558" spans="1:9" x14ac:dyDescent="0.25">
      <c r="A1558" s="249"/>
      <c r="B1558" s="237"/>
      <c r="C1558" s="238"/>
      <c r="D1558" s="239"/>
      <c r="E1558" s="237"/>
      <c r="F1558" s="242"/>
      <c r="G1558" s="239"/>
      <c r="H1558" s="240">
        <f t="shared" si="24"/>
        <v>6816</v>
      </c>
      <c r="I1558" s="241"/>
    </row>
    <row r="1559" spans="1:9" x14ac:dyDescent="0.25">
      <c r="A1559" s="249"/>
      <c r="B1559" s="237"/>
      <c r="C1559" s="238"/>
      <c r="D1559" s="239"/>
      <c r="E1559" s="237"/>
      <c r="F1559" s="242"/>
      <c r="G1559" s="239"/>
      <c r="H1559" s="240">
        <f t="shared" si="24"/>
        <v>6816</v>
      </c>
      <c r="I1559" s="241"/>
    </row>
    <row r="1560" spans="1:9" x14ac:dyDescent="0.25">
      <c r="A1560" s="249"/>
      <c r="B1560" s="237"/>
      <c r="C1560" s="238"/>
      <c r="D1560" s="239"/>
      <c r="E1560" s="237"/>
      <c r="F1560" s="242"/>
      <c r="G1560" s="239"/>
      <c r="H1560" s="240">
        <f t="shared" si="24"/>
        <v>6816</v>
      </c>
      <c r="I1560" s="241"/>
    </row>
    <row r="1561" spans="1:9" x14ac:dyDescent="0.25">
      <c r="A1561" s="249"/>
      <c r="B1561" s="237"/>
      <c r="C1561" s="238"/>
      <c r="D1561" s="239"/>
      <c r="E1561" s="237"/>
      <c r="F1561" s="242"/>
      <c r="G1561" s="239"/>
      <c r="H1561" s="240">
        <f t="shared" si="24"/>
        <v>6816</v>
      </c>
      <c r="I1561" s="241"/>
    </row>
    <row r="1562" spans="1:9" x14ac:dyDescent="0.25">
      <c r="A1562" s="249"/>
      <c r="B1562" s="237"/>
      <c r="C1562" s="238"/>
      <c r="D1562" s="239"/>
      <c r="E1562" s="237"/>
      <c r="F1562" s="242"/>
      <c r="G1562" s="239"/>
      <c r="H1562" s="240">
        <f t="shared" si="24"/>
        <v>6816</v>
      </c>
      <c r="I1562" s="241"/>
    </row>
    <row r="1563" spans="1:9" x14ac:dyDescent="0.25">
      <c r="A1563" s="249"/>
      <c r="B1563" s="237"/>
      <c r="C1563" s="238"/>
      <c r="D1563" s="239"/>
      <c r="E1563" s="237"/>
      <c r="F1563" s="242"/>
      <c r="G1563" s="239"/>
      <c r="H1563" s="240">
        <f t="shared" si="24"/>
        <v>6816</v>
      </c>
      <c r="I1563" s="241"/>
    </row>
    <row r="1564" spans="1:9" x14ac:dyDescent="0.25">
      <c r="A1564" s="249"/>
      <c r="B1564" s="237"/>
      <c r="C1564" s="238"/>
      <c r="D1564" s="239"/>
      <c r="E1564" s="237"/>
      <c r="F1564" s="242"/>
      <c r="G1564" s="239"/>
      <c r="H1564" s="240">
        <f t="shared" si="24"/>
        <v>6816</v>
      </c>
      <c r="I1564" s="241"/>
    </row>
    <row r="1565" spans="1:9" x14ac:dyDescent="0.25">
      <c r="A1565" s="249"/>
      <c r="B1565" s="237"/>
      <c r="C1565" s="238"/>
      <c r="D1565" s="239"/>
      <c r="E1565" s="237"/>
      <c r="F1565" s="242"/>
      <c r="G1565" s="239"/>
      <c r="H1565" s="240">
        <f t="shared" si="24"/>
        <v>6816</v>
      </c>
      <c r="I1565" s="241"/>
    </row>
    <row r="1566" spans="1:9" x14ac:dyDescent="0.25">
      <c r="A1566" s="249"/>
      <c r="B1566" s="237"/>
      <c r="C1566" s="238"/>
      <c r="D1566" s="239"/>
      <c r="E1566" s="237"/>
      <c r="F1566" s="242"/>
      <c r="G1566" s="239"/>
      <c r="H1566" s="240">
        <f t="shared" si="24"/>
        <v>6816</v>
      </c>
      <c r="I1566" s="241"/>
    </row>
    <row r="1567" spans="1:9" x14ac:dyDescent="0.25">
      <c r="A1567" s="249"/>
      <c r="B1567" s="237"/>
      <c r="C1567" s="238"/>
      <c r="D1567" s="239"/>
      <c r="E1567" s="237"/>
      <c r="F1567" s="242"/>
      <c r="G1567" s="239"/>
      <c r="H1567" s="240">
        <f t="shared" si="24"/>
        <v>6816</v>
      </c>
      <c r="I1567" s="241"/>
    </row>
    <row r="1568" spans="1:9" x14ac:dyDescent="0.25">
      <c r="A1568" s="249"/>
      <c r="B1568" s="237"/>
      <c r="C1568" s="238"/>
      <c r="D1568" s="239"/>
      <c r="E1568" s="237"/>
      <c r="F1568" s="242"/>
      <c r="G1568" s="239"/>
      <c r="H1568" s="240">
        <f t="shared" si="24"/>
        <v>6816</v>
      </c>
      <c r="I1568" s="241"/>
    </row>
    <row r="1569" spans="1:9" x14ac:dyDescent="0.25">
      <c r="A1569" s="249"/>
      <c r="B1569" s="237"/>
      <c r="C1569" s="238"/>
      <c r="D1569" s="239"/>
      <c r="E1569" s="237"/>
      <c r="F1569" s="242"/>
      <c r="G1569" s="239"/>
      <c r="H1569" s="240">
        <f t="shared" si="24"/>
        <v>6816</v>
      </c>
      <c r="I1569" s="241"/>
    </row>
    <row r="1570" spans="1:9" x14ac:dyDescent="0.25">
      <c r="A1570" s="249"/>
      <c r="B1570" s="237"/>
      <c r="C1570" s="238"/>
      <c r="D1570" s="239"/>
      <c r="E1570" s="237"/>
      <c r="F1570" s="242"/>
      <c r="G1570" s="239"/>
      <c r="H1570" s="240">
        <f t="shared" si="24"/>
        <v>6816</v>
      </c>
      <c r="I1570" s="241"/>
    </row>
    <row r="1571" spans="1:9" x14ac:dyDescent="0.25">
      <c r="A1571" s="249"/>
      <c r="B1571" s="237"/>
      <c r="C1571" s="238"/>
      <c r="D1571" s="239"/>
      <c r="E1571" s="237"/>
      <c r="F1571" s="242"/>
      <c r="G1571" s="239"/>
      <c r="H1571" s="240">
        <f t="shared" si="24"/>
        <v>6816</v>
      </c>
      <c r="I1571" s="241"/>
    </row>
    <row r="1572" spans="1:9" x14ac:dyDescent="0.25">
      <c r="A1572" s="249"/>
      <c r="B1572" s="237"/>
      <c r="C1572" s="238"/>
      <c r="D1572" s="239"/>
      <c r="E1572" s="237"/>
      <c r="F1572" s="242"/>
      <c r="G1572" s="239"/>
      <c r="H1572" s="240">
        <f t="shared" si="24"/>
        <v>6816</v>
      </c>
      <c r="I1572" s="241"/>
    </row>
    <row r="1573" spans="1:9" x14ac:dyDescent="0.25">
      <c r="A1573" s="249"/>
      <c r="B1573" s="237"/>
      <c r="C1573" s="238"/>
      <c r="D1573" s="239"/>
      <c r="E1573" s="237"/>
      <c r="F1573" s="242"/>
      <c r="G1573" s="239"/>
      <c r="H1573" s="240">
        <f t="shared" si="24"/>
        <v>6816</v>
      </c>
      <c r="I1573" s="241"/>
    </row>
    <row r="1574" spans="1:9" x14ac:dyDescent="0.25">
      <c r="A1574" s="249"/>
      <c r="B1574" s="237"/>
      <c r="C1574" s="238"/>
      <c r="D1574" s="239"/>
      <c r="E1574" s="237"/>
      <c r="F1574" s="242"/>
      <c r="G1574" s="239"/>
      <c r="H1574" s="240">
        <f t="shared" si="24"/>
        <v>6816</v>
      </c>
      <c r="I1574" s="241"/>
    </row>
    <row r="1575" spans="1:9" x14ac:dyDescent="0.25">
      <c r="A1575" s="249"/>
      <c r="B1575" s="237"/>
      <c r="C1575" s="238"/>
      <c r="D1575" s="239"/>
      <c r="E1575" s="237"/>
      <c r="F1575" s="242"/>
      <c r="G1575" s="239"/>
      <c r="H1575" s="240">
        <f t="shared" si="24"/>
        <v>6816</v>
      </c>
      <c r="I1575" s="241"/>
    </row>
    <row r="1576" spans="1:9" x14ac:dyDescent="0.25">
      <c r="A1576" s="249"/>
      <c r="B1576" s="237"/>
      <c r="C1576" s="238"/>
      <c r="D1576" s="239"/>
      <c r="E1576" s="237"/>
      <c r="F1576" s="242"/>
      <c r="G1576" s="239"/>
      <c r="H1576" s="240">
        <f t="shared" si="24"/>
        <v>6816</v>
      </c>
      <c r="I1576" s="241"/>
    </row>
    <row r="1577" spans="1:9" x14ac:dyDescent="0.25">
      <c r="A1577" s="249"/>
      <c r="B1577" s="237"/>
      <c r="C1577" s="238"/>
      <c r="D1577" s="239"/>
      <c r="E1577" s="237"/>
      <c r="F1577" s="242"/>
      <c r="G1577" s="239"/>
      <c r="H1577" s="240">
        <f t="shared" si="24"/>
        <v>6816</v>
      </c>
      <c r="I1577" s="241"/>
    </row>
    <row r="1578" spans="1:9" x14ac:dyDescent="0.25">
      <c r="A1578" s="249"/>
      <c r="B1578" s="237"/>
      <c r="C1578" s="238"/>
      <c r="D1578" s="239"/>
      <c r="E1578" s="237"/>
      <c r="F1578" s="242"/>
      <c r="G1578" s="239"/>
      <c r="H1578" s="240">
        <f t="shared" si="24"/>
        <v>6816</v>
      </c>
      <c r="I1578" s="241"/>
    </row>
    <row r="1579" spans="1:9" x14ac:dyDescent="0.25">
      <c r="A1579" s="249"/>
      <c r="B1579" s="237"/>
      <c r="C1579" s="238"/>
      <c r="D1579" s="239"/>
      <c r="E1579" s="237"/>
      <c r="F1579" s="242"/>
      <c r="G1579" s="239"/>
      <c r="H1579" s="240">
        <f t="shared" si="24"/>
        <v>6816</v>
      </c>
      <c r="I1579" s="241"/>
    </row>
    <row r="1580" spans="1:9" x14ac:dyDescent="0.25">
      <c r="A1580" s="249"/>
      <c r="B1580" s="237"/>
      <c r="C1580" s="238"/>
      <c r="D1580" s="239"/>
      <c r="E1580" s="237"/>
      <c r="F1580" s="242"/>
      <c r="G1580" s="239"/>
      <c r="H1580" s="240">
        <f t="shared" si="24"/>
        <v>6816</v>
      </c>
      <c r="I1580" s="241"/>
    </row>
    <row r="1581" spans="1:9" x14ac:dyDescent="0.25">
      <c r="A1581" s="249"/>
      <c r="B1581" s="237"/>
      <c r="C1581" s="238"/>
      <c r="D1581" s="239"/>
      <c r="E1581" s="237"/>
      <c r="F1581" s="242"/>
      <c r="G1581" s="239"/>
      <c r="H1581" s="240">
        <f t="shared" si="24"/>
        <v>6816</v>
      </c>
      <c r="I1581" s="241"/>
    </row>
    <row r="1582" spans="1:9" x14ac:dyDescent="0.25">
      <c r="A1582" s="249"/>
      <c r="B1582" s="237"/>
      <c r="C1582" s="238"/>
      <c r="D1582" s="239"/>
      <c r="E1582" s="237"/>
      <c r="F1582" s="242"/>
      <c r="G1582" s="239"/>
      <c r="H1582" s="240">
        <f t="shared" si="24"/>
        <v>6816</v>
      </c>
      <c r="I1582" s="241"/>
    </row>
    <row r="1583" spans="1:9" x14ac:dyDescent="0.25">
      <c r="A1583" s="249"/>
      <c r="B1583" s="237"/>
      <c r="C1583" s="238"/>
      <c r="D1583" s="239"/>
      <c r="E1583" s="237"/>
      <c r="F1583" s="242"/>
      <c r="G1583" s="239"/>
      <c r="H1583" s="240">
        <f t="shared" si="24"/>
        <v>6816</v>
      </c>
      <c r="I1583" s="241"/>
    </row>
    <row r="1584" spans="1:9" x14ac:dyDescent="0.25">
      <c r="A1584" s="249"/>
      <c r="B1584" s="237"/>
      <c r="C1584" s="238"/>
      <c r="D1584" s="239"/>
      <c r="E1584" s="237"/>
      <c r="F1584" s="242"/>
      <c r="G1584" s="239"/>
      <c r="H1584" s="240">
        <f t="shared" si="24"/>
        <v>6816</v>
      </c>
      <c r="I1584" s="241"/>
    </row>
    <row r="1585" spans="1:9" x14ac:dyDescent="0.25">
      <c r="A1585" s="249"/>
      <c r="B1585" s="237"/>
      <c r="C1585" s="238"/>
      <c r="D1585" s="239"/>
      <c r="E1585" s="237"/>
      <c r="F1585" s="242"/>
      <c r="G1585" s="239"/>
      <c r="H1585" s="240">
        <f t="shared" si="24"/>
        <v>6816</v>
      </c>
      <c r="I1585" s="241"/>
    </row>
    <row r="1586" spans="1:9" x14ac:dyDescent="0.25">
      <c r="A1586" s="249"/>
      <c r="B1586" s="237"/>
      <c r="C1586" s="238"/>
      <c r="D1586" s="239"/>
      <c r="E1586" s="237"/>
      <c r="F1586" s="242"/>
      <c r="G1586" s="239"/>
      <c r="H1586" s="240">
        <f t="shared" si="24"/>
        <v>6816</v>
      </c>
      <c r="I1586" s="241"/>
    </row>
    <row r="1587" spans="1:9" x14ac:dyDescent="0.25">
      <c r="A1587" s="249"/>
      <c r="B1587" s="237"/>
      <c r="C1587" s="238"/>
      <c r="D1587" s="239"/>
      <c r="E1587" s="237"/>
      <c r="F1587" s="242"/>
      <c r="G1587" s="239"/>
      <c r="H1587" s="240">
        <f t="shared" si="24"/>
        <v>6816</v>
      </c>
      <c r="I1587" s="241"/>
    </row>
    <row r="1588" spans="1:9" x14ac:dyDescent="0.25">
      <c r="A1588" s="249"/>
      <c r="B1588" s="237"/>
      <c r="C1588" s="238"/>
      <c r="D1588" s="239"/>
      <c r="E1588" s="237"/>
      <c r="F1588" s="242"/>
      <c r="G1588" s="239"/>
      <c r="H1588" s="240">
        <f t="shared" si="24"/>
        <v>6816</v>
      </c>
      <c r="I1588" s="241"/>
    </row>
    <row r="1589" spans="1:9" x14ac:dyDescent="0.25">
      <c r="A1589" s="249"/>
      <c r="B1589" s="237"/>
      <c r="C1589" s="238"/>
      <c r="D1589" s="239"/>
      <c r="E1589" s="237"/>
      <c r="F1589" s="242"/>
      <c r="G1589" s="239"/>
      <c r="H1589" s="240">
        <f t="shared" si="24"/>
        <v>6816</v>
      </c>
      <c r="I1589" s="241"/>
    </row>
    <row r="1590" spans="1:9" x14ac:dyDescent="0.25">
      <c r="A1590" s="249"/>
      <c r="B1590" s="237"/>
      <c r="C1590" s="238"/>
      <c r="D1590" s="239"/>
      <c r="E1590" s="237"/>
      <c r="F1590" s="242"/>
      <c r="G1590" s="239"/>
      <c r="H1590" s="240">
        <f t="shared" si="24"/>
        <v>6816</v>
      </c>
      <c r="I1590" s="241"/>
    </row>
    <row r="1591" spans="1:9" x14ac:dyDescent="0.25">
      <c r="A1591" s="249"/>
      <c r="B1591" s="237"/>
      <c r="C1591" s="238"/>
      <c r="D1591" s="239"/>
      <c r="E1591" s="237"/>
      <c r="F1591" s="242"/>
      <c r="G1591" s="239"/>
      <c r="H1591" s="240">
        <f t="shared" si="24"/>
        <v>6816</v>
      </c>
      <c r="I1591" s="241"/>
    </row>
    <row r="1592" spans="1:9" x14ac:dyDescent="0.25">
      <c r="A1592" s="249"/>
      <c r="B1592" s="237"/>
      <c r="C1592" s="238"/>
      <c r="D1592" s="239"/>
      <c r="E1592" s="237"/>
      <c r="F1592" s="242"/>
      <c r="G1592" s="239"/>
      <c r="H1592" s="240">
        <f t="shared" si="24"/>
        <v>6816</v>
      </c>
      <c r="I1592" s="241"/>
    </row>
    <row r="1593" spans="1:9" x14ac:dyDescent="0.25">
      <c r="A1593" s="249"/>
      <c r="B1593" s="237"/>
      <c r="C1593" s="238"/>
      <c r="D1593" s="239"/>
      <c r="E1593" s="237"/>
      <c r="F1593" s="242"/>
      <c r="G1593" s="239"/>
      <c r="H1593" s="240">
        <f t="shared" si="24"/>
        <v>6816</v>
      </c>
      <c r="I1593" s="241"/>
    </row>
    <row r="1594" spans="1:9" x14ac:dyDescent="0.25">
      <c r="A1594" s="249"/>
      <c r="B1594" s="237"/>
      <c r="C1594" s="238"/>
      <c r="D1594" s="239"/>
      <c r="E1594" s="237"/>
      <c r="F1594" s="242"/>
      <c r="G1594" s="239"/>
      <c r="H1594" s="240">
        <f t="shared" si="24"/>
        <v>6816</v>
      </c>
      <c r="I1594" s="241"/>
    </row>
    <row r="1595" spans="1:9" x14ac:dyDescent="0.25">
      <c r="A1595" s="249"/>
      <c r="B1595" s="237"/>
      <c r="C1595" s="238"/>
      <c r="D1595" s="239"/>
      <c r="E1595" s="237"/>
      <c r="F1595" s="242"/>
      <c r="G1595" s="239"/>
      <c r="H1595" s="240">
        <f t="shared" si="24"/>
        <v>6816</v>
      </c>
      <c r="I1595" s="241"/>
    </row>
    <row r="1596" spans="1:9" x14ac:dyDescent="0.25">
      <c r="A1596" s="249"/>
      <c r="B1596" s="237"/>
      <c r="C1596" s="238"/>
      <c r="D1596" s="239"/>
      <c r="E1596" s="237"/>
      <c r="F1596" s="242"/>
      <c r="G1596" s="239"/>
      <c r="H1596" s="240">
        <f t="shared" si="24"/>
        <v>6816</v>
      </c>
      <c r="I1596" s="241"/>
    </row>
    <row r="1597" spans="1:9" x14ac:dyDescent="0.25">
      <c r="A1597" s="249"/>
      <c r="B1597" s="237"/>
      <c r="C1597" s="238"/>
      <c r="D1597" s="239"/>
      <c r="E1597" s="237"/>
      <c r="F1597" s="242"/>
      <c r="G1597" s="239"/>
      <c r="H1597" s="240">
        <f t="shared" si="24"/>
        <v>6816</v>
      </c>
      <c r="I1597" s="241"/>
    </row>
    <row r="1598" spans="1:9" x14ac:dyDescent="0.25">
      <c r="A1598" s="249"/>
      <c r="B1598" s="237"/>
      <c r="C1598" s="238"/>
      <c r="D1598" s="239"/>
      <c r="E1598" s="237"/>
      <c r="F1598" s="242"/>
      <c r="G1598" s="239"/>
      <c r="H1598" s="240">
        <f t="shared" si="24"/>
        <v>6816</v>
      </c>
      <c r="I1598" s="241"/>
    </row>
    <row r="1599" spans="1:9" x14ac:dyDescent="0.25">
      <c r="A1599" s="249"/>
      <c r="B1599" s="237"/>
      <c r="C1599" s="238"/>
      <c r="D1599" s="239"/>
      <c r="E1599" s="237"/>
      <c r="F1599" s="242"/>
      <c r="G1599" s="239"/>
      <c r="H1599" s="240">
        <f t="shared" si="24"/>
        <v>6816</v>
      </c>
      <c r="I1599" s="241"/>
    </row>
    <row r="1600" spans="1:9" x14ac:dyDescent="0.25">
      <c r="A1600" s="249"/>
      <c r="B1600" s="237"/>
      <c r="C1600" s="238"/>
      <c r="D1600" s="239"/>
      <c r="E1600" s="237"/>
      <c r="F1600" s="242"/>
      <c r="G1600" s="239"/>
      <c r="H1600" s="240">
        <f t="shared" si="24"/>
        <v>6816</v>
      </c>
      <c r="I1600" s="241"/>
    </row>
    <row r="1601" spans="1:9" x14ac:dyDescent="0.25">
      <c r="A1601" s="249"/>
      <c r="B1601" s="237"/>
      <c r="C1601" s="238"/>
      <c r="D1601" s="239"/>
      <c r="E1601" s="237"/>
      <c r="F1601" s="242"/>
      <c r="G1601" s="239"/>
      <c r="H1601" s="240">
        <f t="shared" si="24"/>
        <v>6816</v>
      </c>
      <c r="I1601" s="241"/>
    </row>
    <row r="1602" spans="1:9" x14ac:dyDescent="0.25">
      <c r="A1602" s="249"/>
      <c r="B1602" s="237"/>
      <c r="C1602" s="238"/>
      <c r="D1602" s="239"/>
      <c r="E1602" s="237"/>
      <c r="F1602" s="242"/>
      <c r="G1602" s="239"/>
      <c r="H1602" s="240">
        <f t="shared" si="24"/>
        <v>6816</v>
      </c>
      <c r="I1602" s="241"/>
    </row>
    <row r="1603" spans="1:9" x14ac:dyDescent="0.25">
      <c r="A1603" s="249"/>
      <c r="B1603" s="237"/>
      <c r="C1603" s="238"/>
      <c r="D1603" s="239"/>
      <c r="E1603" s="237"/>
      <c r="F1603" s="242"/>
      <c r="G1603" s="239"/>
      <c r="H1603" s="240">
        <f t="shared" si="24"/>
        <v>6816</v>
      </c>
      <c r="I1603" s="241"/>
    </row>
    <row r="1604" spans="1:9" x14ac:dyDescent="0.25">
      <c r="A1604" s="249"/>
      <c r="B1604" s="237"/>
      <c r="C1604" s="238"/>
      <c r="D1604" s="239"/>
      <c r="E1604" s="237"/>
      <c r="F1604" s="242"/>
      <c r="G1604" s="239"/>
      <c r="H1604" s="240">
        <f t="shared" si="24"/>
        <v>6816</v>
      </c>
      <c r="I1604" s="241"/>
    </row>
    <row r="1605" spans="1:9" x14ac:dyDescent="0.25">
      <c r="A1605" s="249"/>
      <c r="B1605" s="237"/>
      <c r="C1605" s="238"/>
      <c r="D1605" s="239"/>
      <c r="E1605" s="237"/>
      <c r="F1605" s="242"/>
      <c r="G1605" s="239"/>
      <c r="H1605" s="240">
        <f t="shared" si="24"/>
        <v>6816</v>
      </c>
      <c r="I1605" s="241"/>
    </row>
    <row r="1606" spans="1:9" x14ac:dyDescent="0.25">
      <c r="A1606" s="249"/>
      <c r="B1606" s="237"/>
      <c r="C1606" s="238"/>
      <c r="D1606" s="239"/>
      <c r="E1606" s="237"/>
      <c r="F1606" s="242"/>
      <c r="G1606" s="239"/>
      <c r="H1606" s="240">
        <f t="shared" si="24"/>
        <v>6816</v>
      </c>
      <c r="I1606" s="241"/>
    </row>
    <row r="1607" spans="1:9" x14ac:dyDescent="0.25">
      <c r="A1607" s="249"/>
      <c r="B1607" s="237"/>
      <c r="C1607" s="238"/>
      <c r="D1607" s="239"/>
      <c r="E1607" s="237"/>
      <c r="F1607" s="242"/>
      <c r="G1607" s="239"/>
      <c r="H1607" s="240">
        <f t="shared" si="24"/>
        <v>6816</v>
      </c>
      <c r="I1607" s="241"/>
    </row>
    <row r="1608" spans="1:9" x14ac:dyDescent="0.25">
      <c r="A1608" s="249"/>
      <c r="B1608" s="237"/>
      <c r="C1608" s="238"/>
      <c r="D1608" s="239"/>
      <c r="E1608" s="237"/>
      <c r="F1608" s="242"/>
      <c r="G1608" s="239"/>
      <c r="H1608" s="240">
        <f t="shared" si="24"/>
        <v>6816</v>
      </c>
      <c r="I1608" s="241"/>
    </row>
    <row r="1609" spans="1:9" x14ac:dyDescent="0.25">
      <c r="A1609" s="249"/>
      <c r="B1609" s="237"/>
      <c r="C1609" s="238"/>
      <c r="D1609" s="239"/>
      <c r="E1609" s="237"/>
      <c r="F1609" s="242"/>
      <c r="G1609" s="239"/>
      <c r="H1609" s="240">
        <f t="shared" si="24"/>
        <v>6816</v>
      </c>
      <c r="I1609" s="241"/>
    </row>
    <row r="1610" spans="1:9" x14ac:dyDescent="0.25">
      <c r="A1610" s="249"/>
      <c r="B1610" s="237"/>
      <c r="C1610" s="238"/>
      <c r="D1610" s="239"/>
      <c r="E1610" s="237"/>
      <c r="F1610" s="242"/>
      <c r="G1610" s="239"/>
      <c r="H1610" s="240">
        <f t="shared" si="24"/>
        <v>6816</v>
      </c>
      <c r="I1610" s="241"/>
    </row>
    <row r="1611" spans="1:9" x14ac:dyDescent="0.25">
      <c r="A1611" s="249"/>
      <c r="B1611" s="237"/>
      <c r="C1611" s="238"/>
      <c r="D1611" s="239"/>
      <c r="E1611" s="237"/>
      <c r="F1611" s="242"/>
      <c r="G1611" s="239"/>
      <c r="H1611" s="240">
        <f t="shared" si="24"/>
        <v>6816</v>
      </c>
      <c r="I1611" s="241"/>
    </row>
    <row r="1612" spans="1:9" x14ac:dyDescent="0.25">
      <c r="A1612" s="249"/>
      <c r="B1612" s="237"/>
      <c r="C1612" s="238"/>
      <c r="D1612" s="239"/>
      <c r="E1612" s="237"/>
      <c r="F1612" s="242"/>
      <c r="G1612" s="239"/>
      <c r="H1612" s="240">
        <f t="shared" si="24"/>
        <v>6816</v>
      </c>
      <c r="I1612" s="241"/>
    </row>
    <row r="1613" spans="1:9" x14ac:dyDescent="0.25">
      <c r="A1613" s="249"/>
      <c r="B1613" s="237"/>
      <c r="C1613" s="238"/>
      <c r="D1613" s="239"/>
      <c r="E1613" s="237"/>
      <c r="F1613" s="242"/>
      <c r="G1613" s="239"/>
      <c r="H1613" s="240">
        <f t="shared" si="24"/>
        <v>6816</v>
      </c>
      <c r="I1613" s="241"/>
    </row>
    <row r="1614" spans="1:9" x14ac:dyDescent="0.25">
      <c r="A1614" s="249"/>
      <c r="B1614" s="237"/>
      <c r="C1614" s="238"/>
      <c r="D1614" s="239"/>
      <c r="E1614" s="237"/>
      <c r="F1614" s="242"/>
      <c r="G1614" s="239"/>
      <c r="H1614" s="240">
        <f t="shared" si="24"/>
        <v>6816</v>
      </c>
      <c r="I1614" s="241"/>
    </row>
    <row r="1615" spans="1:9" x14ac:dyDescent="0.25">
      <c r="A1615" s="249"/>
      <c r="B1615" s="237"/>
      <c r="C1615" s="238"/>
      <c r="D1615" s="239"/>
      <c r="E1615" s="237"/>
      <c r="F1615" s="242"/>
      <c r="G1615" s="239"/>
      <c r="H1615" s="240">
        <f t="shared" si="24"/>
        <v>6816</v>
      </c>
      <c r="I1615" s="241"/>
    </row>
    <row r="1616" spans="1:9" x14ac:dyDescent="0.25">
      <c r="A1616" s="249"/>
      <c r="B1616" s="237"/>
      <c r="C1616" s="238"/>
      <c r="D1616" s="239"/>
      <c r="E1616" s="237"/>
      <c r="F1616" s="242"/>
      <c r="G1616" s="239"/>
      <c r="H1616" s="240">
        <f t="shared" si="24"/>
        <v>6816</v>
      </c>
      <c r="I1616" s="241"/>
    </row>
    <row r="1617" spans="1:9" x14ac:dyDescent="0.25">
      <c r="A1617" s="249"/>
      <c r="B1617" s="237"/>
      <c r="C1617" s="238"/>
      <c r="D1617" s="239"/>
      <c r="E1617" s="237"/>
      <c r="F1617" s="242"/>
      <c r="G1617" s="239"/>
      <c r="H1617" s="240">
        <f t="shared" si="24"/>
        <v>6816</v>
      </c>
      <c r="I1617" s="241"/>
    </row>
    <row r="1618" spans="1:9" x14ac:dyDescent="0.25">
      <c r="A1618" s="249"/>
      <c r="B1618" s="237"/>
      <c r="C1618" s="238"/>
      <c r="D1618" s="239"/>
      <c r="E1618" s="237"/>
      <c r="F1618" s="242"/>
      <c r="G1618" s="239"/>
      <c r="H1618" s="240">
        <f t="shared" si="24"/>
        <v>6816</v>
      </c>
      <c r="I1618" s="241"/>
    </row>
    <row r="1619" spans="1:9" x14ac:dyDescent="0.25">
      <c r="A1619" s="249"/>
      <c r="B1619" s="237"/>
      <c r="C1619" s="238"/>
      <c r="D1619" s="239"/>
      <c r="E1619" s="237"/>
      <c r="F1619" s="242"/>
      <c r="G1619" s="239"/>
      <c r="H1619" s="240">
        <f t="shared" si="24"/>
        <v>6816</v>
      </c>
      <c r="I1619" s="241"/>
    </row>
    <row r="1620" spans="1:9" x14ac:dyDescent="0.25">
      <c r="A1620" s="249"/>
      <c r="B1620" s="237"/>
      <c r="C1620" s="238"/>
      <c r="D1620" s="239"/>
      <c r="E1620" s="237"/>
      <c r="F1620" s="242"/>
      <c r="G1620" s="239"/>
      <c r="H1620" s="240">
        <f t="shared" ref="H1620:H1633" si="25">H1619+B1620-E1620</f>
        <v>6816</v>
      </c>
      <c r="I1620" s="241"/>
    </row>
    <row r="1621" spans="1:9" x14ac:dyDescent="0.25">
      <c r="A1621" s="249"/>
      <c r="B1621" s="237"/>
      <c r="C1621" s="238"/>
      <c r="D1621" s="239"/>
      <c r="E1621" s="237"/>
      <c r="F1621" s="242"/>
      <c r="G1621" s="239"/>
      <c r="H1621" s="240">
        <f t="shared" si="25"/>
        <v>6816</v>
      </c>
      <c r="I1621" s="241"/>
    </row>
    <row r="1622" spans="1:9" x14ac:dyDescent="0.25">
      <c r="A1622" s="249"/>
      <c r="B1622" s="237"/>
      <c r="C1622" s="238"/>
      <c r="D1622" s="239"/>
      <c r="E1622" s="237"/>
      <c r="F1622" s="242"/>
      <c r="G1622" s="239"/>
      <c r="H1622" s="240">
        <f t="shared" si="25"/>
        <v>6816</v>
      </c>
      <c r="I1622" s="241"/>
    </row>
    <row r="1623" spans="1:9" x14ac:dyDescent="0.25">
      <c r="A1623" s="249"/>
      <c r="B1623" s="237"/>
      <c r="C1623" s="238"/>
      <c r="D1623" s="239"/>
      <c r="E1623" s="237"/>
      <c r="F1623" s="242"/>
      <c r="G1623" s="239"/>
      <c r="H1623" s="240">
        <f t="shared" si="25"/>
        <v>6816</v>
      </c>
      <c r="I1623" s="241"/>
    </row>
    <row r="1624" spans="1:9" x14ac:dyDescent="0.25">
      <c r="A1624" s="249"/>
      <c r="B1624" s="237"/>
      <c r="C1624" s="238"/>
      <c r="D1624" s="239"/>
      <c r="E1624" s="237"/>
      <c r="F1624" s="242"/>
      <c r="G1624" s="239"/>
      <c r="H1624" s="240">
        <f t="shared" si="25"/>
        <v>6816</v>
      </c>
      <c r="I1624" s="241"/>
    </row>
    <row r="1625" spans="1:9" x14ac:dyDescent="0.25">
      <c r="A1625" s="249"/>
      <c r="B1625" s="237"/>
      <c r="C1625" s="238"/>
      <c r="D1625" s="239"/>
      <c r="E1625" s="237"/>
      <c r="F1625" s="242"/>
      <c r="G1625" s="239"/>
      <c r="H1625" s="240">
        <f t="shared" si="25"/>
        <v>6816</v>
      </c>
      <c r="I1625" s="241"/>
    </row>
    <row r="1626" spans="1:9" x14ac:dyDescent="0.25">
      <c r="A1626" s="249"/>
      <c r="B1626" s="237"/>
      <c r="C1626" s="238"/>
      <c r="D1626" s="239"/>
      <c r="E1626" s="237"/>
      <c r="F1626" s="242"/>
      <c r="G1626" s="239"/>
      <c r="H1626" s="240">
        <f t="shared" si="25"/>
        <v>6816</v>
      </c>
      <c r="I1626" s="241"/>
    </row>
    <row r="1627" spans="1:9" x14ac:dyDescent="0.25">
      <c r="A1627" s="249"/>
      <c r="B1627" s="237"/>
      <c r="C1627" s="238"/>
      <c r="D1627" s="239"/>
      <c r="E1627" s="237"/>
      <c r="F1627" s="242"/>
      <c r="G1627" s="239"/>
      <c r="H1627" s="240">
        <f t="shared" si="25"/>
        <v>6816</v>
      </c>
      <c r="I1627" s="241"/>
    </row>
    <row r="1628" spans="1:9" x14ac:dyDescent="0.25">
      <c r="A1628" s="249"/>
      <c r="B1628" s="237"/>
      <c r="C1628" s="238"/>
      <c r="D1628" s="239"/>
      <c r="E1628" s="237"/>
      <c r="F1628" s="242"/>
      <c r="G1628" s="239"/>
      <c r="H1628" s="240">
        <f t="shared" si="25"/>
        <v>6816</v>
      </c>
      <c r="I1628" s="241"/>
    </row>
    <row r="1629" spans="1:9" x14ac:dyDescent="0.25">
      <c r="A1629" s="249"/>
      <c r="B1629" s="237"/>
      <c r="C1629" s="238"/>
      <c r="D1629" s="239"/>
      <c r="E1629" s="237"/>
      <c r="F1629" s="242"/>
      <c r="G1629" s="239"/>
      <c r="H1629" s="240">
        <f t="shared" si="25"/>
        <v>6816</v>
      </c>
      <c r="I1629" s="241"/>
    </row>
    <row r="1630" spans="1:9" x14ac:dyDescent="0.25">
      <c r="A1630" s="249"/>
      <c r="B1630" s="237"/>
      <c r="C1630" s="238"/>
      <c r="D1630" s="239"/>
      <c r="E1630" s="237"/>
      <c r="F1630" s="242"/>
      <c r="G1630" s="239"/>
      <c r="H1630" s="240">
        <f t="shared" si="25"/>
        <v>6816</v>
      </c>
      <c r="I1630" s="241"/>
    </row>
    <row r="1631" spans="1:9" x14ac:dyDescent="0.25">
      <c r="A1631" s="249"/>
      <c r="B1631" s="237"/>
      <c r="C1631" s="238"/>
      <c r="D1631" s="239"/>
      <c r="E1631" s="237"/>
      <c r="F1631" s="242"/>
      <c r="G1631" s="239"/>
      <c r="H1631" s="240">
        <f t="shared" si="25"/>
        <v>6816</v>
      </c>
      <c r="I1631" s="241"/>
    </row>
    <row r="1632" spans="1:9" x14ac:dyDescent="0.25">
      <c r="A1632" s="249"/>
      <c r="B1632" s="237"/>
      <c r="C1632" s="238"/>
      <c r="D1632" s="239"/>
      <c r="E1632" s="237"/>
      <c r="F1632" s="242"/>
      <c r="G1632" s="239"/>
      <c r="H1632" s="240">
        <f t="shared" si="25"/>
        <v>6816</v>
      </c>
      <c r="I1632" s="241"/>
    </row>
    <row r="1633" spans="1:9" x14ac:dyDescent="0.25">
      <c r="A1633" s="253"/>
      <c r="B1633" s="253"/>
      <c r="C1633" s="254"/>
      <c r="D1633" s="255"/>
      <c r="E1633" s="253"/>
      <c r="F1633" s="256"/>
      <c r="G1633" s="239"/>
      <c r="H1633" s="240">
        <f t="shared" si="25"/>
        <v>6816</v>
      </c>
      <c r="I1633" s="257"/>
    </row>
    <row r="1635" spans="1:9" ht="16.5" thickBot="1" x14ac:dyDescent="0.3"/>
    <row r="1636" spans="1:9" ht="16.5" thickBot="1" x14ac:dyDescent="0.3">
      <c r="B1636" s="258">
        <f>SUBTOTAL(9,B5:B1633)</f>
        <v>2159331</v>
      </c>
      <c r="C1636" s="259" t="s">
        <v>904</v>
      </c>
      <c r="E1636" s="258">
        <f>SUBTOTAL(9,E5:E1633)</f>
        <v>2171113</v>
      </c>
      <c r="F1636" s="259" t="s">
        <v>904</v>
      </c>
      <c r="H1636" s="258">
        <f>B3+B1636-E1636</f>
        <v>6816</v>
      </c>
    </row>
  </sheetData>
  <autoFilter ref="A4:I1633" xr:uid="{65C35A77-2B73-46F2-9B7C-4BAA35798913}"/>
  <mergeCells count="1">
    <mergeCell ref="A1:C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7064F24-09C0-486E-BFC4-8574743C7A70}">
          <x14:formula1>
            <xm:f>Info!$D$4:$D$28</xm:f>
          </x14:formula1>
          <xm:sqref>G1266:G1388</xm:sqref>
        </x14:dataValidation>
        <x14:dataValidation type="list" allowBlank="1" showInputMessage="1" showErrorMessage="1" xr:uid="{4D56C1A8-7EC9-4BFA-8B40-4280142AE6F4}">
          <x14:formula1>
            <xm:f>Info!$B$4:$B$27</xm:f>
          </x14:formula1>
          <xm:sqref>D1266:D1388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DF24-55BA-43B4-9194-A79A417837CB}">
  <sheetPr codeName="Sheet18"/>
  <dimension ref="A1:G409"/>
  <sheetViews>
    <sheetView rightToLeft="1" topLeftCell="A84" zoomScale="115" zoomScaleNormal="115" workbookViewId="0">
      <selection activeCell="C231" sqref="C231"/>
    </sheetView>
  </sheetViews>
  <sheetFormatPr defaultRowHeight="15" x14ac:dyDescent="0.25"/>
  <cols>
    <col min="1" max="1" width="32.5703125" style="9" bestFit="1" customWidth="1"/>
    <col min="2" max="2" width="15.140625" style="10" bestFit="1" customWidth="1"/>
    <col min="3" max="3" width="58.28515625" bestFit="1" customWidth="1"/>
    <col min="4" max="4" width="21" customWidth="1"/>
    <col min="5" max="5" width="24.140625" customWidth="1"/>
    <col min="6" max="6" width="6.7109375" bestFit="1" customWidth="1"/>
    <col min="7" max="7" width="45.85546875" customWidth="1"/>
    <col min="8" max="8" width="14.5703125" customWidth="1"/>
    <col min="9" max="9" width="10.7109375" customWidth="1"/>
  </cols>
  <sheetData>
    <row r="1" spans="1:5" ht="18.75" x14ac:dyDescent="0.3">
      <c r="A1" s="1" t="s">
        <v>0</v>
      </c>
      <c r="B1" s="2">
        <v>45113</v>
      </c>
      <c r="C1" s="3"/>
      <c r="D1" s="3"/>
    </row>
    <row r="2" spans="1:5" x14ac:dyDescent="0.25">
      <c r="A2" s="4" t="s">
        <v>1</v>
      </c>
      <c r="B2" s="5" t="s">
        <v>2</v>
      </c>
      <c r="C2" s="5" t="s">
        <v>3</v>
      </c>
      <c r="D2" s="6" t="s">
        <v>4</v>
      </c>
      <c r="E2" s="5" t="s">
        <v>5</v>
      </c>
    </row>
    <row r="3" spans="1:5" x14ac:dyDescent="0.25">
      <c r="A3" s="19" t="s">
        <v>48</v>
      </c>
      <c r="B3" s="21">
        <f>600+500+175+1000</f>
        <v>2275</v>
      </c>
      <c r="C3" s="90" t="s">
        <v>73</v>
      </c>
      <c r="D3" s="96">
        <v>35</v>
      </c>
      <c r="E3" s="43"/>
    </row>
    <row r="4" spans="1:5" x14ac:dyDescent="0.25">
      <c r="A4" s="41" t="s">
        <v>9</v>
      </c>
      <c r="B4" s="21">
        <v>17208</v>
      </c>
      <c r="C4" s="90" t="s">
        <v>33</v>
      </c>
      <c r="D4" s="96">
        <v>65</v>
      </c>
      <c r="E4" s="43"/>
    </row>
    <row r="5" spans="1:5" x14ac:dyDescent="0.25">
      <c r="A5" s="41" t="s">
        <v>28</v>
      </c>
      <c r="B5" s="21">
        <v>2225</v>
      </c>
      <c r="C5" s="90" t="s">
        <v>8</v>
      </c>
      <c r="D5" s="96">
        <v>220</v>
      </c>
      <c r="E5" s="43"/>
    </row>
    <row r="6" spans="1:5" x14ac:dyDescent="0.25">
      <c r="A6" s="41" t="s">
        <v>80</v>
      </c>
      <c r="B6" s="21">
        <v>11063</v>
      </c>
      <c r="C6" s="90" t="s">
        <v>10</v>
      </c>
      <c r="D6" s="96">
        <v>50</v>
      </c>
      <c r="E6" s="43"/>
    </row>
    <row r="7" spans="1:5" x14ac:dyDescent="0.25">
      <c r="A7" s="41" t="s">
        <v>81</v>
      </c>
      <c r="B7" s="21">
        <v>1171</v>
      </c>
      <c r="C7" s="90" t="s">
        <v>393</v>
      </c>
      <c r="D7" s="96">
        <v>120</v>
      </c>
      <c r="E7" s="43"/>
    </row>
    <row r="8" spans="1:5" x14ac:dyDescent="0.25">
      <c r="A8" s="41" t="s">
        <v>22</v>
      </c>
      <c r="B8" s="21">
        <f>4960</f>
        <v>4960</v>
      </c>
      <c r="C8" s="90" t="s">
        <v>394</v>
      </c>
      <c r="D8" s="91">
        <v>3488</v>
      </c>
      <c r="E8" s="42"/>
    </row>
    <row r="9" spans="1:5" x14ac:dyDescent="0.25">
      <c r="A9" s="41" t="s">
        <v>35</v>
      </c>
      <c r="B9" s="21">
        <v>100</v>
      </c>
      <c r="C9" s="90" t="s">
        <v>12</v>
      </c>
      <c r="D9" s="91">
        <f>2090+925</f>
        <v>3015</v>
      </c>
      <c r="E9" s="42"/>
    </row>
    <row r="10" spans="1:5" x14ac:dyDescent="0.25">
      <c r="A10" s="41" t="s">
        <v>22</v>
      </c>
      <c r="B10" s="21">
        <v>1010</v>
      </c>
      <c r="C10" s="90" t="s">
        <v>397</v>
      </c>
      <c r="D10" s="91">
        <v>195</v>
      </c>
      <c r="E10" s="42"/>
    </row>
    <row r="11" spans="1:5" x14ac:dyDescent="0.25">
      <c r="A11" s="20" t="s">
        <v>15</v>
      </c>
      <c r="B11" s="21">
        <v>17704</v>
      </c>
      <c r="C11" s="90" t="s">
        <v>45</v>
      </c>
      <c r="D11" s="91">
        <v>1013</v>
      </c>
      <c r="E11" s="42"/>
    </row>
    <row r="12" spans="1:5" x14ac:dyDescent="0.25">
      <c r="A12" s="41" t="s">
        <v>412</v>
      </c>
      <c r="B12" s="117">
        <v>78</v>
      </c>
      <c r="C12" s="90" t="s">
        <v>399</v>
      </c>
      <c r="D12" s="21">
        <v>245</v>
      </c>
      <c r="E12" s="89"/>
    </row>
    <row r="13" spans="1:5" x14ac:dyDescent="0.25">
      <c r="A13" s="41" t="s">
        <v>6</v>
      </c>
      <c r="B13" s="117">
        <f>3095+4440</f>
        <v>7535</v>
      </c>
      <c r="C13" s="90" t="s">
        <v>73</v>
      </c>
      <c r="D13" s="21">
        <v>58</v>
      </c>
      <c r="E13" s="89"/>
    </row>
    <row r="14" spans="1:5" x14ac:dyDescent="0.25">
      <c r="A14" s="41" t="s">
        <v>93</v>
      </c>
      <c r="B14" s="117">
        <v>310</v>
      </c>
      <c r="C14" s="90" t="s">
        <v>400</v>
      </c>
      <c r="D14" s="21">
        <v>385</v>
      </c>
      <c r="E14" s="89"/>
    </row>
    <row r="15" spans="1:5" x14ac:dyDescent="0.25">
      <c r="A15" s="20" t="s">
        <v>88</v>
      </c>
      <c r="B15" s="21">
        <v>15062</v>
      </c>
      <c r="C15" s="90" t="s">
        <v>11</v>
      </c>
      <c r="D15" s="22">
        <v>545</v>
      </c>
      <c r="E15" s="89"/>
    </row>
    <row r="16" spans="1:5" x14ac:dyDescent="0.25">
      <c r="A16" s="92" t="s">
        <v>216</v>
      </c>
      <c r="B16" s="117">
        <v>181</v>
      </c>
      <c r="C16" s="90" t="s">
        <v>401</v>
      </c>
      <c r="D16" s="22">
        <v>1322</v>
      </c>
      <c r="E16" s="42"/>
    </row>
    <row r="17" spans="1:7" x14ac:dyDescent="0.25">
      <c r="A17" s="87" t="s">
        <v>363</v>
      </c>
      <c r="B17" s="117">
        <v>9059</v>
      </c>
      <c r="C17" s="90" t="s">
        <v>55</v>
      </c>
      <c r="D17" s="22">
        <v>13</v>
      </c>
      <c r="E17" s="42"/>
    </row>
    <row r="18" spans="1:7" x14ac:dyDescent="0.25">
      <c r="A18" s="41" t="s">
        <v>19</v>
      </c>
      <c r="B18" s="117">
        <v>13355</v>
      </c>
      <c r="C18" s="90" t="s">
        <v>404</v>
      </c>
      <c r="D18" s="91">
        <v>2030</v>
      </c>
      <c r="E18" s="42"/>
      <c r="G18" s="97"/>
    </row>
    <row r="19" spans="1:7" x14ac:dyDescent="0.25">
      <c r="A19" s="20" t="s">
        <v>374</v>
      </c>
      <c r="B19" s="117">
        <v>1933</v>
      </c>
      <c r="C19" s="90" t="s">
        <v>38</v>
      </c>
      <c r="D19" s="91">
        <v>120</v>
      </c>
      <c r="E19" s="42"/>
      <c r="G19" s="97"/>
    </row>
    <row r="20" spans="1:7" x14ac:dyDescent="0.25">
      <c r="A20" s="41" t="s">
        <v>430</v>
      </c>
      <c r="B20" s="117">
        <f>300</f>
        <v>300</v>
      </c>
      <c r="C20" s="90" t="s">
        <v>13</v>
      </c>
      <c r="D20" s="91">
        <v>50</v>
      </c>
      <c r="E20" s="42"/>
      <c r="G20" s="97"/>
    </row>
    <row r="21" spans="1:7" x14ac:dyDescent="0.25">
      <c r="A21" s="41" t="s">
        <v>85</v>
      </c>
      <c r="B21" s="22">
        <v>13175</v>
      </c>
      <c r="C21" s="90" t="s">
        <v>405</v>
      </c>
      <c r="D21" s="91">
        <v>1500</v>
      </c>
      <c r="E21" s="42"/>
      <c r="G21" s="97"/>
    </row>
    <row r="22" spans="1:7" ht="15.75" x14ac:dyDescent="0.25">
      <c r="A22" s="41"/>
      <c r="B22" s="22"/>
      <c r="C22" s="90" t="s">
        <v>341</v>
      </c>
      <c r="D22" s="91">
        <v>145</v>
      </c>
      <c r="E22" s="42"/>
      <c r="F22" s="15"/>
      <c r="G22" s="97"/>
    </row>
    <row r="23" spans="1:7" ht="15.75" x14ac:dyDescent="0.25">
      <c r="A23" s="41"/>
      <c r="B23" s="22"/>
      <c r="C23" s="90" t="s">
        <v>406</v>
      </c>
      <c r="D23" s="91">
        <v>50</v>
      </c>
      <c r="E23" s="42"/>
      <c r="F23" s="15"/>
      <c r="G23" s="97"/>
    </row>
    <row r="24" spans="1:7" ht="15.75" x14ac:dyDescent="0.25">
      <c r="A24" s="20"/>
      <c r="B24" s="22"/>
      <c r="C24" s="90" t="s">
        <v>407</v>
      </c>
      <c r="D24" s="91">
        <v>4229</v>
      </c>
      <c r="E24" s="42"/>
      <c r="F24" s="15"/>
      <c r="G24" s="97"/>
    </row>
    <row r="25" spans="1:7" ht="18" x14ac:dyDescent="0.25">
      <c r="A25" s="20"/>
      <c r="B25" s="21"/>
      <c r="C25" s="90" t="s">
        <v>409</v>
      </c>
      <c r="D25" s="91">
        <v>90</v>
      </c>
      <c r="E25" s="56"/>
      <c r="F25" s="15"/>
      <c r="G25" s="97"/>
    </row>
    <row r="26" spans="1:7" ht="18" x14ac:dyDescent="0.25">
      <c r="A26" s="20"/>
      <c r="B26" s="117"/>
      <c r="C26" s="90" t="s">
        <v>410</v>
      </c>
      <c r="D26" s="91">
        <v>1450</v>
      </c>
      <c r="E26" s="77"/>
      <c r="F26" s="15"/>
      <c r="G26" s="97"/>
    </row>
    <row r="27" spans="1:7" ht="18" x14ac:dyDescent="0.25">
      <c r="A27" s="20"/>
      <c r="B27" s="117"/>
      <c r="C27" s="90" t="s">
        <v>27</v>
      </c>
      <c r="D27" s="91">
        <v>490</v>
      </c>
      <c r="E27" s="77"/>
      <c r="F27" s="15"/>
      <c r="G27" s="97"/>
    </row>
    <row r="28" spans="1:7" ht="18" x14ac:dyDescent="0.25">
      <c r="A28" s="20"/>
      <c r="B28" s="117"/>
      <c r="C28" s="90" t="s">
        <v>411</v>
      </c>
      <c r="D28" s="91">
        <v>5945</v>
      </c>
      <c r="E28" s="56"/>
      <c r="F28" s="15"/>
      <c r="G28" s="97"/>
    </row>
    <row r="29" spans="1:7" ht="18" x14ac:dyDescent="0.25">
      <c r="A29" s="20"/>
      <c r="B29" s="117"/>
      <c r="C29" s="90" t="s">
        <v>91</v>
      </c>
      <c r="D29" s="91">
        <v>145</v>
      </c>
      <c r="E29" s="56"/>
      <c r="F29" s="15"/>
      <c r="G29" s="97"/>
    </row>
    <row r="30" spans="1:7" ht="18" x14ac:dyDescent="0.25">
      <c r="A30" s="20"/>
      <c r="B30" s="117"/>
      <c r="C30" s="90" t="s">
        <v>359</v>
      </c>
      <c r="D30" s="91">
        <v>195</v>
      </c>
      <c r="E30" s="56"/>
      <c r="F30" s="15"/>
      <c r="G30" s="97"/>
    </row>
    <row r="31" spans="1:7" ht="18" x14ac:dyDescent="0.25">
      <c r="A31" s="20"/>
      <c r="B31" s="117"/>
      <c r="C31" s="90" t="s">
        <v>16</v>
      </c>
      <c r="D31" s="91">
        <v>9330</v>
      </c>
      <c r="E31" s="56"/>
      <c r="F31" s="15"/>
      <c r="G31" s="97"/>
    </row>
    <row r="32" spans="1:7" ht="15.75" x14ac:dyDescent="0.25">
      <c r="A32" s="20"/>
      <c r="B32" s="117"/>
      <c r="C32" s="90" t="s">
        <v>413</v>
      </c>
      <c r="D32" s="91">
        <v>1600</v>
      </c>
      <c r="E32" s="42"/>
      <c r="F32" s="15"/>
      <c r="G32" s="97"/>
    </row>
    <row r="33" spans="1:7" ht="15.75" x14ac:dyDescent="0.25">
      <c r="A33" s="20"/>
      <c r="B33" s="117"/>
      <c r="C33" s="90" t="s">
        <v>414</v>
      </c>
      <c r="D33" s="91">
        <v>2950</v>
      </c>
      <c r="E33" s="42"/>
      <c r="F33" s="15"/>
      <c r="G33" s="97"/>
    </row>
    <row r="34" spans="1:7" ht="15.75" x14ac:dyDescent="0.25">
      <c r="A34" s="20"/>
      <c r="B34" s="32"/>
      <c r="C34" s="90" t="s">
        <v>79</v>
      </c>
      <c r="D34" s="91">
        <v>4440</v>
      </c>
      <c r="E34" s="42"/>
      <c r="F34" s="15"/>
      <c r="G34" s="97"/>
    </row>
    <row r="35" spans="1:7" ht="15.75" x14ac:dyDescent="0.25">
      <c r="A35" s="20"/>
      <c r="B35" s="22"/>
      <c r="C35" s="90" t="s">
        <v>9</v>
      </c>
      <c r="D35" s="91">
        <v>95</v>
      </c>
      <c r="E35" s="42"/>
      <c r="F35" s="15"/>
    </row>
    <row r="36" spans="1:7" ht="15.75" x14ac:dyDescent="0.25">
      <c r="A36" s="20"/>
      <c r="B36" s="117"/>
      <c r="C36" s="90" t="s">
        <v>341</v>
      </c>
      <c r="D36" s="91">
        <v>100</v>
      </c>
      <c r="E36" s="42"/>
      <c r="F36" s="15"/>
    </row>
    <row r="37" spans="1:7" ht="15.75" x14ac:dyDescent="0.25">
      <c r="A37" s="20"/>
      <c r="B37" s="117"/>
      <c r="C37" s="90" t="s">
        <v>415</v>
      </c>
      <c r="D37" s="91">
        <v>240</v>
      </c>
      <c r="E37" s="42"/>
      <c r="F37" s="15"/>
    </row>
    <row r="38" spans="1:7" ht="15.75" x14ac:dyDescent="0.25">
      <c r="A38" s="20"/>
      <c r="B38" s="117"/>
      <c r="C38" s="90" t="s">
        <v>212</v>
      </c>
      <c r="D38" s="91">
        <v>225</v>
      </c>
      <c r="E38" s="42"/>
      <c r="F38" s="15"/>
    </row>
    <row r="39" spans="1:7" ht="15.75" x14ac:dyDescent="0.25">
      <c r="A39" s="20"/>
      <c r="B39" s="117"/>
      <c r="C39" s="90" t="s">
        <v>7</v>
      </c>
      <c r="D39" s="91">
        <v>80</v>
      </c>
      <c r="E39" s="42"/>
      <c r="F39" s="15"/>
    </row>
    <row r="40" spans="1:7" ht="15.75" x14ac:dyDescent="0.25">
      <c r="A40" s="20"/>
      <c r="B40" s="117"/>
      <c r="C40" s="90" t="s">
        <v>11</v>
      </c>
      <c r="D40" s="91">
        <v>255</v>
      </c>
      <c r="E40" s="42"/>
      <c r="F40" s="15"/>
    </row>
    <row r="41" spans="1:7" ht="15.75" x14ac:dyDescent="0.25">
      <c r="A41" s="20"/>
      <c r="B41" s="117"/>
      <c r="C41" s="90" t="s">
        <v>89</v>
      </c>
      <c r="D41" s="91">
        <v>100</v>
      </c>
      <c r="E41" s="42"/>
      <c r="F41" s="15"/>
    </row>
    <row r="42" spans="1:7" ht="15.75" x14ac:dyDescent="0.25">
      <c r="A42" s="20"/>
      <c r="B42" s="117"/>
      <c r="C42" s="90" t="s">
        <v>39</v>
      </c>
      <c r="D42" s="91">
        <v>490</v>
      </c>
      <c r="E42" s="42"/>
      <c r="F42" s="15"/>
    </row>
    <row r="43" spans="1:7" ht="15.75" x14ac:dyDescent="0.25">
      <c r="A43" s="20"/>
      <c r="B43" s="117"/>
      <c r="C43" s="90" t="s">
        <v>417</v>
      </c>
      <c r="D43" s="91">
        <v>410</v>
      </c>
      <c r="E43" s="42"/>
      <c r="F43" s="15"/>
    </row>
    <row r="44" spans="1:7" ht="15.75" x14ac:dyDescent="0.25">
      <c r="A44" s="20"/>
      <c r="B44" s="117"/>
      <c r="C44" s="90" t="s">
        <v>416</v>
      </c>
      <c r="D44" s="91">
        <v>255</v>
      </c>
      <c r="E44" s="42"/>
      <c r="F44" s="15"/>
    </row>
    <row r="45" spans="1:7" ht="15.75" x14ac:dyDescent="0.25">
      <c r="A45" s="20"/>
      <c r="B45" s="117"/>
      <c r="C45" s="90" t="s">
        <v>419</v>
      </c>
      <c r="D45" s="91">
        <v>87</v>
      </c>
      <c r="E45" s="42"/>
      <c r="F45" s="15"/>
    </row>
    <row r="46" spans="1:7" ht="15.75" x14ac:dyDescent="0.25">
      <c r="A46" s="20"/>
      <c r="B46" s="117"/>
      <c r="C46" s="90" t="s">
        <v>223</v>
      </c>
      <c r="D46" s="91">
        <v>90</v>
      </c>
      <c r="E46" s="42"/>
      <c r="F46" s="15"/>
    </row>
    <row r="47" spans="1:7" ht="15.75" x14ac:dyDescent="0.25">
      <c r="A47" s="20"/>
      <c r="B47" s="22"/>
      <c r="C47" s="90" t="s">
        <v>421</v>
      </c>
      <c r="D47" s="91">
        <v>425</v>
      </c>
      <c r="E47" s="42"/>
      <c r="F47" s="15"/>
      <c r="G47" t="s">
        <v>436</v>
      </c>
    </row>
    <row r="48" spans="1:7" ht="15.75" x14ac:dyDescent="0.25">
      <c r="A48" s="20"/>
      <c r="B48" s="117"/>
      <c r="C48" s="90" t="s">
        <v>420</v>
      </c>
      <c r="D48" s="91">
        <v>1800</v>
      </c>
      <c r="E48" s="42"/>
      <c r="F48" s="15"/>
      <c r="G48" t="s">
        <v>437</v>
      </c>
    </row>
    <row r="49" spans="1:7" ht="15.75" x14ac:dyDescent="0.25">
      <c r="A49" s="20"/>
      <c r="B49" s="117"/>
      <c r="C49" s="90" t="s">
        <v>423</v>
      </c>
      <c r="D49" s="91">
        <v>9</v>
      </c>
      <c r="E49" s="42"/>
      <c r="F49" s="15"/>
      <c r="G49" t="s">
        <v>433</v>
      </c>
    </row>
    <row r="50" spans="1:7" ht="15.75" x14ac:dyDescent="0.25">
      <c r="A50" s="20"/>
      <c r="B50" s="117"/>
      <c r="C50" s="90" t="s">
        <v>424</v>
      </c>
      <c r="D50" s="91">
        <v>5</v>
      </c>
      <c r="E50" s="42"/>
      <c r="F50" s="15"/>
    </row>
    <row r="51" spans="1:7" ht="15.75" x14ac:dyDescent="0.25">
      <c r="A51" s="20"/>
      <c r="B51" s="117"/>
      <c r="C51" s="90" t="s">
        <v>78</v>
      </c>
      <c r="D51" s="91">
        <v>130</v>
      </c>
      <c r="E51" s="42"/>
      <c r="F51" s="15"/>
    </row>
    <row r="52" spans="1:7" ht="15.75" x14ac:dyDescent="0.25">
      <c r="A52" s="20"/>
      <c r="B52" s="117"/>
      <c r="C52" s="90" t="s">
        <v>74</v>
      </c>
      <c r="D52" s="91">
        <v>1000</v>
      </c>
      <c r="E52" s="42"/>
      <c r="F52" s="15"/>
    </row>
    <row r="53" spans="1:7" x14ac:dyDescent="0.25">
      <c r="A53" s="20"/>
      <c r="B53" s="117"/>
      <c r="C53" s="90" t="s">
        <v>425</v>
      </c>
      <c r="D53" s="91">
        <v>180</v>
      </c>
      <c r="E53" s="42"/>
    </row>
    <row r="54" spans="1:7" x14ac:dyDescent="0.25">
      <c r="A54" s="20"/>
      <c r="B54" s="117"/>
      <c r="C54" s="90" t="s">
        <v>426</v>
      </c>
      <c r="D54" s="91">
        <v>3000</v>
      </c>
      <c r="E54" s="42"/>
    </row>
    <row r="55" spans="1:7" x14ac:dyDescent="0.25">
      <c r="A55" s="20"/>
      <c r="B55" s="117"/>
      <c r="C55" s="20" t="s">
        <v>19</v>
      </c>
      <c r="D55" s="91">
        <v>105</v>
      </c>
      <c r="E55" s="42"/>
    </row>
    <row r="56" spans="1:7" x14ac:dyDescent="0.25">
      <c r="A56" s="20"/>
      <c r="B56" s="117"/>
      <c r="C56" s="20" t="s">
        <v>14</v>
      </c>
      <c r="D56" s="91">
        <f>14*115+105+40*4.5-45</f>
        <v>1850</v>
      </c>
      <c r="E56" s="42"/>
    </row>
    <row r="57" spans="1:7" x14ac:dyDescent="0.25">
      <c r="A57" s="20"/>
      <c r="B57" s="117"/>
      <c r="C57" s="20" t="s">
        <v>376</v>
      </c>
      <c r="D57" s="22">
        <v>150</v>
      </c>
      <c r="E57" s="42"/>
    </row>
    <row r="58" spans="1:7" x14ac:dyDescent="0.25">
      <c r="A58" s="20"/>
      <c r="B58" s="117"/>
      <c r="C58" s="20" t="s">
        <v>26</v>
      </c>
      <c r="D58" s="91">
        <v>75</v>
      </c>
      <c r="E58" s="42"/>
    </row>
    <row r="59" spans="1:7" x14ac:dyDescent="0.25">
      <c r="A59" s="20"/>
      <c r="B59" s="117"/>
      <c r="C59" s="20" t="s">
        <v>432</v>
      </c>
      <c r="D59" s="117">
        <v>95</v>
      </c>
      <c r="E59" s="42"/>
    </row>
    <row r="60" spans="1:7" x14ac:dyDescent="0.25">
      <c r="A60" s="20"/>
      <c r="B60" s="117"/>
      <c r="C60" s="87" t="s">
        <v>434</v>
      </c>
      <c r="D60" s="91">
        <v>155</v>
      </c>
      <c r="E60" s="42"/>
    </row>
    <row r="61" spans="1:7" x14ac:dyDescent="0.25">
      <c r="A61" s="20"/>
      <c r="B61" s="117"/>
      <c r="C61" s="20" t="s">
        <v>438</v>
      </c>
      <c r="D61" s="91">
        <v>4160</v>
      </c>
      <c r="E61" s="42"/>
    </row>
    <row r="62" spans="1:7" x14ac:dyDescent="0.25">
      <c r="A62" s="20"/>
      <c r="B62" s="117"/>
      <c r="C62" s="39" t="s">
        <v>433</v>
      </c>
      <c r="D62" s="119">
        <v>100</v>
      </c>
      <c r="E62" s="42"/>
    </row>
    <row r="63" spans="1:7" x14ac:dyDescent="0.25">
      <c r="A63" s="20"/>
      <c r="B63" s="117"/>
      <c r="C63" s="39" t="s">
        <v>435</v>
      </c>
      <c r="D63" s="119">
        <v>120</v>
      </c>
      <c r="E63" s="42"/>
    </row>
    <row r="64" spans="1:7" x14ac:dyDescent="0.25">
      <c r="A64" s="20"/>
      <c r="B64" s="117"/>
      <c r="C64" s="90" t="s">
        <v>427</v>
      </c>
      <c r="D64" s="91">
        <v>208</v>
      </c>
      <c r="E64" s="42"/>
    </row>
    <row r="65" spans="1:5" x14ac:dyDescent="0.25">
      <c r="A65" s="20"/>
      <c r="B65" s="117"/>
      <c r="C65" s="20" t="s">
        <v>428</v>
      </c>
      <c r="D65" s="21">
        <v>20</v>
      </c>
      <c r="E65" s="42"/>
    </row>
    <row r="66" spans="1:5" x14ac:dyDescent="0.25">
      <c r="A66" s="20"/>
      <c r="B66" s="117"/>
      <c r="C66" s="20" t="s">
        <v>422</v>
      </c>
      <c r="D66" s="22">
        <v>30</v>
      </c>
      <c r="E66" s="42"/>
    </row>
    <row r="67" spans="1:5" ht="23.25" customHeight="1" x14ac:dyDescent="0.25">
      <c r="A67" s="20"/>
      <c r="B67" s="117"/>
      <c r="C67" s="116" t="s">
        <v>418</v>
      </c>
      <c r="D67" s="21">
        <v>14000</v>
      </c>
      <c r="E67" s="42"/>
    </row>
    <row r="68" spans="1:5" x14ac:dyDescent="0.25">
      <c r="A68" s="20"/>
      <c r="B68" s="117"/>
      <c r="C68" s="20" t="s">
        <v>287</v>
      </c>
      <c r="D68" s="22">
        <v>11000</v>
      </c>
      <c r="E68" s="42"/>
    </row>
    <row r="69" spans="1:5" x14ac:dyDescent="0.25">
      <c r="A69" s="20"/>
      <c r="B69" s="117"/>
      <c r="C69" s="20" t="s">
        <v>431</v>
      </c>
      <c r="D69" s="32">
        <v>3650</v>
      </c>
      <c r="E69" s="42"/>
    </row>
    <row r="70" spans="1:5" x14ac:dyDescent="0.25">
      <c r="A70" s="20"/>
      <c r="B70" s="117"/>
      <c r="C70" s="20" t="s">
        <v>27</v>
      </c>
      <c r="D70" s="32">
        <v>990</v>
      </c>
      <c r="E70" s="42"/>
    </row>
    <row r="71" spans="1:5" x14ac:dyDescent="0.25">
      <c r="A71" s="20"/>
      <c r="B71" s="117"/>
      <c r="C71" s="90" t="s">
        <v>408</v>
      </c>
      <c r="D71" s="22">
        <v>20</v>
      </c>
      <c r="E71" s="42"/>
    </row>
    <row r="72" spans="1:5" x14ac:dyDescent="0.25">
      <c r="A72" s="20"/>
      <c r="B72" s="117"/>
      <c r="C72" s="20" t="s">
        <v>403</v>
      </c>
      <c r="D72" s="21">
        <v>25</v>
      </c>
      <c r="E72" s="42"/>
    </row>
    <row r="73" spans="1:5" x14ac:dyDescent="0.25">
      <c r="A73" s="20"/>
      <c r="B73" s="117"/>
      <c r="C73" s="148" t="s">
        <v>398</v>
      </c>
      <c r="D73" s="150">
        <v>70</v>
      </c>
      <c r="E73" s="42"/>
    </row>
    <row r="74" spans="1:5" x14ac:dyDescent="0.25">
      <c r="A74" s="20"/>
      <c r="B74" s="117"/>
      <c r="C74" s="148" t="s">
        <v>396</v>
      </c>
      <c r="D74" s="150">
        <v>8000</v>
      </c>
      <c r="E74" s="42"/>
    </row>
    <row r="75" spans="1:5" x14ac:dyDescent="0.25">
      <c r="A75" s="20"/>
      <c r="B75" s="117"/>
      <c r="C75" s="203"/>
      <c r="D75" s="150"/>
      <c r="E75" s="42"/>
    </row>
    <row r="76" spans="1:5" x14ac:dyDescent="0.25">
      <c r="A76" s="20"/>
      <c r="B76" s="21"/>
      <c r="C76" s="203"/>
      <c r="D76" s="150"/>
      <c r="E76" s="42"/>
    </row>
    <row r="77" spans="1:5" x14ac:dyDescent="0.25">
      <c r="A77" s="20"/>
      <c r="B77" s="21"/>
      <c r="C77" s="203"/>
      <c r="D77" s="150"/>
      <c r="E77" s="42"/>
    </row>
    <row r="78" spans="1:5" x14ac:dyDescent="0.25">
      <c r="A78" s="20"/>
      <c r="B78" s="21"/>
      <c r="C78" s="203"/>
      <c r="D78" s="150"/>
      <c r="E78" s="45"/>
    </row>
    <row r="79" spans="1:5" x14ac:dyDescent="0.25">
      <c r="A79" s="20"/>
      <c r="B79" s="32"/>
      <c r="C79" s="212"/>
      <c r="D79" s="209"/>
      <c r="E79" s="45"/>
    </row>
    <row r="80" spans="1:5" x14ac:dyDescent="0.25">
      <c r="A80" s="20"/>
      <c r="B80" s="21"/>
      <c r="C80" s="212"/>
      <c r="D80" s="209"/>
      <c r="E80" s="42"/>
    </row>
    <row r="81" spans="1:5" x14ac:dyDescent="0.25">
      <c r="A81" s="20"/>
      <c r="B81" s="21"/>
      <c r="C81" s="212"/>
      <c r="D81" s="209"/>
      <c r="E81" s="42"/>
    </row>
    <row r="82" spans="1:5" x14ac:dyDescent="0.25">
      <c r="A82" s="20"/>
      <c r="B82" s="21"/>
      <c r="C82" s="212"/>
      <c r="D82" s="209"/>
      <c r="E82" s="42"/>
    </row>
    <row r="83" spans="1:5" x14ac:dyDescent="0.25">
      <c r="A83" s="20"/>
      <c r="B83" s="21"/>
      <c r="C83" s="212"/>
      <c r="D83" s="209"/>
      <c r="E83" s="45"/>
    </row>
    <row r="84" spans="1:5" x14ac:dyDescent="0.25">
      <c r="A84" s="20"/>
      <c r="B84" s="21"/>
      <c r="C84" s="212"/>
      <c r="D84" s="209"/>
      <c r="E84" s="45"/>
    </row>
    <row r="85" spans="1:5" x14ac:dyDescent="0.25">
      <c r="A85" s="20"/>
      <c r="B85" s="21"/>
      <c r="C85" s="205"/>
      <c r="D85" s="210"/>
      <c r="E85" s="45"/>
    </row>
    <row r="86" spans="1:5" ht="19.5" thickBot="1" x14ac:dyDescent="0.35">
      <c r="A86" s="17"/>
      <c r="B86" s="12">
        <f>SUBTOTAL(109,Table672023[Column1])</f>
        <v>118704</v>
      </c>
      <c r="C86" s="13"/>
      <c r="D86" s="14">
        <f>SUBTOTAL(109,Table672023[Column2])</f>
        <v>99327</v>
      </c>
      <c r="E86" s="14"/>
    </row>
    <row r="87" spans="1:5" ht="27" thickTop="1" x14ac:dyDescent="0.25">
      <c r="D87" s="16">
        <f>Table672023[[#Totals],[Column1]]-Table672023[[#Totals],[Column2]]</f>
        <v>19377</v>
      </c>
    </row>
    <row r="89" spans="1:5" ht="18.75" x14ac:dyDescent="0.25">
      <c r="A89" s="11"/>
      <c r="B89" s="11"/>
    </row>
    <row r="90" spans="1:5" ht="19.5" thickBot="1" x14ac:dyDescent="0.3">
      <c r="A90" s="11"/>
      <c r="B90" s="11"/>
    </row>
    <row r="91" spans="1:5" ht="24" thickBot="1" x14ac:dyDescent="0.3">
      <c r="A91" s="76" t="s">
        <v>9</v>
      </c>
      <c r="B91" s="460">
        <v>45113</v>
      </c>
      <c r="C91" s="461"/>
    </row>
    <row r="92" spans="1:5" ht="21" thickBot="1" x14ac:dyDescent="0.3">
      <c r="A92" s="53" t="s">
        <v>137</v>
      </c>
      <c r="B92" s="53" t="s">
        <v>3</v>
      </c>
      <c r="C92" s="53" t="s">
        <v>138</v>
      </c>
    </row>
    <row r="93" spans="1:5" ht="18" x14ac:dyDescent="0.25">
      <c r="A93" s="55">
        <f>4800+50+200+110</f>
        <v>5160</v>
      </c>
      <c r="B93" s="77">
        <v>35</v>
      </c>
      <c r="C93" s="57" t="s">
        <v>73</v>
      </c>
    </row>
    <row r="94" spans="1:5" ht="18" x14ac:dyDescent="0.25">
      <c r="A94" s="60"/>
      <c r="B94" s="56">
        <v>65</v>
      </c>
      <c r="C94" s="94" t="s">
        <v>33</v>
      </c>
    </row>
    <row r="95" spans="1:5" ht="18" x14ac:dyDescent="0.25">
      <c r="A95" s="60"/>
      <c r="B95" s="77">
        <v>220</v>
      </c>
      <c r="C95" s="57" t="s">
        <v>8</v>
      </c>
    </row>
    <row r="96" spans="1:5" ht="18" x14ac:dyDescent="0.25">
      <c r="A96" s="60"/>
      <c r="B96" s="77">
        <v>50</v>
      </c>
      <c r="C96" s="57" t="s">
        <v>10</v>
      </c>
    </row>
    <row r="97" spans="1:5" ht="18" x14ac:dyDescent="0.25">
      <c r="A97" s="60"/>
      <c r="B97" s="56">
        <v>70</v>
      </c>
      <c r="C97" s="94" t="s">
        <v>392</v>
      </c>
    </row>
    <row r="98" spans="1:5" ht="27.75" customHeight="1" x14ac:dyDescent="0.25">
      <c r="A98" s="60"/>
      <c r="B98" s="56">
        <v>120</v>
      </c>
      <c r="C98" s="94" t="s">
        <v>393</v>
      </c>
    </row>
    <row r="99" spans="1:5" ht="18" x14ac:dyDescent="0.25">
      <c r="A99" s="60"/>
      <c r="B99" s="56">
        <v>3488</v>
      </c>
      <c r="C99" s="94" t="s">
        <v>394</v>
      </c>
    </row>
    <row r="100" spans="1:5" ht="18.75" thickBot="1" x14ac:dyDescent="0.3">
      <c r="A100" s="60"/>
      <c r="B100" s="56">
        <v>8000</v>
      </c>
      <c r="C100" s="94" t="s">
        <v>395</v>
      </c>
    </row>
    <row r="101" spans="1:5" ht="24" thickBot="1" x14ac:dyDescent="0.3">
      <c r="A101" s="66"/>
      <c r="B101" s="67"/>
      <c r="C101" s="64"/>
      <c r="D101" s="100" t="s">
        <v>43</v>
      </c>
      <c r="E101" s="99">
        <f>E106-E102</f>
        <v>80</v>
      </c>
    </row>
    <row r="102" spans="1:5" ht="21" thickBot="1" x14ac:dyDescent="0.3">
      <c r="A102" s="68">
        <f>SUM(A93:A101)</f>
        <v>5160</v>
      </c>
      <c r="B102" s="69">
        <f>SUM(B93:B101)</f>
        <v>12048</v>
      </c>
      <c r="C102" s="70"/>
      <c r="D102" s="84" t="s">
        <v>94</v>
      </c>
      <c r="E102" s="85">
        <f>13079-10934</f>
        <v>2145</v>
      </c>
    </row>
    <row r="103" spans="1:5" ht="19.5" thickBot="1" x14ac:dyDescent="0.3">
      <c r="A103" s="462" t="s">
        <v>139</v>
      </c>
      <c r="B103" s="463"/>
      <c r="C103" s="71" t="s">
        <v>75</v>
      </c>
      <c r="D103" s="82" t="s">
        <v>65</v>
      </c>
      <c r="E103" s="83">
        <f>2000+200+25</f>
        <v>2225</v>
      </c>
    </row>
    <row r="104" spans="1:5" ht="24" thickBot="1" x14ac:dyDescent="0.3">
      <c r="A104" s="464">
        <f>B102+A102</f>
        <v>17208</v>
      </c>
      <c r="B104" s="465"/>
      <c r="C104" s="81"/>
      <c r="D104" s="82"/>
      <c r="E104" s="83"/>
    </row>
    <row r="105" spans="1:5" ht="24" thickBot="1" x14ac:dyDescent="0.3">
      <c r="A105" s="466" t="s">
        <v>99</v>
      </c>
      <c r="B105" s="467"/>
      <c r="C105" s="78">
        <f>A106-C106</f>
        <v>240</v>
      </c>
      <c r="D105" s="82"/>
      <c r="E105" s="83"/>
    </row>
    <row r="106" spans="1:5" ht="21" thickBot="1" x14ac:dyDescent="0.3">
      <c r="A106" s="481">
        <f>C104+A104</f>
        <v>17208</v>
      </c>
      <c r="B106" s="482"/>
      <c r="C106" s="79">
        <v>16968</v>
      </c>
      <c r="D106" s="82" t="s">
        <v>164</v>
      </c>
      <c r="E106" s="83">
        <f>SUM(E103:E105)</f>
        <v>2225</v>
      </c>
    </row>
    <row r="107" spans="1:5" ht="24" thickBot="1" x14ac:dyDescent="0.3">
      <c r="C107" s="314" t="str">
        <f>IF(C105&gt;0,"زيادة","عجز")</f>
        <v>زيادة</v>
      </c>
    </row>
    <row r="108" spans="1:5" ht="15.75" thickBot="1" x14ac:dyDescent="0.3">
      <c r="A108"/>
      <c r="B108"/>
    </row>
    <row r="109" spans="1:5" ht="24" thickBot="1" x14ac:dyDescent="0.3">
      <c r="A109" s="76" t="s">
        <v>80</v>
      </c>
      <c r="B109" s="460">
        <v>45113</v>
      </c>
      <c r="C109" s="461"/>
    </row>
    <row r="110" spans="1:5" ht="24" customHeight="1" thickBot="1" x14ac:dyDescent="0.3">
      <c r="A110" s="53" t="s">
        <v>137</v>
      </c>
      <c r="B110" s="53" t="s">
        <v>3</v>
      </c>
      <c r="C110" s="53" t="s">
        <v>138</v>
      </c>
    </row>
    <row r="111" spans="1:5" ht="18" x14ac:dyDescent="0.25">
      <c r="A111" s="55">
        <f>5000+2980</f>
        <v>7980</v>
      </c>
      <c r="B111" s="77">
        <v>245</v>
      </c>
      <c r="C111" s="57" t="s">
        <v>399</v>
      </c>
    </row>
    <row r="112" spans="1:5" ht="18" x14ac:dyDescent="0.25">
      <c r="A112" s="60"/>
      <c r="B112" s="56">
        <v>58</v>
      </c>
      <c r="C112" s="94" t="s">
        <v>73</v>
      </c>
    </row>
    <row r="113" spans="1:5" ht="18" x14ac:dyDescent="0.25">
      <c r="A113" s="60"/>
      <c r="B113" s="77">
        <v>385</v>
      </c>
      <c r="C113" s="57" t="s">
        <v>400</v>
      </c>
    </row>
    <row r="114" spans="1:5" ht="18" x14ac:dyDescent="0.25">
      <c r="A114" s="60"/>
      <c r="B114" s="77">
        <v>545</v>
      </c>
      <c r="C114" s="57" t="s">
        <v>11</v>
      </c>
    </row>
    <row r="115" spans="1:5" ht="18" x14ac:dyDescent="0.25">
      <c r="A115" s="60"/>
      <c r="B115" s="56">
        <v>1322</v>
      </c>
      <c r="C115" s="94" t="s">
        <v>401</v>
      </c>
    </row>
    <row r="116" spans="1:5" ht="18" x14ac:dyDescent="0.25">
      <c r="A116" s="60"/>
      <c r="B116" s="56">
        <v>15</v>
      </c>
      <c r="C116" s="94" t="s">
        <v>370</v>
      </c>
    </row>
    <row r="117" spans="1:5" ht="18" x14ac:dyDescent="0.25">
      <c r="A117" s="60"/>
      <c r="B117" s="56">
        <v>13</v>
      </c>
      <c r="C117" s="94" t="s">
        <v>55</v>
      </c>
    </row>
    <row r="118" spans="1:5" ht="18.75" thickBot="1" x14ac:dyDescent="0.3">
      <c r="A118" s="60"/>
      <c r="B118" s="56">
        <v>500</v>
      </c>
      <c r="C118" s="94" t="s">
        <v>402</v>
      </c>
    </row>
    <row r="119" spans="1:5" ht="24" thickBot="1" x14ac:dyDescent="0.3">
      <c r="A119" s="66"/>
      <c r="B119" s="67"/>
      <c r="C119" s="64"/>
      <c r="D119" s="100" t="s">
        <v>43</v>
      </c>
      <c r="E119" s="99">
        <f>E124-E120</f>
        <v>24</v>
      </c>
    </row>
    <row r="120" spans="1:5" ht="21" thickBot="1" x14ac:dyDescent="0.3">
      <c r="A120" s="68">
        <f>SUM(A111:A119)</f>
        <v>7980</v>
      </c>
      <c r="B120" s="69">
        <f>SUM(B111:B119)</f>
        <v>3083</v>
      </c>
      <c r="C120" s="70"/>
      <c r="D120" s="84" t="s">
        <v>94</v>
      </c>
      <c r="E120" s="85">
        <f>10924-9777</f>
        <v>1147</v>
      </c>
    </row>
    <row r="121" spans="1:5" ht="19.5" thickBot="1" x14ac:dyDescent="0.3">
      <c r="A121" s="462" t="s">
        <v>139</v>
      </c>
      <c r="B121" s="463"/>
      <c r="C121" s="71" t="s">
        <v>75</v>
      </c>
      <c r="D121" s="82" t="s">
        <v>65</v>
      </c>
      <c r="E121" s="83">
        <f>1100+45+1</f>
        <v>1146</v>
      </c>
    </row>
    <row r="122" spans="1:5" ht="24" thickBot="1" x14ac:dyDescent="0.3">
      <c r="A122" s="464">
        <f>B120+A120</f>
        <v>11063</v>
      </c>
      <c r="B122" s="465"/>
      <c r="C122" s="81"/>
      <c r="D122" s="82" t="s">
        <v>403</v>
      </c>
      <c r="E122" s="83">
        <v>25</v>
      </c>
    </row>
    <row r="123" spans="1:5" ht="24" thickBot="1" x14ac:dyDescent="0.3">
      <c r="A123" s="466" t="s">
        <v>99</v>
      </c>
      <c r="B123" s="467"/>
      <c r="C123" s="78">
        <f>A124-C124</f>
        <v>62</v>
      </c>
      <c r="D123" s="82"/>
      <c r="E123" s="83"/>
    </row>
    <row r="124" spans="1:5" ht="21" thickBot="1" x14ac:dyDescent="0.3">
      <c r="A124" s="481">
        <f>C122+A122</f>
        <v>11063</v>
      </c>
      <c r="B124" s="482"/>
      <c r="C124" s="79">
        <v>11001</v>
      </c>
      <c r="D124" s="82" t="s">
        <v>164</v>
      </c>
      <c r="E124" s="83">
        <f>SUM(E121:E123)</f>
        <v>1171</v>
      </c>
    </row>
    <row r="125" spans="1:5" ht="24" thickBot="1" x14ac:dyDescent="0.3">
      <c r="A125"/>
      <c r="B125"/>
      <c r="C125" s="314" t="str">
        <f>IF(C123&gt;0,"زيادة","عجز")</f>
        <v>زيادة</v>
      </c>
    </row>
    <row r="126" spans="1:5" ht="15.75" thickBot="1" x14ac:dyDescent="0.3">
      <c r="A126"/>
      <c r="B126"/>
    </row>
    <row r="127" spans="1:5" ht="24" thickBot="1" x14ac:dyDescent="0.3">
      <c r="A127" s="76" t="s">
        <v>15</v>
      </c>
      <c r="B127" s="460">
        <v>45113</v>
      </c>
      <c r="C127" s="461"/>
    </row>
    <row r="128" spans="1:5" ht="21" thickBot="1" x14ac:dyDescent="0.3">
      <c r="A128" s="53" t="s">
        <v>137</v>
      </c>
      <c r="B128" s="53" t="s">
        <v>3</v>
      </c>
      <c r="C128" s="53" t="s">
        <v>138</v>
      </c>
    </row>
    <row r="129" spans="1:5" ht="18" x14ac:dyDescent="0.25">
      <c r="A129" s="55">
        <f>4000+140</f>
        <v>4140</v>
      </c>
      <c r="B129" s="77">
        <v>4229</v>
      </c>
      <c r="C129" s="57" t="s">
        <v>407</v>
      </c>
    </row>
    <row r="130" spans="1:5" ht="18" x14ac:dyDescent="0.25">
      <c r="A130" s="60">
        <f>250+750</f>
        <v>1000</v>
      </c>
      <c r="B130" s="56">
        <v>20</v>
      </c>
      <c r="C130" s="94" t="s">
        <v>408</v>
      </c>
    </row>
    <row r="131" spans="1:5" ht="18" x14ac:dyDescent="0.25">
      <c r="A131" s="60"/>
      <c r="B131" s="77">
        <v>90</v>
      </c>
      <c r="C131" s="57" t="s">
        <v>409</v>
      </c>
    </row>
    <row r="132" spans="1:5" ht="18" x14ac:dyDescent="0.25">
      <c r="A132" s="60"/>
      <c r="B132" s="77">
        <v>1450</v>
      </c>
      <c r="C132" s="57" t="s">
        <v>410</v>
      </c>
    </row>
    <row r="133" spans="1:5" ht="18" x14ac:dyDescent="0.25">
      <c r="A133" s="60"/>
      <c r="B133" s="56">
        <v>490</v>
      </c>
      <c r="C133" s="94" t="s">
        <v>27</v>
      </c>
    </row>
    <row r="134" spans="1:5" ht="18" x14ac:dyDescent="0.25">
      <c r="A134" s="60"/>
      <c r="B134" s="56">
        <v>5945</v>
      </c>
      <c r="C134" s="94" t="s">
        <v>411</v>
      </c>
    </row>
    <row r="135" spans="1:5" ht="18" x14ac:dyDescent="0.25">
      <c r="A135" s="60"/>
      <c r="B135" s="56">
        <v>145</v>
      </c>
      <c r="C135" s="94" t="s">
        <v>91</v>
      </c>
    </row>
    <row r="136" spans="1:5" ht="18.75" thickBot="1" x14ac:dyDescent="0.3">
      <c r="A136" s="60"/>
      <c r="B136" s="56">
        <v>195</v>
      </c>
      <c r="C136" s="94" t="s">
        <v>359</v>
      </c>
    </row>
    <row r="137" spans="1:5" ht="24" thickBot="1" x14ac:dyDescent="0.3">
      <c r="A137" s="66"/>
      <c r="B137" s="67"/>
      <c r="C137" s="64"/>
      <c r="D137" s="100" t="s">
        <v>43</v>
      </c>
      <c r="E137" s="99">
        <f>E142-E138</f>
        <v>6</v>
      </c>
    </row>
    <row r="138" spans="1:5" ht="24" customHeight="1" thickBot="1" x14ac:dyDescent="0.3">
      <c r="A138" s="68">
        <f>SUM(A129:A137)</f>
        <v>5140</v>
      </c>
      <c r="B138" s="69">
        <f>SUM(B129:B137)</f>
        <v>12564</v>
      </c>
      <c r="C138" s="70"/>
      <c r="D138" s="84" t="s">
        <v>94</v>
      </c>
      <c r="E138" s="85">
        <f>1095-1023</f>
        <v>72</v>
      </c>
    </row>
    <row r="139" spans="1:5" ht="19.5" thickBot="1" x14ac:dyDescent="0.3">
      <c r="A139" s="462" t="s">
        <v>139</v>
      </c>
      <c r="B139" s="463"/>
      <c r="C139" s="71" t="s">
        <v>75</v>
      </c>
      <c r="D139" s="82" t="s">
        <v>65</v>
      </c>
      <c r="E139" s="83">
        <v>78</v>
      </c>
    </row>
    <row r="140" spans="1:5" ht="24" thickBot="1" x14ac:dyDescent="0.3">
      <c r="A140" s="464">
        <f>B138+A138</f>
        <v>17704</v>
      </c>
      <c r="B140" s="465"/>
      <c r="C140" s="81">
        <f>64</f>
        <v>64</v>
      </c>
      <c r="D140" s="82"/>
      <c r="E140" s="83"/>
    </row>
    <row r="141" spans="1:5" ht="24" thickBot="1" x14ac:dyDescent="0.3">
      <c r="A141" s="466" t="s">
        <v>99</v>
      </c>
      <c r="B141" s="467"/>
      <c r="C141" s="78">
        <f>A142-C142</f>
        <v>17768</v>
      </c>
      <c r="D141" s="82"/>
      <c r="E141" s="83"/>
    </row>
    <row r="142" spans="1:5" ht="21" thickBot="1" x14ac:dyDescent="0.3">
      <c r="A142" s="481">
        <f>C140+A140</f>
        <v>17768</v>
      </c>
      <c r="B142" s="482"/>
      <c r="C142" s="79"/>
      <c r="D142" s="82" t="s">
        <v>164</v>
      </c>
      <c r="E142" s="83">
        <f>SUM(E139:E141)</f>
        <v>78</v>
      </c>
    </row>
    <row r="143" spans="1:5" ht="18" customHeight="1" thickBot="1" x14ac:dyDescent="0.3">
      <c r="A143"/>
      <c r="B143"/>
      <c r="C143" s="314" t="str">
        <f>IF(C141&gt;0,"زيادة","عجز")</f>
        <v>زيادة</v>
      </c>
    </row>
    <row r="144" spans="1:5" ht="18" customHeight="1" thickBot="1" x14ac:dyDescent="0.3">
      <c r="A144"/>
      <c r="B144"/>
    </row>
    <row r="145" spans="1:5" ht="24" thickBot="1" x14ac:dyDescent="0.3">
      <c r="A145" s="76" t="s">
        <v>6</v>
      </c>
      <c r="B145" s="460">
        <v>45113</v>
      </c>
      <c r="C145" s="461"/>
    </row>
    <row r="146" spans="1:5" ht="21" thickBot="1" x14ac:dyDescent="0.3">
      <c r="A146" s="53" t="s">
        <v>137</v>
      </c>
      <c r="B146" s="53" t="s">
        <v>3</v>
      </c>
      <c r="C146" s="53" t="s">
        <v>138</v>
      </c>
    </row>
    <row r="147" spans="1:5" ht="18.75" thickBot="1" x14ac:dyDescent="0.3">
      <c r="A147" s="55">
        <v>3095</v>
      </c>
      <c r="B147" s="77">
        <v>4440</v>
      </c>
      <c r="C147" s="57"/>
    </row>
    <row r="148" spans="1:5" ht="24" thickBot="1" x14ac:dyDescent="0.3">
      <c r="A148" s="66"/>
      <c r="B148" s="67"/>
      <c r="C148" s="64"/>
      <c r="D148" s="100" t="s">
        <v>43</v>
      </c>
      <c r="E148" s="99">
        <f>E153-E149</f>
        <v>310</v>
      </c>
    </row>
    <row r="149" spans="1:5" ht="21" thickBot="1" x14ac:dyDescent="0.3">
      <c r="A149" s="68">
        <f>SUM(A147:A148)</f>
        <v>3095</v>
      </c>
      <c r="B149" s="69">
        <f>SUM(B147:B148)</f>
        <v>4440</v>
      </c>
      <c r="C149" s="70"/>
      <c r="D149" s="84" t="s">
        <v>94</v>
      </c>
      <c r="E149" s="85"/>
    </row>
    <row r="150" spans="1:5" ht="19.5" thickBot="1" x14ac:dyDescent="0.3">
      <c r="A150" s="462" t="s">
        <v>139</v>
      </c>
      <c r="B150" s="463"/>
      <c r="C150" s="71" t="s">
        <v>75</v>
      </c>
      <c r="D150" s="82" t="s">
        <v>65</v>
      </c>
      <c r="E150" s="83">
        <f>250+60</f>
        <v>310</v>
      </c>
    </row>
    <row r="151" spans="1:5" ht="18" customHeight="1" thickBot="1" x14ac:dyDescent="0.3">
      <c r="A151" s="464">
        <f>B149+A149</f>
        <v>7535</v>
      </c>
      <c r="B151" s="465"/>
      <c r="C151" s="81"/>
      <c r="D151" s="82"/>
      <c r="E151" s="83"/>
    </row>
    <row r="152" spans="1:5" ht="24" thickBot="1" x14ac:dyDescent="0.3">
      <c r="A152" s="466" t="s">
        <v>99</v>
      </c>
      <c r="B152" s="467"/>
      <c r="C152" s="78">
        <f>A153-C153</f>
        <v>195</v>
      </c>
      <c r="D152" s="82"/>
      <c r="E152" s="83"/>
    </row>
    <row r="153" spans="1:5" ht="18" customHeight="1" thickBot="1" x14ac:dyDescent="0.3">
      <c r="A153" s="481">
        <f>C151+A151</f>
        <v>7535</v>
      </c>
      <c r="B153" s="482"/>
      <c r="C153" s="79">
        <v>7340</v>
      </c>
      <c r="D153" s="82" t="s">
        <v>164</v>
      </c>
      <c r="E153" s="83">
        <f>SUM(E150:E152)</f>
        <v>310</v>
      </c>
    </row>
    <row r="154" spans="1:5" ht="18" customHeight="1" thickBot="1" x14ac:dyDescent="0.3">
      <c r="A154"/>
      <c r="B154"/>
      <c r="C154" s="314" t="str">
        <f>IF(C152&gt;0,"زيادة","عجز")</f>
        <v>زيادة</v>
      </c>
    </row>
    <row r="155" spans="1:5" ht="18" customHeight="1" thickBot="1" x14ac:dyDescent="0.3">
      <c r="A155"/>
      <c r="B155"/>
    </row>
    <row r="156" spans="1:5" ht="18" customHeight="1" thickBot="1" x14ac:dyDescent="0.3">
      <c r="A156" s="76" t="s">
        <v>88</v>
      </c>
      <c r="B156" s="460">
        <v>45112</v>
      </c>
      <c r="C156" s="461"/>
    </row>
    <row r="157" spans="1:5" ht="21" thickBot="1" x14ac:dyDescent="0.3">
      <c r="A157" s="53" t="s">
        <v>137</v>
      </c>
      <c r="B157" s="53" t="s">
        <v>3</v>
      </c>
      <c r="C157" s="53" t="s">
        <v>138</v>
      </c>
    </row>
    <row r="158" spans="1:5" ht="18" x14ac:dyDescent="0.25">
      <c r="A158" s="55">
        <v>1810</v>
      </c>
      <c r="B158" s="77">
        <v>11000</v>
      </c>
      <c r="C158" s="57" t="s">
        <v>287</v>
      </c>
    </row>
    <row r="159" spans="1:5" ht="18" x14ac:dyDescent="0.25">
      <c r="A159" s="60"/>
      <c r="B159" s="56">
        <v>95</v>
      </c>
      <c r="C159" s="94" t="s">
        <v>9</v>
      </c>
    </row>
    <row r="160" spans="1:5" ht="18" x14ac:dyDescent="0.25">
      <c r="A160" s="60"/>
      <c r="B160" s="77">
        <v>100</v>
      </c>
      <c r="C160" s="57" t="s">
        <v>341</v>
      </c>
    </row>
    <row r="161" spans="1:5" ht="18" x14ac:dyDescent="0.25">
      <c r="A161" s="60"/>
      <c r="B161" s="77">
        <v>240</v>
      </c>
      <c r="C161" s="94" t="s">
        <v>415</v>
      </c>
    </row>
    <row r="162" spans="1:5" ht="18" x14ac:dyDescent="0.25">
      <c r="A162" s="60"/>
      <c r="B162" s="56">
        <v>225</v>
      </c>
      <c r="C162" s="94" t="s">
        <v>212</v>
      </c>
    </row>
    <row r="163" spans="1:5" ht="18" x14ac:dyDescent="0.25">
      <c r="A163" s="60"/>
      <c r="B163" s="56">
        <v>80</v>
      </c>
      <c r="C163" s="118" t="s">
        <v>7</v>
      </c>
    </row>
    <row r="164" spans="1:5" ht="18" x14ac:dyDescent="0.25">
      <c r="A164" s="60"/>
      <c r="B164" s="56">
        <v>255</v>
      </c>
      <c r="C164" s="94" t="s">
        <v>11</v>
      </c>
    </row>
    <row r="165" spans="1:5" ht="18" customHeight="1" x14ac:dyDescent="0.25">
      <c r="A165" s="60"/>
      <c r="B165" s="56">
        <v>100</v>
      </c>
      <c r="C165" s="94" t="s">
        <v>89</v>
      </c>
    </row>
    <row r="166" spans="1:5" ht="23.25" customHeight="1" x14ac:dyDescent="0.25">
      <c r="A166" s="60"/>
      <c r="B166" s="56">
        <v>490</v>
      </c>
      <c r="C166" s="94" t="s">
        <v>39</v>
      </c>
    </row>
    <row r="167" spans="1:5" ht="21.75" customHeight="1" x14ac:dyDescent="0.25">
      <c r="A167" s="60"/>
      <c r="B167" s="56">
        <v>410</v>
      </c>
      <c r="C167" s="94" t="s">
        <v>417</v>
      </c>
    </row>
    <row r="168" spans="1:5" ht="18" customHeight="1" thickBot="1" x14ac:dyDescent="0.3">
      <c r="A168" s="60"/>
      <c r="B168" s="56">
        <v>255</v>
      </c>
      <c r="C168" s="94" t="s">
        <v>416</v>
      </c>
    </row>
    <row r="169" spans="1:5" ht="24" thickBot="1" x14ac:dyDescent="0.3">
      <c r="A169" s="66"/>
      <c r="B169" s="67"/>
      <c r="C169" s="64"/>
      <c r="D169" s="100" t="s">
        <v>43</v>
      </c>
      <c r="E169" s="99">
        <f>E174-E170</f>
        <v>21</v>
      </c>
    </row>
    <row r="170" spans="1:5" ht="21" thickBot="1" x14ac:dyDescent="0.3">
      <c r="A170" s="68">
        <f>SUM(A158:A169)</f>
        <v>1810</v>
      </c>
      <c r="B170" s="69">
        <f>SUM(B158:B169)</f>
        <v>13250</v>
      </c>
      <c r="C170" s="70"/>
      <c r="D170" s="84" t="s">
        <v>94</v>
      </c>
      <c r="E170" s="85">
        <f>709+1296-716-1115</f>
        <v>174</v>
      </c>
    </row>
    <row r="171" spans="1:5" ht="19.5" thickBot="1" x14ac:dyDescent="0.3">
      <c r="A171" s="462" t="s">
        <v>139</v>
      </c>
      <c r="B171" s="463"/>
      <c r="C171" s="71" t="s">
        <v>75</v>
      </c>
      <c r="D171" s="82" t="s">
        <v>65</v>
      </c>
      <c r="E171" s="83">
        <v>180</v>
      </c>
    </row>
    <row r="172" spans="1:5" ht="24" thickBot="1" x14ac:dyDescent="0.3">
      <c r="A172" s="464">
        <f>B170+A170</f>
        <v>15060</v>
      </c>
      <c r="B172" s="465"/>
      <c r="C172" s="81">
        <f>150+311+200</f>
        <v>661</v>
      </c>
      <c r="D172" s="82" t="s">
        <v>54</v>
      </c>
      <c r="E172" s="83">
        <v>15</v>
      </c>
    </row>
    <row r="173" spans="1:5" ht="24" thickBot="1" x14ac:dyDescent="0.3">
      <c r="A173" s="466" t="s">
        <v>99</v>
      </c>
      <c r="B173" s="467"/>
      <c r="C173" s="78">
        <f>A174-C174</f>
        <v>19</v>
      </c>
      <c r="D173" s="82"/>
      <c r="E173" s="83"/>
    </row>
    <row r="174" spans="1:5" ht="21" thickBot="1" x14ac:dyDescent="0.3">
      <c r="A174" s="481">
        <f>C172+A172</f>
        <v>15721</v>
      </c>
      <c r="B174" s="482"/>
      <c r="C174" s="79">
        <v>15702</v>
      </c>
      <c r="D174" s="82" t="s">
        <v>164</v>
      </c>
      <c r="E174" s="83">
        <f>SUM(E171:E173)</f>
        <v>195</v>
      </c>
    </row>
    <row r="175" spans="1:5" ht="24" thickBot="1" x14ac:dyDescent="0.3">
      <c r="A175"/>
      <c r="B175"/>
      <c r="C175" s="314" t="str">
        <f>IF(C173&gt;0,"زيادة","عجز")</f>
        <v>زيادة</v>
      </c>
    </row>
    <row r="176" spans="1:5" ht="15.75" thickBot="1" x14ac:dyDescent="0.3">
      <c r="A176"/>
      <c r="B176"/>
    </row>
    <row r="177" spans="1:5" ht="24" thickBot="1" x14ac:dyDescent="0.3">
      <c r="A177" s="76" t="s">
        <v>29</v>
      </c>
      <c r="B177" s="460">
        <v>45113</v>
      </c>
      <c r="C177" s="461"/>
    </row>
    <row r="178" spans="1:5" ht="21" thickBot="1" x14ac:dyDescent="0.3">
      <c r="A178" s="53" t="s">
        <v>137</v>
      </c>
      <c r="B178" s="53" t="s">
        <v>3</v>
      </c>
      <c r="C178" s="53" t="s">
        <v>138</v>
      </c>
    </row>
    <row r="179" spans="1:5" ht="18" x14ac:dyDescent="0.25">
      <c r="A179" s="55">
        <f>5000+800+500+490</f>
        <v>6790</v>
      </c>
      <c r="B179" s="77">
        <v>425</v>
      </c>
      <c r="C179" s="57" t="s">
        <v>421</v>
      </c>
    </row>
    <row r="180" spans="1:5" ht="18" x14ac:dyDescent="0.25">
      <c r="A180" s="60"/>
      <c r="B180" s="56">
        <v>1800</v>
      </c>
      <c r="C180" s="94" t="s">
        <v>420</v>
      </c>
    </row>
    <row r="181" spans="1:5" ht="18" x14ac:dyDescent="0.25">
      <c r="A181" s="60"/>
      <c r="B181" s="77">
        <v>30</v>
      </c>
      <c r="C181" s="57" t="s">
        <v>422</v>
      </c>
    </row>
    <row r="182" spans="1:5" ht="18" x14ac:dyDescent="0.25">
      <c r="A182" s="60"/>
      <c r="B182" s="77">
        <v>9</v>
      </c>
      <c r="C182" s="94" t="s">
        <v>423</v>
      </c>
    </row>
    <row r="183" spans="1:5" ht="18.75" thickBot="1" x14ac:dyDescent="0.3">
      <c r="A183" s="60"/>
      <c r="B183" s="56">
        <v>5</v>
      </c>
      <c r="C183" s="94" t="s">
        <v>424</v>
      </c>
    </row>
    <row r="184" spans="1:5" ht="24" thickBot="1" x14ac:dyDescent="0.3">
      <c r="A184" s="66"/>
      <c r="B184" s="67"/>
      <c r="C184" s="64"/>
      <c r="D184" s="100" t="s">
        <v>43</v>
      </c>
      <c r="E184" s="99">
        <f>E189-E185</f>
        <v>0</v>
      </c>
    </row>
    <row r="185" spans="1:5" ht="21" thickBot="1" x14ac:dyDescent="0.3">
      <c r="A185" s="68">
        <f>SUM(A179:A184)</f>
        <v>6790</v>
      </c>
      <c r="B185" s="69">
        <f>SUM(B179:B184)</f>
        <v>2269</v>
      </c>
      <c r="C185" s="70"/>
      <c r="D185" s="84" t="s">
        <v>94</v>
      </c>
      <c r="E185" s="85"/>
    </row>
    <row r="186" spans="1:5" ht="19.5" thickBot="1" x14ac:dyDescent="0.3">
      <c r="A186" s="462" t="s">
        <v>139</v>
      </c>
      <c r="B186" s="463"/>
      <c r="C186" s="71" t="s">
        <v>75</v>
      </c>
      <c r="D186" s="82" t="s">
        <v>65</v>
      </c>
      <c r="E186" s="83"/>
    </row>
    <row r="187" spans="1:5" ht="24" thickBot="1" x14ac:dyDescent="0.3">
      <c r="A187" s="464">
        <f>B185+A185</f>
        <v>9059</v>
      </c>
      <c r="B187" s="465"/>
      <c r="C187" s="81"/>
      <c r="D187" s="82" t="s">
        <v>54</v>
      </c>
      <c r="E187" s="83"/>
    </row>
    <row r="188" spans="1:5" ht="24" thickBot="1" x14ac:dyDescent="0.3">
      <c r="A188" s="466" t="s">
        <v>99</v>
      </c>
      <c r="B188" s="467"/>
      <c r="C188" s="78">
        <f>A189-C189</f>
        <v>5.5</v>
      </c>
      <c r="D188" s="82"/>
      <c r="E188" s="83"/>
    </row>
    <row r="189" spans="1:5" ht="21" thickBot="1" x14ac:dyDescent="0.3">
      <c r="A189" s="481">
        <f>C187+A187</f>
        <v>9059</v>
      </c>
      <c r="B189" s="482"/>
      <c r="C189" s="79">
        <v>9053.5</v>
      </c>
      <c r="D189" s="82" t="s">
        <v>164</v>
      </c>
      <c r="E189" s="83">
        <f>SUM(E186:E188)</f>
        <v>0</v>
      </c>
    </row>
    <row r="190" spans="1:5" ht="23.25" customHeight="1" thickBot="1" x14ac:dyDescent="0.3">
      <c r="A190"/>
      <c r="B190"/>
      <c r="C190" s="314" t="str">
        <f>IF(C188&gt;0,"زيادة","عجز")</f>
        <v>زيادة</v>
      </c>
    </row>
    <row r="191" spans="1:5" x14ac:dyDescent="0.25">
      <c r="A191"/>
      <c r="B191"/>
    </row>
    <row r="192" spans="1:5" ht="15.75" thickBot="1" x14ac:dyDescent="0.3">
      <c r="A192"/>
      <c r="B192"/>
    </row>
    <row r="193" spans="1:5" ht="24" thickBot="1" x14ac:dyDescent="0.3">
      <c r="A193" s="76" t="s">
        <v>300</v>
      </c>
      <c r="B193" s="460">
        <v>45113</v>
      </c>
      <c r="C193" s="461"/>
    </row>
    <row r="194" spans="1:5" ht="21" thickBot="1" x14ac:dyDescent="0.3">
      <c r="A194" s="53" t="s">
        <v>137</v>
      </c>
      <c r="B194" s="53" t="s">
        <v>3</v>
      </c>
      <c r="C194" s="53" t="s">
        <v>138</v>
      </c>
    </row>
    <row r="195" spans="1:5" ht="18" x14ac:dyDescent="0.25">
      <c r="A195" s="55">
        <f>3065-20</f>
        <v>3045</v>
      </c>
      <c r="B195" s="77">
        <v>130</v>
      </c>
      <c r="C195" s="57" t="s">
        <v>78</v>
      </c>
    </row>
    <row r="196" spans="1:5" ht="18" x14ac:dyDescent="0.25">
      <c r="A196" s="60"/>
      <c r="B196" s="56">
        <v>1000</v>
      </c>
      <c r="C196" s="94" t="s">
        <v>74</v>
      </c>
    </row>
    <row r="197" spans="1:5" ht="18" x14ac:dyDescent="0.25">
      <c r="A197" s="60"/>
      <c r="B197" s="77">
        <v>180</v>
      </c>
      <c r="C197" s="57" t="s">
        <v>425</v>
      </c>
    </row>
    <row r="198" spans="1:5" ht="18" x14ac:dyDescent="0.25">
      <c r="A198" s="60"/>
      <c r="B198" s="77">
        <v>3000</v>
      </c>
      <c r="C198" s="94" t="s">
        <v>426</v>
      </c>
    </row>
    <row r="199" spans="1:5" ht="18.75" thickBot="1" x14ac:dyDescent="0.3">
      <c r="A199" s="60"/>
      <c r="B199" s="56">
        <v>6000</v>
      </c>
      <c r="C199" s="94" t="s">
        <v>368</v>
      </c>
    </row>
    <row r="200" spans="1:5" ht="24" thickBot="1" x14ac:dyDescent="0.3">
      <c r="A200" s="66"/>
      <c r="B200" s="67"/>
      <c r="C200" s="64"/>
      <c r="D200" s="100" t="s">
        <v>43</v>
      </c>
      <c r="E200" s="99">
        <f>E205-E201</f>
        <v>36</v>
      </c>
    </row>
    <row r="201" spans="1:5" ht="21" thickBot="1" x14ac:dyDescent="0.3">
      <c r="A201" s="68">
        <f>SUM(A195:A200)</f>
        <v>3045</v>
      </c>
      <c r="B201" s="69">
        <f>SUM(B195:B200)</f>
        <v>10310</v>
      </c>
      <c r="C201" s="70"/>
      <c r="D201" s="84" t="s">
        <v>94</v>
      </c>
      <c r="E201" s="85">
        <f>9777-7880</f>
        <v>1897</v>
      </c>
    </row>
    <row r="202" spans="1:5" ht="19.5" thickBot="1" x14ac:dyDescent="0.3">
      <c r="A202" s="462" t="s">
        <v>139</v>
      </c>
      <c r="B202" s="463"/>
      <c r="C202" s="71" t="s">
        <v>75</v>
      </c>
      <c r="D202" s="82" t="s">
        <v>65</v>
      </c>
      <c r="E202" s="83">
        <f>1400+300+5</f>
        <v>1705</v>
      </c>
    </row>
    <row r="203" spans="1:5" ht="24" thickBot="1" x14ac:dyDescent="0.3">
      <c r="A203" s="464">
        <f>B201+A201</f>
        <v>13355</v>
      </c>
      <c r="B203" s="465"/>
      <c r="C203" s="81"/>
      <c r="D203" s="82" t="s">
        <v>427</v>
      </c>
      <c r="E203" s="83">
        <f>143+65</f>
        <v>208</v>
      </c>
    </row>
    <row r="204" spans="1:5" ht="21.75" customHeight="1" thickBot="1" x14ac:dyDescent="0.3">
      <c r="A204" s="466" t="s">
        <v>99</v>
      </c>
      <c r="B204" s="467"/>
      <c r="C204" s="78">
        <f>A205-C205</f>
        <v>6</v>
      </c>
      <c r="D204" s="82" t="s">
        <v>428</v>
      </c>
      <c r="E204" s="83">
        <f>20</f>
        <v>20</v>
      </c>
    </row>
    <row r="205" spans="1:5" ht="21" customHeight="1" thickBot="1" x14ac:dyDescent="0.3">
      <c r="A205" s="481">
        <f>C203+A203</f>
        <v>13355</v>
      </c>
      <c r="B205" s="482"/>
      <c r="C205" s="79">
        <v>13349</v>
      </c>
      <c r="D205" s="82" t="s">
        <v>164</v>
      </c>
      <c r="E205" s="83">
        <f>SUM(E202:E204)</f>
        <v>1933</v>
      </c>
    </row>
    <row r="206" spans="1:5" ht="24" thickBot="1" x14ac:dyDescent="0.3">
      <c r="A206"/>
      <c r="B206"/>
      <c r="C206" s="314" t="str">
        <f>IF(C204&gt;0,"زيادة","عجز")</f>
        <v>زيادة</v>
      </c>
    </row>
    <row r="207" spans="1:5" ht="19.5" customHeight="1" thickBot="1" x14ac:dyDescent="0.3">
      <c r="A207"/>
      <c r="B207"/>
    </row>
    <row r="208" spans="1:5" ht="19.5" customHeight="1" thickBot="1" x14ac:dyDescent="0.3">
      <c r="A208" s="76" t="s">
        <v>85</v>
      </c>
      <c r="B208" s="460">
        <v>45113</v>
      </c>
      <c r="C208" s="461"/>
    </row>
    <row r="209" spans="1:5" ht="21" thickBot="1" x14ac:dyDescent="0.3">
      <c r="A209" s="53" t="s">
        <v>137</v>
      </c>
      <c r="B209" s="53" t="s">
        <v>3</v>
      </c>
      <c r="C209" s="53" t="s">
        <v>138</v>
      </c>
    </row>
    <row r="210" spans="1:5" ht="18" x14ac:dyDescent="0.25">
      <c r="A210" s="55">
        <f>10000+2705</f>
        <v>12705</v>
      </c>
      <c r="B210" s="77">
        <v>100</v>
      </c>
      <c r="C210" s="57" t="s">
        <v>433</v>
      </c>
    </row>
    <row r="211" spans="1:5" ht="18" x14ac:dyDescent="0.25">
      <c r="A211" s="60"/>
      <c r="B211" s="56">
        <v>95</v>
      </c>
      <c r="C211" s="94" t="s">
        <v>432</v>
      </c>
    </row>
    <row r="212" spans="1:5" ht="18" x14ac:dyDescent="0.25">
      <c r="A212" s="60"/>
      <c r="B212" s="77">
        <v>155</v>
      </c>
      <c r="C212" s="57" t="s">
        <v>434</v>
      </c>
    </row>
    <row r="213" spans="1:5" ht="18" x14ac:dyDescent="0.25">
      <c r="A213" s="60"/>
      <c r="B213" s="77">
        <v>120</v>
      </c>
      <c r="C213" s="94" t="s">
        <v>435</v>
      </c>
    </row>
    <row r="214" spans="1:5" ht="18.75" thickBot="1" x14ac:dyDescent="0.3">
      <c r="A214" s="60"/>
      <c r="B214" s="56"/>
      <c r="C214" s="94"/>
    </row>
    <row r="215" spans="1:5" ht="24" thickBot="1" x14ac:dyDescent="0.3">
      <c r="A215" s="66"/>
      <c r="B215" s="67"/>
      <c r="C215" s="64"/>
      <c r="D215" s="100" t="s">
        <v>43</v>
      </c>
      <c r="E215" s="99">
        <f>E220-E216</f>
        <v>0</v>
      </c>
    </row>
    <row r="216" spans="1:5" ht="21" thickBot="1" x14ac:dyDescent="0.3">
      <c r="A216" s="68">
        <f>SUM(A210:A215)</f>
        <v>12705</v>
      </c>
      <c r="B216" s="69">
        <f>SUM(B210:B215)</f>
        <v>470</v>
      </c>
      <c r="C216" s="70"/>
      <c r="D216" s="84" t="s">
        <v>94</v>
      </c>
      <c r="E216" s="85"/>
    </row>
    <row r="217" spans="1:5" ht="19.5" thickBot="1" x14ac:dyDescent="0.3">
      <c r="A217" s="462" t="s">
        <v>139</v>
      </c>
      <c r="B217" s="463"/>
      <c r="C217" s="71" t="s">
        <v>75</v>
      </c>
      <c r="D217" s="82" t="s">
        <v>65</v>
      </c>
      <c r="E217" s="83"/>
    </row>
    <row r="218" spans="1:5" ht="24" thickBot="1" x14ac:dyDescent="0.3">
      <c r="A218" s="464">
        <f>B216+A216</f>
        <v>13175</v>
      </c>
      <c r="B218" s="465"/>
      <c r="C218" s="81">
        <f>85+35+268</f>
        <v>388</v>
      </c>
      <c r="D218" s="82" t="s">
        <v>427</v>
      </c>
      <c r="E218" s="83"/>
    </row>
    <row r="219" spans="1:5" ht="24" thickBot="1" x14ac:dyDescent="0.3">
      <c r="A219" s="466" t="s">
        <v>99</v>
      </c>
      <c r="B219" s="467"/>
      <c r="C219" s="78">
        <f>A220-C220</f>
        <v>177</v>
      </c>
      <c r="D219" s="82" t="s">
        <v>428</v>
      </c>
      <c r="E219" s="83"/>
    </row>
    <row r="220" spans="1:5" ht="21" thickBot="1" x14ac:dyDescent="0.3">
      <c r="A220" s="481">
        <f>C218+A218</f>
        <v>13563</v>
      </c>
      <c r="B220" s="482"/>
      <c r="C220" s="79">
        <v>13386</v>
      </c>
      <c r="D220" s="82" t="s">
        <v>164</v>
      </c>
      <c r="E220" s="83">
        <f>SUM(E217:E219)</f>
        <v>0</v>
      </c>
    </row>
    <row r="221" spans="1:5" ht="24" thickBot="1" x14ac:dyDescent="0.3">
      <c r="A221"/>
      <c r="B221"/>
      <c r="C221" s="314" t="str">
        <f>IF(C219&gt;0,"زيادة","عجز")</f>
        <v>زيادة</v>
      </c>
    </row>
    <row r="222" spans="1:5" x14ac:dyDescent="0.25">
      <c r="A222"/>
      <c r="B222"/>
    </row>
    <row r="223" spans="1:5" x14ac:dyDescent="0.25">
      <c r="A223"/>
      <c r="B223"/>
    </row>
    <row r="224" spans="1:5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6" x14ac:dyDescent="0.25">
      <c r="A321"/>
      <c r="B321"/>
    </row>
    <row r="322" spans="1:6" x14ac:dyDescent="0.25">
      <c r="A322"/>
      <c r="B322"/>
    </row>
    <row r="323" spans="1:6" x14ac:dyDescent="0.25">
      <c r="A323"/>
      <c r="B323"/>
    </row>
    <row r="324" spans="1:6" x14ac:dyDescent="0.25">
      <c r="A324"/>
      <c r="B324"/>
    </row>
    <row r="325" spans="1:6" x14ac:dyDescent="0.25">
      <c r="A325"/>
      <c r="B325"/>
    </row>
    <row r="326" spans="1:6" x14ac:dyDescent="0.25">
      <c r="A326"/>
      <c r="B326"/>
      <c r="F326">
        <f>2778+2841-2043-2544</f>
        <v>1032</v>
      </c>
    </row>
    <row r="327" spans="1:6" x14ac:dyDescent="0.25">
      <c r="A327"/>
      <c r="B327"/>
      <c r="F327">
        <v>920</v>
      </c>
    </row>
    <row r="328" spans="1:6" x14ac:dyDescent="0.25">
      <c r="A328"/>
      <c r="B328"/>
    </row>
    <row r="329" spans="1:6" x14ac:dyDescent="0.25">
      <c r="A329"/>
      <c r="B329"/>
    </row>
    <row r="330" spans="1:6" x14ac:dyDescent="0.25">
      <c r="A330"/>
      <c r="B330"/>
    </row>
    <row r="331" spans="1:6" x14ac:dyDescent="0.25">
      <c r="A331"/>
      <c r="B331"/>
    </row>
    <row r="332" spans="1:6" x14ac:dyDescent="0.25">
      <c r="A332"/>
      <c r="B332"/>
    </row>
    <row r="333" spans="1:6" x14ac:dyDescent="0.25">
      <c r="A333"/>
      <c r="B333"/>
    </row>
    <row r="334" spans="1:6" x14ac:dyDescent="0.25">
      <c r="A334"/>
      <c r="B334"/>
    </row>
    <row r="335" spans="1:6" x14ac:dyDescent="0.25">
      <c r="A335"/>
      <c r="B335"/>
    </row>
    <row r="336" spans="1:6" x14ac:dyDescent="0.25">
      <c r="A336"/>
      <c r="B336"/>
    </row>
    <row r="337" spans="1:7" x14ac:dyDescent="0.25">
      <c r="A337"/>
      <c r="B337"/>
    </row>
    <row r="338" spans="1:7" x14ac:dyDescent="0.25">
      <c r="A338"/>
      <c r="B338"/>
    </row>
    <row r="339" spans="1:7" x14ac:dyDescent="0.25">
      <c r="A339"/>
      <c r="B339"/>
    </row>
    <row r="340" spans="1:7" x14ac:dyDescent="0.25">
      <c r="A340"/>
      <c r="B340"/>
    </row>
    <row r="341" spans="1:7" x14ac:dyDescent="0.25">
      <c r="A341"/>
      <c r="B341"/>
    </row>
    <row r="342" spans="1:7" x14ac:dyDescent="0.25">
      <c r="A342"/>
      <c r="B342"/>
    </row>
    <row r="343" spans="1:7" x14ac:dyDescent="0.25">
      <c r="A343"/>
      <c r="B343"/>
    </row>
    <row r="344" spans="1:7" x14ac:dyDescent="0.25">
      <c r="A344"/>
      <c r="B344"/>
    </row>
    <row r="345" spans="1:7" x14ac:dyDescent="0.25">
      <c r="A345"/>
      <c r="B345"/>
    </row>
    <row r="346" spans="1:7" x14ac:dyDescent="0.25">
      <c r="A346"/>
      <c r="B346"/>
      <c r="G346" t="e">
        <f>#REF!-#REF!</f>
        <v>#REF!</v>
      </c>
    </row>
    <row r="347" spans="1:7" x14ac:dyDescent="0.25">
      <c r="A347"/>
      <c r="B347"/>
    </row>
    <row r="348" spans="1:7" x14ac:dyDescent="0.25">
      <c r="A348"/>
      <c r="B348"/>
    </row>
    <row r="349" spans="1:7" x14ac:dyDescent="0.25">
      <c r="A349"/>
      <c r="B349"/>
    </row>
    <row r="350" spans="1:7" x14ac:dyDescent="0.25">
      <c r="A350"/>
      <c r="B350"/>
    </row>
    <row r="351" spans="1:7" x14ac:dyDescent="0.25">
      <c r="A351"/>
      <c r="B351"/>
    </row>
    <row r="352" spans="1:7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</sheetData>
  <mergeCells count="40">
    <mergeCell ref="B91:C91"/>
    <mergeCell ref="A103:B103"/>
    <mergeCell ref="A104:B104"/>
    <mergeCell ref="A105:B105"/>
    <mergeCell ref="A106:B106"/>
    <mergeCell ref="A202:B202"/>
    <mergeCell ref="A203:B203"/>
    <mergeCell ref="A171:B171"/>
    <mergeCell ref="A172:B172"/>
    <mergeCell ref="A173:B173"/>
    <mergeCell ref="A174:B174"/>
    <mergeCell ref="A151:B151"/>
    <mergeCell ref="B109:C109"/>
    <mergeCell ref="A121:B121"/>
    <mergeCell ref="A122:B122"/>
    <mergeCell ref="A123:B123"/>
    <mergeCell ref="A124:B124"/>
    <mergeCell ref="B127:C127"/>
    <mergeCell ref="A139:B139"/>
    <mergeCell ref="A140:B140"/>
    <mergeCell ref="A141:B141"/>
    <mergeCell ref="A142:B142"/>
    <mergeCell ref="B145:C145"/>
    <mergeCell ref="A150:B150"/>
    <mergeCell ref="A204:B204"/>
    <mergeCell ref="B208:C208"/>
    <mergeCell ref="A219:B219"/>
    <mergeCell ref="A220:B220"/>
    <mergeCell ref="A152:B152"/>
    <mergeCell ref="A153:B153"/>
    <mergeCell ref="B156:C156"/>
    <mergeCell ref="B177:C177"/>
    <mergeCell ref="A187:B187"/>
    <mergeCell ref="A188:B188"/>
    <mergeCell ref="A218:B218"/>
    <mergeCell ref="A217:B217"/>
    <mergeCell ref="A186:B186"/>
    <mergeCell ref="A205:B205"/>
    <mergeCell ref="A189:B189"/>
    <mergeCell ref="B193:C193"/>
  </mergeCells>
  <conditionalFormatting sqref="C107">
    <cfRule type="expression" dxfId="139" priority="15">
      <formula>C107="عجز"</formula>
    </cfRule>
    <cfRule type="expression" dxfId="138" priority="16">
      <formula>C107="زيادة"</formula>
    </cfRule>
  </conditionalFormatting>
  <conditionalFormatting sqref="C125">
    <cfRule type="expression" dxfId="137" priority="13">
      <formula>C125="عجز"</formula>
    </cfRule>
    <cfRule type="expression" dxfId="136" priority="14">
      <formula>C125="زيادة"</formula>
    </cfRule>
  </conditionalFormatting>
  <conditionalFormatting sqref="C143">
    <cfRule type="expression" dxfId="135" priority="11">
      <formula>C143="عجز"</formula>
    </cfRule>
    <cfRule type="expression" dxfId="134" priority="12">
      <formula>C143="زيادة"</formula>
    </cfRule>
  </conditionalFormatting>
  <conditionalFormatting sqref="C154">
    <cfRule type="expression" dxfId="133" priority="9">
      <formula>C154="عجز"</formula>
    </cfRule>
    <cfRule type="expression" dxfId="132" priority="10">
      <formula>C154="زيادة"</formula>
    </cfRule>
  </conditionalFormatting>
  <conditionalFormatting sqref="C175">
    <cfRule type="expression" dxfId="131" priority="7">
      <formula>C175="عجز"</formula>
    </cfRule>
    <cfRule type="expression" dxfId="130" priority="8">
      <formula>C175="زيادة"</formula>
    </cfRule>
  </conditionalFormatting>
  <conditionalFormatting sqref="C190">
    <cfRule type="expression" dxfId="129" priority="5">
      <formula>C190="عجز"</formula>
    </cfRule>
    <cfRule type="expression" dxfId="128" priority="6">
      <formula>C190="زيادة"</formula>
    </cfRule>
  </conditionalFormatting>
  <conditionalFormatting sqref="C206">
    <cfRule type="expression" dxfId="127" priority="3">
      <formula>C206="عجز"</formula>
    </cfRule>
    <cfRule type="expression" dxfId="126" priority="4">
      <formula>C206="زيادة"</formula>
    </cfRule>
  </conditionalFormatting>
  <conditionalFormatting sqref="C221">
    <cfRule type="expression" dxfId="125" priority="1">
      <formula>C221="عجز"</formula>
    </cfRule>
    <cfRule type="expression" dxfId="124" priority="2">
      <formula>C221="زيادة"</formula>
    </cfRule>
  </conditionalFormatting>
  <pageMargins left="0.7" right="0.7" top="0.75" bottom="0.75" header="0.3" footer="0.3"/>
  <pageSetup paperSize="260" orientation="portrait" horizontalDpi="203" verticalDpi="20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AA41C8-A272-4AB0-B208-4C0BA39090B8}">
          <x14:formula1>
            <xm:f>data!$A$57:$A$70</xm:f>
          </x14:formula1>
          <xm:sqref>C79:C85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1A8CB-33FA-4556-B883-B5D3CAEFBAE9}">
  <sheetPr codeName="Sheet19"/>
  <dimension ref="A1:K418"/>
  <sheetViews>
    <sheetView rightToLeft="1" topLeftCell="A156" zoomScale="115" zoomScaleNormal="115" workbookViewId="0">
      <selection activeCell="E167" sqref="E167"/>
    </sheetView>
  </sheetViews>
  <sheetFormatPr defaultRowHeight="15" x14ac:dyDescent="0.25"/>
  <cols>
    <col min="1" max="1" width="32.85546875" style="9" bestFit="1" customWidth="1"/>
    <col min="2" max="2" width="15.140625" style="10" bestFit="1" customWidth="1"/>
    <col min="3" max="3" width="31" customWidth="1"/>
    <col min="4" max="4" width="21" customWidth="1"/>
    <col min="5" max="5" width="24.140625" customWidth="1"/>
    <col min="6" max="6" width="6.7109375" bestFit="1" customWidth="1"/>
    <col min="7" max="7" width="45.85546875" customWidth="1"/>
    <col min="8" max="8" width="14.5703125" customWidth="1"/>
    <col min="9" max="9" width="10.7109375" customWidth="1"/>
  </cols>
  <sheetData>
    <row r="1" spans="1:5" ht="18.75" x14ac:dyDescent="0.3">
      <c r="A1" s="1" t="s">
        <v>0</v>
      </c>
      <c r="B1" s="2">
        <v>45115</v>
      </c>
      <c r="C1" s="3"/>
      <c r="D1" s="3"/>
    </row>
    <row r="2" spans="1:5" x14ac:dyDescent="0.25">
      <c r="A2" s="4" t="s">
        <v>1</v>
      </c>
      <c r="B2" s="5" t="s">
        <v>2</v>
      </c>
      <c r="C2" s="5" t="s">
        <v>3</v>
      </c>
      <c r="D2" s="6" t="s">
        <v>4</v>
      </c>
      <c r="E2" s="5" t="s">
        <v>5</v>
      </c>
    </row>
    <row r="3" spans="1:5" x14ac:dyDescent="0.25">
      <c r="A3" s="19" t="s">
        <v>48</v>
      </c>
      <c r="B3" s="21">
        <v>45</v>
      </c>
      <c r="C3" s="90" t="s">
        <v>17</v>
      </c>
      <c r="D3" s="120">
        <v>1255</v>
      </c>
      <c r="E3" s="122"/>
    </row>
    <row r="4" spans="1:5" x14ac:dyDescent="0.25">
      <c r="A4" s="20" t="s">
        <v>271</v>
      </c>
      <c r="B4" s="21">
        <v>655</v>
      </c>
      <c r="C4" s="90" t="s">
        <v>34</v>
      </c>
      <c r="D4" s="91">
        <v>390</v>
      </c>
      <c r="E4" s="123"/>
    </row>
    <row r="5" spans="1:5" x14ac:dyDescent="0.25">
      <c r="A5" s="20" t="s">
        <v>35</v>
      </c>
      <c r="B5" s="21">
        <v>20</v>
      </c>
      <c r="C5" s="90" t="s">
        <v>8</v>
      </c>
      <c r="D5" s="91">
        <v>330</v>
      </c>
      <c r="E5" s="123"/>
    </row>
    <row r="6" spans="1:5" x14ac:dyDescent="0.25">
      <c r="A6" s="20" t="s">
        <v>443</v>
      </c>
      <c r="B6" s="21">
        <v>200</v>
      </c>
      <c r="C6" s="90" t="s">
        <v>9</v>
      </c>
      <c r="D6" s="91">
        <v>261</v>
      </c>
      <c r="E6" s="123"/>
    </row>
    <row r="7" spans="1:5" x14ac:dyDescent="0.25">
      <c r="A7" s="20" t="s">
        <v>444</v>
      </c>
      <c r="B7" s="21">
        <v>6800</v>
      </c>
      <c r="C7" s="20" t="s">
        <v>12</v>
      </c>
      <c r="D7" s="91">
        <v>995</v>
      </c>
      <c r="E7" s="123"/>
    </row>
    <row r="8" spans="1:5" x14ac:dyDescent="0.25">
      <c r="A8" s="20" t="s">
        <v>80</v>
      </c>
      <c r="B8" s="21">
        <f>16435+61+10+140</f>
        <v>16646</v>
      </c>
      <c r="C8" s="20" t="s">
        <v>449</v>
      </c>
      <c r="D8" s="91">
        <v>7</v>
      </c>
      <c r="E8" s="123"/>
    </row>
    <row r="9" spans="1:5" x14ac:dyDescent="0.25">
      <c r="A9" s="20" t="s">
        <v>81</v>
      </c>
      <c r="B9" s="21">
        <v>949</v>
      </c>
      <c r="C9" s="90" t="s">
        <v>211</v>
      </c>
      <c r="D9" s="96">
        <v>225</v>
      </c>
      <c r="E9" s="124"/>
    </row>
    <row r="10" spans="1:5" x14ac:dyDescent="0.25">
      <c r="A10" s="20" t="s">
        <v>9</v>
      </c>
      <c r="B10" s="21">
        <v>20996</v>
      </c>
      <c r="C10" s="90" t="s">
        <v>73</v>
      </c>
      <c r="D10" s="96">
        <v>35</v>
      </c>
      <c r="E10" s="124"/>
    </row>
    <row r="11" spans="1:5" x14ac:dyDescent="0.25">
      <c r="A11" s="20" t="s">
        <v>28</v>
      </c>
      <c r="B11" s="21">
        <v>1185</v>
      </c>
      <c r="C11" s="90" t="s">
        <v>445</v>
      </c>
      <c r="D11" s="96">
        <v>30</v>
      </c>
      <c r="E11" s="124"/>
    </row>
    <row r="12" spans="1:5" x14ac:dyDescent="0.25">
      <c r="A12" s="20" t="s">
        <v>452</v>
      </c>
      <c r="B12" s="21">
        <v>16520</v>
      </c>
      <c r="C12" s="20" t="s">
        <v>358</v>
      </c>
      <c r="D12" s="96">
        <v>170</v>
      </c>
      <c r="E12" s="125"/>
    </row>
    <row r="13" spans="1:5" ht="18" x14ac:dyDescent="0.25">
      <c r="A13" s="20" t="s">
        <v>131</v>
      </c>
      <c r="B13" s="96">
        <v>605</v>
      </c>
      <c r="C13" s="90" t="s">
        <v>10</v>
      </c>
      <c r="D13" s="96">
        <v>90</v>
      </c>
      <c r="E13" s="77"/>
    </row>
    <row r="14" spans="1:5" ht="18" x14ac:dyDescent="0.25">
      <c r="A14" s="20" t="s">
        <v>454</v>
      </c>
      <c r="B14" s="96">
        <v>100</v>
      </c>
      <c r="C14" s="90" t="s">
        <v>448</v>
      </c>
      <c r="D14" s="96">
        <v>24</v>
      </c>
      <c r="E14" s="77"/>
    </row>
    <row r="15" spans="1:5" ht="18" x14ac:dyDescent="0.25">
      <c r="A15" s="20" t="s">
        <v>454</v>
      </c>
      <c r="B15" s="96">
        <v>360</v>
      </c>
      <c r="C15" s="20" t="s">
        <v>393</v>
      </c>
      <c r="D15" s="96">
        <v>120</v>
      </c>
      <c r="E15" s="56"/>
    </row>
    <row r="16" spans="1:5" ht="18" x14ac:dyDescent="0.25">
      <c r="A16" s="20" t="s">
        <v>454</v>
      </c>
      <c r="B16" s="96">
        <v>405</v>
      </c>
      <c r="C16" s="20" t="s">
        <v>9</v>
      </c>
      <c r="D16" s="117">
        <v>100</v>
      </c>
      <c r="E16" s="56"/>
    </row>
    <row r="17" spans="1:7" ht="18" x14ac:dyDescent="0.25">
      <c r="A17" s="20" t="s">
        <v>300</v>
      </c>
      <c r="B17" s="96">
        <f>1600+500+40+35+10</f>
        <v>2185</v>
      </c>
      <c r="C17" s="90" t="s">
        <v>255</v>
      </c>
      <c r="D17" s="117">
        <v>155</v>
      </c>
      <c r="E17" s="56"/>
    </row>
    <row r="18" spans="1:7" ht="18" x14ac:dyDescent="0.25">
      <c r="A18" s="20" t="s">
        <v>457</v>
      </c>
      <c r="B18" s="96">
        <v>1265</v>
      </c>
      <c r="C18" s="90" t="s">
        <v>341</v>
      </c>
      <c r="D18" s="117">
        <v>100</v>
      </c>
      <c r="E18" s="56"/>
      <c r="G18" s="97"/>
    </row>
    <row r="19" spans="1:7" x14ac:dyDescent="0.25">
      <c r="A19" s="20" t="s">
        <v>459</v>
      </c>
      <c r="B19" s="96">
        <v>1150</v>
      </c>
      <c r="C19" s="90" t="s">
        <v>7</v>
      </c>
      <c r="D19" s="117">
        <v>200</v>
      </c>
      <c r="E19" s="124"/>
      <c r="G19" s="97"/>
    </row>
    <row r="20" spans="1:7" x14ac:dyDescent="0.25">
      <c r="A20" s="20" t="s">
        <v>15</v>
      </c>
      <c r="B20" s="96">
        <v>24812</v>
      </c>
      <c r="C20" s="90" t="s">
        <v>39</v>
      </c>
      <c r="D20" s="117">
        <v>100</v>
      </c>
      <c r="E20" s="124"/>
      <c r="G20" s="97"/>
    </row>
    <row r="21" spans="1:7" x14ac:dyDescent="0.25">
      <c r="A21" s="20" t="s">
        <v>90</v>
      </c>
      <c r="B21" s="96">
        <v>123</v>
      </c>
      <c r="C21" s="20" t="s">
        <v>210</v>
      </c>
      <c r="D21" s="117">
        <v>240</v>
      </c>
      <c r="E21" s="124"/>
      <c r="G21" s="97"/>
    </row>
    <row r="22" spans="1:7" ht="15.75" x14ac:dyDescent="0.25">
      <c r="A22" s="20" t="s">
        <v>29</v>
      </c>
      <c r="B22" s="20">
        <v>16138</v>
      </c>
      <c r="C22" s="20" t="s">
        <v>38</v>
      </c>
      <c r="D22" s="91">
        <v>120</v>
      </c>
      <c r="E22" s="124"/>
      <c r="F22" s="15"/>
      <c r="G22" s="97"/>
    </row>
    <row r="23" spans="1:7" ht="15.75" x14ac:dyDescent="0.25">
      <c r="A23" s="20" t="s">
        <v>465</v>
      </c>
      <c r="B23" s="117">
        <v>1897</v>
      </c>
      <c r="C23" s="20" t="s">
        <v>455</v>
      </c>
      <c r="D23" s="96">
        <v>6730</v>
      </c>
      <c r="E23" s="128"/>
      <c r="F23" s="15"/>
      <c r="G23" s="97"/>
    </row>
    <row r="24" spans="1:7" ht="15.75" x14ac:dyDescent="0.25">
      <c r="A24" s="20" t="s">
        <v>60</v>
      </c>
      <c r="B24" s="117">
        <v>565</v>
      </c>
      <c r="C24" s="20" t="s">
        <v>19</v>
      </c>
      <c r="D24" s="96">
        <v>30</v>
      </c>
      <c r="E24" s="128"/>
      <c r="F24" s="15"/>
      <c r="G24">
        <v>75</v>
      </c>
    </row>
    <row r="25" spans="1:7" ht="15.75" x14ac:dyDescent="0.25">
      <c r="A25" s="20" t="s">
        <v>85</v>
      </c>
      <c r="B25" s="117">
        <v>9945</v>
      </c>
      <c r="C25" s="20" t="s">
        <v>460</v>
      </c>
      <c r="D25" s="96">
        <v>1170</v>
      </c>
      <c r="E25" s="128"/>
      <c r="F25" s="15"/>
      <c r="G25" s="97"/>
    </row>
    <row r="26" spans="1:7" ht="15.75" x14ac:dyDescent="0.25">
      <c r="A26" s="20" t="s">
        <v>469</v>
      </c>
      <c r="B26" s="22">
        <v>715</v>
      </c>
      <c r="C26" s="41" t="s">
        <v>458</v>
      </c>
      <c r="D26" s="32">
        <v>30</v>
      </c>
      <c r="E26" s="128"/>
      <c r="F26" s="15"/>
      <c r="G26" s="97"/>
    </row>
    <row r="27" spans="1:7" ht="15.75" x14ac:dyDescent="0.25">
      <c r="A27" s="20"/>
      <c r="B27" s="117">
        <v>190</v>
      </c>
      <c r="C27" s="41" t="s">
        <v>339</v>
      </c>
      <c r="D27" s="32">
        <v>117</v>
      </c>
      <c r="E27" s="128"/>
      <c r="F27" s="15"/>
      <c r="G27" s="97"/>
    </row>
    <row r="28" spans="1:7" ht="15.75" x14ac:dyDescent="0.25">
      <c r="A28" s="20"/>
      <c r="B28" s="117"/>
      <c r="C28" s="41" t="s">
        <v>107</v>
      </c>
      <c r="D28" s="32">
        <v>110</v>
      </c>
      <c r="E28" s="128"/>
      <c r="F28" s="15"/>
      <c r="G28" s="97"/>
    </row>
    <row r="29" spans="1:7" ht="15.75" x14ac:dyDescent="0.25">
      <c r="A29" s="20"/>
      <c r="B29" s="117"/>
      <c r="C29" s="41" t="s">
        <v>461</v>
      </c>
      <c r="D29" s="32">
        <v>75</v>
      </c>
      <c r="E29" s="128"/>
      <c r="F29" s="15"/>
      <c r="G29" s="97"/>
    </row>
    <row r="30" spans="1:7" ht="15.75" x14ac:dyDescent="0.25">
      <c r="A30" s="20"/>
      <c r="B30" s="22"/>
      <c r="C30" s="20" t="s">
        <v>393</v>
      </c>
      <c r="D30" s="22">
        <v>11</v>
      </c>
      <c r="E30" s="128"/>
      <c r="F30" s="15"/>
      <c r="G30" s="97"/>
    </row>
    <row r="31" spans="1:7" ht="15.75" x14ac:dyDescent="0.25">
      <c r="A31" s="20"/>
      <c r="B31" s="22"/>
      <c r="C31" s="20" t="s">
        <v>358</v>
      </c>
      <c r="D31" s="22">
        <v>30</v>
      </c>
      <c r="E31" s="128"/>
      <c r="F31" s="15"/>
      <c r="G31" s="97"/>
    </row>
    <row r="32" spans="1:7" ht="15.75" x14ac:dyDescent="0.25">
      <c r="A32" s="20"/>
      <c r="B32" s="22"/>
      <c r="C32" s="20" t="s">
        <v>462</v>
      </c>
      <c r="D32" s="22">
        <v>100</v>
      </c>
      <c r="E32" s="124"/>
      <c r="F32" s="15"/>
      <c r="G32" s="97"/>
    </row>
    <row r="33" spans="1:7" ht="15.75" x14ac:dyDescent="0.25">
      <c r="A33" s="20"/>
      <c r="B33" s="22"/>
      <c r="C33" s="41" t="s">
        <v>463</v>
      </c>
      <c r="D33" s="32">
        <v>50</v>
      </c>
      <c r="E33" s="124"/>
      <c r="F33" s="15"/>
      <c r="G33" s="97"/>
    </row>
    <row r="34" spans="1:7" ht="15.75" x14ac:dyDescent="0.25">
      <c r="A34" s="20"/>
      <c r="B34" s="22"/>
      <c r="C34" s="41" t="s">
        <v>464</v>
      </c>
      <c r="D34" s="32">
        <v>17</v>
      </c>
      <c r="E34" s="124"/>
      <c r="F34" s="15"/>
      <c r="G34" s="97"/>
    </row>
    <row r="35" spans="1:7" ht="15.75" x14ac:dyDescent="0.25">
      <c r="A35" s="20"/>
      <c r="B35" s="22"/>
      <c r="C35" s="20" t="s">
        <v>26</v>
      </c>
      <c r="D35" s="32">
        <v>75</v>
      </c>
      <c r="E35" s="124"/>
      <c r="F35" s="15"/>
    </row>
    <row r="36" spans="1:7" ht="15.75" x14ac:dyDescent="0.25">
      <c r="A36" s="20"/>
      <c r="B36" s="22"/>
      <c r="C36" s="20" t="s">
        <v>14</v>
      </c>
      <c r="D36" s="22">
        <f>12*115+140+50*4.5</f>
        <v>1745</v>
      </c>
      <c r="E36" s="124"/>
      <c r="F36" s="15"/>
    </row>
    <row r="37" spans="1:7" ht="15.75" x14ac:dyDescent="0.25">
      <c r="A37" s="20"/>
      <c r="B37" s="22"/>
      <c r="C37" s="20" t="s">
        <v>381</v>
      </c>
      <c r="D37" s="22">
        <v>115</v>
      </c>
      <c r="E37" s="124"/>
      <c r="F37" s="15"/>
    </row>
    <row r="38" spans="1:7" ht="15.75" x14ac:dyDescent="0.25">
      <c r="A38" s="20"/>
      <c r="B38" s="22"/>
      <c r="C38" s="20" t="s">
        <v>466</v>
      </c>
      <c r="D38" s="22">
        <v>460</v>
      </c>
      <c r="E38" s="124"/>
      <c r="F38" s="15"/>
    </row>
    <row r="39" spans="1:7" ht="15.75" x14ac:dyDescent="0.25">
      <c r="A39" s="20"/>
      <c r="B39" s="22"/>
      <c r="C39" s="20" t="s">
        <v>382</v>
      </c>
      <c r="D39" s="22">
        <v>95</v>
      </c>
      <c r="E39" s="124"/>
      <c r="F39" s="15"/>
    </row>
    <row r="40" spans="1:7" ht="15.75" x14ac:dyDescent="0.25">
      <c r="A40" s="20"/>
      <c r="B40" s="22"/>
      <c r="C40" s="20" t="s">
        <v>467</v>
      </c>
      <c r="D40" s="22">
        <v>330</v>
      </c>
      <c r="E40" s="124"/>
      <c r="F40" s="15"/>
    </row>
    <row r="41" spans="1:7" ht="15.75" x14ac:dyDescent="0.25">
      <c r="A41" s="20"/>
      <c r="B41" s="22"/>
      <c r="C41" s="20" t="s">
        <v>25</v>
      </c>
      <c r="D41" s="117">
        <v>14000</v>
      </c>
      <c r="E41" s="124"/>
      <c r="F41" s="15"/>
    </row>
    <row r="42" spans="1:7" ht="15.75" x14ac:dyDescent="0.25">
      <c r="A42" s="20"/>
      <c r="B42" s="22"/>
      <c r="C42" s="20" t="s">
        <v>468</v>
      </c>
      <c r="D42" s="22">
        <v>970</v>
      </c>
      <c r="E42" s="124"/>
      <c r="F42" s="15"/>
    </row>
    <row r="43" spans="1:7" ht="15.75" x14ac:dyDescent="0.25">
      <c r="A43" s="20"/>
      <c r="B43" s="22"/>
      <c r="C43" s="20" t="s">
        <v>27</v>
      </c>
      <c r="D43" s="22">
        <v>500</v>
      </c>
      <c r="E43" s="124"/>
      <c r="F43" s="15"/>
    </row>
    <row r="44" spans="1:7" ht="15.75" x14ac:dyDescent="0.25">
      <c r="A44" s="20"/>
      <c r="B44" s="22"/>
      <c r="C44" s="116" t="s">
        <v>54</v>
      </c>
      <c r="D44" s="21">
        <v>228</v>
      </c>
      <c r="E44" s="124"/>
      <c r="F44" s="15"/>
    </row>
    <row r="45" spans="1:7" ht="15.75" x14ac:dyDescent="0.25">
      <c r="A45" s="20"/>
      <c r="B45" s="22"/>
      <c r="C45" s="129" t="s">
        <v>456</v>
      </c>
      <c r="D45" s="96">
        <v>865</v>
      </c>
      <c r="E45" s="124"/>
      <c r="F45" s="15"/>
    </row>
    <row r="46" spans="1:7" ht="15.75" x14ac:dyDescent="0.25">
      <c r="A46" s="20"/>
      <c r="B46" s="22"/>
      <c r="C46" s="90" t="s">
        <v>358</v>
      </c>
      <c r="D46" s="117">
        <v>12000</v>
      </c>
      <c r="E46" s="124"/>
      <c r="F46" s="15"/>
    </row>
    <row r="47" spans="1:7" ht="15.75" x14ac:dyDescent="0.25">
      <c r="A47" s="20"/>
      <c r="B47" s="22"/>
      <c r="C47" s="20" t="s">
        <v>450</v>
      </c>
      <c r="D47" s="21">
        <v>141</v>
      </c>
      <c r="E47" s="124"/>
      <c r="F47" s="15"/>
    </row>
    <row r="48" spans="1:7" ht="15.75" x14ac:dyDescent="0.25">
      <c r="A48" s="20"/>
      <c r="B48" s="22"/>
      <c r="C48" s="20" t="s">
        <v>451</v>
      </c>
      <c r="D48" s="96">
        <v>28</v>
      </c>
      <c r="E48" s="124"/>
      <c r="F48" s="15"/>
    </row>
    <row r="49" spans="1:6" ht="15.75" x14ac:dyDescent="0.25">
      <c r="A49" s="20"/>
      <c r="B49" s="22"/>
      <c r="C49" s="127" t="s">
        <v>446</v>
      </c>
      <c r="D49" s="96">
        <v>16</v>
      </c>
      <c r="E49" s="124"/>
      <c r="F49" s="15"/>
    </row>
    <row r="50" spans="1:6" ht="15.75" x14ac:dyDescent="0.25">
      <c r="A50" s="20"/>
      <c r="B50" s="22"/>
      <c r="C50" s="127" t="s">
        <v>447</v>
      </c>
      <c r="D50" s="96">
        <v>16</v>
      </c>
      <c r="E50" s="124"/>
      <c r="F50" s="15"/>
    </row>
    <row r="51" spans="1:6" ht="15.75" x14ac:dyDescent="0.25">
      <c r="A51" s="20"/>
      <c r="B51" s="22"/>
      <c r="C51" s="90" t="s">
        <v>27</v>
      </c>
      <c r="D51" s="91">
        <v>135</v>
      </c>
      <c r="E51" s="124"/>
      <c r="F51" s="15"/>
    </row>
    <row r="52" spans="1:6" ht="15.75" x14ac:dyDescent="0.25">
      <c r="A52" s="20"/>
      <c r="B52" s="22"/>
      <c r="C52" s="20"/>
      <c r="D52" s="22"/>
      <c r="E52" s="124"/>
      <c r="F52" s="15"/>
    </row>
    <row r="53" spans="1:6" x14ac:dyDescent="0.25">
      <c r="A53" s="20"/>
      <c r="B53" s="22"/>
      <c r="C53" s="20"/>
      <c r="D53" s="22"/>
      <c r="E53" s="124"/>
    </row>
    <row r="54" spans="1:6" x14ac:dyDescent="0.25">
      <c r="A54" s="20"/>
      <c r="B54" s="21"/>
      <c r="C54" s="203"/>
      <c r="D54" s="150"/>
      <c r="E54" s="124"/>
    </row>
    <row r="55" spans="1:6" x14ac:dyDescent="0.25">
      <c r="A55" s="20"/>
      <c r="B55" s="21"/>
      <c r="C55" s="203"/>
      <c r="D55" s="150"/>
      <c r="E55" s="126"/>
    </row>
    <row r="56" spans="1:6" x14ac:dyDescent="0.25">
      <c r="A56" s="20"/>
      <c r="B56" s="32"/>
      <c r="C56" s="212"/>
      <c r="D56" s="209"/>
      <c r="E56" s="126"/>
    </row>
    <row r="57" spans="1:6" x14ac:dyDescent="0.25">
      <c r="A57" s="20"/>
      <c r="B57" s="21"/>
      <c r="C57" s="212"/>
      <c r="D57" s="209"/>
      <c r="E57" s="124"/>
    </row>
    <row r="58" spans="1:6" x14ac:dyDescent="0.25">
      <c r="A58" s="20"/>
      <c r="B58" s="117"/>
      <c r="C58" s="212"/>
      <c r="D58" s="209"/>
      <c r="E58" s="124"/>
    </row>
    <row r="59" spans="1:6" x14ac:dyDescent="0.25">
      <c r="A59" s="20"/>
      <c r="B59" s="117"/>
      <c r="C59" s="212"/>
      <c r="D59" s="209"/>
      <c r="E59" s="124"/>
    </row>
    <row r="60" spans="1:6" x14ac:dyDescent="0.25">
      <c r="A60" s="20"/>
      <c r="B60" s="21"/>
      <c r="C60" s="212"/>
      <c r="D60" s="209"/>
      <c r="E60" s="126"/>
    </row>
    <row r="61" spans="1:6" x14ac:dyDescent="0.25">
      <c r="A61" s="20"/>
      <c r="B61" s="21"/>
      <c r="C61" s="212"/>
      <c r="D61" s="209"/>
      <c r="E61" s="126"/>
    </row>
    <row r="62" spans="1:6" x14ac:dyDescent="0.25">
      <c r="A62" s="20"/>
      <c r="B62" s="21"/>
      <c r="C62" s="205"/>
      <c r="D62" s="210"/>
      <c r="E62" s="126"/>
    </row>
    <row r="63" spans="1:6" ht="19.5" thickBot="1" x14ac:dyDescent="0.35">
      <c r="A63" s="17"/>
      <c r="B63" s="12">
        <f>SUBTOTAL(109,Table772023[Column1])</f>
        <v>124471</v>
      </c>
      <c r="C63" s="13"/>
      <c r="D63" s="14">
        <f>SUBTOTAL(109,Table772023[Column2])</f>
        <v>45136</v>
      </c>
      <c r="E63" s="14"/>
    </row>
    <row r="64" spans="1:6" ht="27" thickTop="1" x14ac:dyDescent="0.25">
      <c r="D64" s="16">
        <f>Table772023[[#Totals],[Column1]]-Table772023[[#Totals],[Column2]]</f>
        <v>79335</v>
      </c>
    </row>
    <row r="66" spans="1:5" ht="18.75" x14ac:dyDescent="0.25">
      <c r="A66" s="11"/>
      <c r="B66" s="11"/>
    </row>
    <row r="67" spans="1:5" ht="23.25" customHeight="1" thickBot="1" x14ac:dyDescent="0.3">
      <c r="A67" s="11"/>
      <c r="B67" s="11"/>
    </row>
    <row r="68" spans="1:5" ht="24" thickBot="1" x14ac:dyDescent="0.3">
      <c r="A68" s="76" t="s">
        <v>9</v>
      </c>
      <c r="B68" s="460">
        <v>45114</v>
      </c>
      <c r="C68" s="461"/>
    </row>
    <row r="69" spans="1:5" ht="21" thickBot="1" x14ac:dyDescent="0.3">
      <c r="A69" s="53" t="s">
        <v>137</v>
      </c>
      <c r="B69" s="53" t="s">
        <v>3</v>
      </c>
      <c r="C69" s="53" t="s">
        <v>138</v>
      </c>
    </row>
    <row r="70" spans="1:5" ht="18" x14ac:dyDescent="0.25">
      <c r="A70" s="55">
        <f>10000+10000+270</f>
        <v>20270</v>
      </c>
      <c r="B70" s="77">
        <v>225</v>
      </c>
      <c r="C70" s="57" t="s">
        <v>211</v>
      </c>
      <c r="E70">
        <f>400-140</f>
        <v>260</v>
      </c>
    </row>
    <row r="71" spans="1:5" ht="18" x14ac:dyDescent="0.25">
      <c r="A71" s="60"/>
      <c r="B71" s="56">
        <v>35</v>
      </c>
      <c r="C71" s="94" t="s">
        <v>73</v>
      </c>
    </row>
    <row r="72" spans="1:5" ht="18" x14ac:dyDescent="0.25">
      <c r="A72" s="60"/>
      <c r="B72" s="77">
        <v>30</v>
      </c>
      <c r="C72" s="57" t="s">
        <v>445</v>
      </c>
    </row>
    <row r="73" spans="1:5" ht="18" x14ac:dyDescent="0.25">
      <c r="A73" s="60"/>
      <c r="B73" s="77">
        <v>170</v>
      </c>
      <c r="C73" s="57" t="s">
        <v>358</v>
      </c>
    </row>
    <row r="74" spans="1:5" ht="18" x14ac:dyDescent="0.25">
      <c r="A74" s="60"/>
      <c r="B74" s="56">
        <v>90</v>
      </c>
      <c r="C74" s="94" t="s">
        <v>10</v>
      </c>
    </row>
    <row r="75" spans="1:5" ht="18" x14ac:dyDescent="0.25">
      <c r="A75" s="60"/>
      <c r="B75" s="56">
        <v>16</v>
      </c>
      <c r="C75" s="94" t="s">
        <v>446</v>
      </c>
    </row>
    <row r="76" spans="1:5" ht="18" x14ac:dyDescent="0.25">
      <c r="A76" s="60"/>
      <c r="B76" s="56">
        <v>16</v>
      </c>
      <c r="C76" s="94" t="s">
        <v>447</v>
      </c>
    </row>
    <row r="77" spans="1:5" ht="18.75" thickBot="1" x14ac:dyDescent="0.3">
      <c r="A77" s="60"/>
      <c r="B77" s="56">
        <v>24</v>
      </c>
      <c r="C77" s="94" t="s">
        <v>448</v>
      </c>
    </row>
    <row r="78" spans="1:5" ht="24" thickBot="1" x14ac:dyDescent="0.3">
      <c r="A78" s="66"/>
      <c r="B78" s="67">
        <v>120</v>
      </c>
      <c r="C78" s="64" t="s">
        <v>393</v>
      </c>
      <c r="D78" s="100" t="s">
        <v>43</v>
      </c>
      <c r="E78" s="99">
        <f>E83-E79</f>
        <v>-105</v>
      </c>
    </row>
    <row r="79" spans="1:5" ht="21" thickBot="1" x14ac:dyDescent="0.3">
      <c r="A79" s="68">
        <f>SUM(A70:A78)</f>
        <v>20270</v>
      </c>
      <c r="B79" s="69">
        <f>SUM(B70:B78)</f>
        <v>726</v>
      </c>
      <c r="C79" s="70"/>
      <c r="D79" s="84" t="s">
        <v>94</v>
      </c>
      <c r="E79" s="85">
        <f>7880-6590</f>
        <v>1290</v>
      </c>
    </row>
    <row r="80" spans="1:5" ht="19.5" thickBot="1" x14ac:dyDescent="0.3">
      <c r="A80" s="462" t="s">
        <v>139</v>
      </c>
      <c r="B80" s="463"/>
      <c r="C80" s="71" t="s">
        <v>75</v>
      </c>
      <c r="D80" s="82" t="s">
        <v>65</v>
      </c>
      <c r="E80" s="83">
        <f>700+200+115+1</f>
        <v>1016</v>
      </c>
    </row>
    <row r="81" spans="1:5" ht="24" thickBot="1" x14ac:dyDescent="0.3">
      <c r="A81" s="464">
        <f>B79+A79</f>
        <v>20996</v>
      </c>
      <c r="B81" s="465"/>
      <c r="C81" s="81"/>
      <c r="D81" s="82" t="s">
        <v>266</v>
      </c>
      <c r="E81" s="83">
        <v>141</v>
      </c>
    </row>
    <row r="82" spans="1:5" ht="24" thickBot="1" x14ac:dyDescent="0.3">
      <c r="A82" s="466" t="s">
        <v>99</v>
      </c>
      <c r="B82" s="467"/>
      <c r="C82" s="78">
        <f>A83-C83</f>
        <v>646</v>
      </c>
      <c r="D82" s="82" t="s">
        <v>74</v>
      </c>
      <c r="E82" s="83">
        <v>28</v>
      </c>
    </row>
    <row r="83" spans="1:5" ht="21" thickBot="1" x14ac:dyDescent="0.3">
      <c r="A83" s="481">
        <f>C81+A81</f>
        <v>20996</v>
      </c>
      <c r="B83" s="482"/>
      <c r="C83" s="79">
        <v>20350</v>
      </c>
      <c r="D83" s="82" t="s">
        <v>164</v>
      </c>
      <c r="E83" s="83">
        <f>SUM(E80:E82)</f>
        <v>1185</v>
      </c>
    </row>
    <row r="84" spans="1:5" ht="24" thickBot="1" x14ac:dyDescent="0.3">
      <c r="C84" s="314" t="str">
        <f>IF(C82&gt;0,"زيادة","عجز")</f>
        <v>زيادة</v>
      </c>
    </row>
    <row r="85" spans="1:5" ht="15.75" thickBot="1" x14ac:dyDescent="0.3">
      <c r="A85"/>
      <c r="B85"/>
    </row>
    <row r="86" spans="1:5" ht="24" thickBot="1" x14ac:dyDescent="0.3">
      <c r="A86" s="76" t="s">
        <v>80</v>
      </c>
      <c r="B86" s="460">
        <v>45114</v>
      </c>
      <c r="C86" s="461"/>
    </row>
    <row r="87" spans="1:5" ht="21" thickBot="1" x14ac:dyDescent="0.3">
      <c r="A87" s="53" t="s">
        <v>137</v>
      </c>
      <c r="B87" s="53" t="s">
        <v>3</v>
      </c>
      <c r="C87" s="53" t="s">
        <v>138</v>
      </c>
    </row>
    <row r="88" spans="1:5" ht="18" x14ac:dyDescent="0.25">
      <c r="A88" s="55">
        <f>10000+3200+15</f>
        <v>13215</v>
      </c>
      <c r="B88" s="77">
        <v>1255</v>
      </c>
      <c r="C88" s="57" t="s">
        <v>17</v>
      </c>
      <c r="E88">
        <v>25</v>
      </c>
    </row>
    <row r="89" spans="1:5" ht="18" x14ac:dyDescent="0.25">
      <c r="A89" s="60">
        <v>860</v>
      </c>
      <c r="B89" s="56">
        <v>390</v>
      </c>
      <c r="C89" s="94" t="s">
        <v>34</v>
      </c>
      <c r="E89">
        <v>15</v>
      </c>
    </row>
    <row r="90" spans="1:5" ht="18" x14ac:dyDescent="0.25">
      <c r="A90" s="60">
        <v>61</v>
      </c>
      <c r="B90" s="77">
        <v>330</v>
      </c>
      <c r="C90" s="57" t="s">
        <v>8</v>
      </c>
      <c r="E90">
        <v>50</v>
      </c>
    </row>
    <row r="91" spans="1:5" ht="18" x14ac:dyDescent="0.25">
      <c r="A91" s="60"/>
      <c r="B91" s="77">
        <v>261</v>
      </c>
      <c r="C91" s="57" t="s">
        <v>9</v>
      </c>
      <c r="E91">
        <v>3</v>
      </c>
    </row>
    <row r="92" spans="1:5" ht="18" x14ac:dyDescent="0.25">
      <c r="A92" s="60"/>
      <c r="B92" s="56">
        <v>135</v>
      </c>
      <c r="C92" s="94" t="s">
        <v>27</v>
      </c>
      <c r="E92">
        <v>5</v>
      </c>
    </row>
    <row r="93" spans="1:5" ht="18" x14ac:dyDescent="0.25">
      <c r="A93" s="60"/>
      <c r="B93" s="56"/>
      <c r="C93" s="94"/>
      <c r="E93">
        <v>5</v>
      </c>
    </row>
    <row r="94" spans="1:5" ht="18" x14ac:dyDescent="0.25">
      <c r="A94" s="60"/>
      <c r="B94" s="56"/>
      <c r="C94" s="94"/>
    </row>
    <row r="95" spans="1:5" ht="18.75" thickBot="1" x14ac:dyDescent="0.3">
      <c r="A95" s="60"/>
      <c r="B95" s="56"/>
      <c r="C95" s="94"/>
    </row>
    <row r="96" spans="1:5" ht="24" thickBot="1" x14ac:dyDescent="0.3">
      <c r="A96" s="66"/>
      <c r="B96" s="67"/>
      <c r="C96" s="64"/>
      <c r="D96" s="100" t="s">
        <v>43</v>
      </c>
      <c r="E96" s="99">
        <f>E101-E97</f>
        <v>35</v>
      </c>
    </row>
    <row r="97" spans="1:11" ht="21" thickBot="1" x14ac:dyDescent="0.3">
      <c r="A97" s="68">
        <f>SUM(A88:A96)</f>
        <v>14136</v>
      </c>
      <c r="B97" s="69">
        <f>SUM(B88:B96)</f>
        <v>2371</v>
      </c>
      <c r="C97" s="70"/>
      <c r="D97" s="84" t="s">
        <v>94</v>
      </c>
      <c r="E97" s="85">
        <f>6591-5677</f>
        <v>914</v>
      </c>
    </row>
    <row r="98" spans="1:11" ht="27.75" customHeight="1" thickBot="1" x14ac:dyDescent="0.3">
      <c r="A98" s="462" t="s">
        <v>139</v>
      </c>
      <c r="B98" s="463"/>
      <c r="C98" s="71" t="s">
        <v>75</v>
      </c>
      <c r="D98" s="82" t="s">
        <v>65</v>
      </c>
      <c r="E98" s="83">
        <f>850+95+4</f>
        <v>949</v>
      </c>
    </row>
    <row r="99" spans="1:11" ht="24" thickBot="1" x14ac:dyDescent="0.3">
      <c r="A99" s="464">
        <f>B97+A97</f>
        <v>16507</v>
      </c>
      <c r="B99" s="465"/>
      <c r="C99" s="81"/>
      <c r="D99" s="82"/>
      <c r="E99" s="83"/>
    </row>
    <row r="100" spans="1:11" ht="24" thickBot="1" x14ac:dyDescent="0.3">
      <c r="A100" s="466" t="s">
        <v>99</v>
      </c>
      <c r="B100" s="467"/>
      <c r="C100" s="78">
        <f>A101-C101</f>
        <v>207</v>
      </c>
      <c r="D100" s="82"/>
      <c r="E100" s="83"/>
    </row>
    <row r="101" spans="1:11" ht="21" thickBot="1" x14ac:dyDescent="0.3">
      <c r="A101" s="481">
        <f>C99+A99</f>
        <v>16507</v>
      </c>
      <c r="B101" s="482"/>
      <c r="C101" s="79">
        <v>16300</v>
      </c>
      <c r="D101" s="82" t="s">
        <v>164</v>
      </c>
      <c r="E101" s="83">
        <f>SUM(E98:E100)</f>
        <v>949</v>
      </c>
    </row>
    <row r="102" spans="1:11" ht="24" thickBot="1" x14ac:dyDescent="0.3">
      <c r="A102"/>
      <c r="B102"/>
      <c r="C102" s="314" t="str">
        <f>IF(C100&gt;0,"زيادة","عجز")</f>
        <v>زيادة</v>
      </c>
    </row>
    <row r="103" spans="1:11" ht="15.75" thickBot="1" x14ac:dyDescent="0.3">
      <c r="A103"/>
      <c r="B103"/>
    </row>
    <row r="104" spans="1:11" ht="24" thickBot="1" x14ac:dyDescent="0.3">
      <c r="A104" s="76" t="s">
        <v>88</v>
      </c>
      <c r="B104" s="460">
        <v>45113</v>
      </c>
      <c r="C104" s="461"/>
      <c r="I104">
        <v>425</v>
      </c>
    </row>
    <row r="105" spans="1:11" ht="21" thickBot="1" x14ac:dyDescent="0.3">
      <c r="A105" s="53" t="s">
        <v>137</v>
      </c>
      <c r="B105" s="53" t="s">
        <v>3</v>
      </c>
      <c r="C105" s="53" t="s">
        <v>138</v>
      </c>
      <c r="I105">
        <v>3200</v>
      </c>
    </row>
    <row r="106" spans="1:11" ht="18" x14ac:dyDescent="0.25">
      <c r="A106" s="55">
        <f>3200+425</f>
        <v>3625</v>
      </c>
      <c r="B106" s="77">
        <v>12000</v>
      </c>
      <c r="C106" s="57" t="s">
        <v>358</v>
      </c>
      <c r="E106">
        <v>25</v>
      </c>
    </row>
    <row r="107" spans="1:11" ht="18" x14ac:dyDescent="0.25">
      <c r="A107" s="60"/>
      <c r="B107" s="56">
        <v>100</v>
      </c>
      <c r="C107" s="94" t="s">
        <v>9</v>
      </c>
      <c r="E107">
        <v>15</v>
      </c>
    </row>
    <row r="108" spans="1:11" ht="18" x14ac:dyDescent="0.25">
      <c r="A108" s="60"/>
      <c r="B108" s="77">
        <v>155</v>
      </c>
      <c r="C108" s="57" t="s">
        <v>255</v>
      </c>
      <c r="E108">
        <v>50</v>
      </c>
      <c r="K108" t="s">
        <v>441</v>
      </c>
    </row>
    <row r="109" spans="1:11" ht="18" x14ac:dyDescent="0.25">
      <c r="A109" s="60"/>
      <c r="B109" s="77">
        <v>100</v>
      </c>
      <c r="C109" s="57" t="s">
        <v>341</v>
      </c>
      <c r="E109">
        <v>3</v>
      </c>
      <c r="K109" t="s">
        <v>439</v>
      </c>
    </row>
    <row r="110" spans="1:11" ht="24" customHeight="1" x14ac:dyDescent="0.25">
      <c r="A110" s="60"/>
      <c r="B110" s="56">
        <v>200</v>
      </c>
      <c r="C110" s="94" t="s">
        <v>7</v>
      </c>
      <c r="E110">
        <v>5</v>
      </c>
      <c r="K110" t="s">
        <v>440</v>
      </c>
    </row>
    <row r="111" spans="1:11" ht="18" x14ac:dyDescent="0.25">
      <c r="A111" s="60"/>
      <c r="B111" s="56">
        <v>100</v>
      </c>
      <c r="C111" s="94" t="s">
        <v>39</v>
      </c>
      <c r="E111">
        <v>5</v>
      </c>
      <c r="K111" t="s">
        <v>442</v>
      </c>
    </row>
    <row r="112" spans="1:11" ht="18" x14ac:dyDescent="0.25">
      <c r="A112" s="60"/>
      <c r="B112" s="56">
        <v>240</v>
      </c>
      <c r="C112" s="94" t="s">
        <v>210</v>
      </c>
    </row>
    <row r="113" spans="1:5" ht="18.75" thickBot="1" x14ac:dyDescent="0.3">
      <c r="A113" s="60"/>
      <c r="B113" s="56">
        <v>115</v>
      </c>
      <c r="C113" s="94" t="s">
        <v>453</v>
      </c>
    </row>
    <row r="114" spans="1:5" ht="24" thickBot="1" x14ac:dyDescent="0.3">
      <c r="A114" s="66"/>
      <c r="B114" s="67"/>
      <c r="C114" s="64"/>
      <c r="D114" s="100" t="s">
        <v>43</v>
      </c>
      <c r="E114" s="99">
        <f>E119-E115</f>
        <v>3</v>
      </c>
    </row>
    <row r="115" spans="1:5" ht="21" thickBot="1" x14ac:dyDescent="0.3">
      <c r="A115" s="68">
        <f>SUM(A106:A114)</f>
        <v>3625</v>
      </c>
      <c r="B115" s="69">
        <f>SUM(B106:B114)</f>
        <v>13010</v>
      </c>
      <c r="C115" s="70"/>
      <c r="D115" s="84" t="s">
        <v>94</v>
      </c>
      <c r="E115" s="85">
        <f>-1441+1018--1871-846</f>
        <v>602</v>
      </c>
    </row>
    <row r="116" spans="1:5" ht="19.5" thickBot="1" x14ac:dyDescent="0.3">
      <c r="A116" s="462" t="s">
        <v>139</v>
      </c>
      <c r="B116" s="463"/>
      <c r="C116" s="71" t="s">
        <v>75</v>
      </c>
      <c r="D116" s="82" t="s">
        <v>65</v>
      </c>
      <c r="E116" s="83">
        <v>605</v>
      </c>
    </row>
    <row r="117" spans="1:5" ht="24" thickBot="1" x14ac:dyDescent="0.3">
      <c r="A117" s="464">
        <f>B115+A115</f>
        <v>16635</v>
      </c>
      <c r="B117" s="465"/>
      <c r="C117" s="81">
        <v>85</v>
      </c>
      <c r="D117" s="82"/>
      <c r="E117" s="83"/>
    </row>
    <row r="118" spans="1:5" ht="24" thickBot="1" x14ac:dyDescent="0.3">
      <c r="A118" s="466" t="s">
        <v>99</v>
      </c>
      <c r="B118" s="467"/>
      <c r="C118" s="78">
        <f>A119-C119</f>
        <v>-76</v>
      </c>
      <c r="D118" s="82"/>
      <c r="E118" s="83"/>
    </row>
    <row r="119" spans="1:5" ht="24" thickBot="1" x14ac:dyDescent="0.3">
      <c r="A119" s="481">
        <f>C117+A117</f>
        <v>16720</v>
      </c>
      <c r="B119" s="482"/>
      <c r="C119" s="121">
        <v>16796</v>
      </c>
      <c r="D119" s="82" t="s">
        <v>164</v>
      </c>
      <c r="E119" s="83">
        <f>SUM(E116:E118)</f>
        <v>605</v>
      </c>
    </row>
    <row r="120" spans="1:5" ht="24" thickBot="1" x14ac:dyDescent="0.3">
      <c r="A120"/>
      <c r="B120"/>
      <c r="C120" s="314" t="str">
        <f>IF(C118&gt;0,"زيادة","عجز")</f>
        <v>عجز</v>
      </c>
    </row>
    <row r="121" spans="1:5" ht="24" thickBot="1" x14ac:dyDescent="0.3">
      <c r="A121" s="76" t="s">
        <v>24</v>
      </c>
      <c r="B121" s="460">
        <v>45114</v>
      </c>
      <c r="C121" s="461"/>
    </row>
    <row r="122" spans="1:5" ht="21" thickBot="1" x14ac:dyDescent="0.3">
      <c r="A122" s="53" t="s">
        <v>137</v>
      </c>
      <c r="B122" s="53" t="s">
        <v>3</v>
      </c>
      <c r="C122" s="53" t="s">
        <v>138</v>
      </c>
    </row>
    <row r="123" spans="1:5" ht="18" x14ac:dyDescent="0.25">
      <c r="A123" s="55">
        <f>150+200+50</f>
        <v>400</v>
      </c>
      <c r="B123" s="77">
        <v>865</v>
      </c>
      <c r="C123" s="57" t="s">
        <v>456</v>
      </c>
      <c r="E123">
        <v>25</v>
      </c>
    </row>
    <row r="124" spans="1:5" ht="18" x14ac:dyDescent="0.25">
      <c r="A124" s="60"/>
      <c r="B124" s="56"/>
      <c r="C124" s="94"/>
      <c r="E124">
        <v>15</v>
      </c>
    </row>
    <row r="125" spans="1:5" ht="18" x14ac:dyDescent="0.25">
      <c r="A125" s="60"/>
      <c r="B125" s="77"/>
      <c r="C125" s="57"/>
      <c r="E125">
        <v>50</v>
      </c>
    </row>
    <row r="126" spans="1:5" ht="18" x14ac:dyDescent="0.25">
      <c r="A126" s="60"/>
      <c r="B126" s="77"/>
      <c r="C126" s="57"/>
      <c r="E126">
        <v>3</v>
      </c>
    </row>
    <row r="127" spans="1:5" ht="18" x14ac:dyDescent="0.25">
      <c r="A127" s="60"/>
      <c r="B127" s="56"/>
      <c r="C127" s="94"/>
      <c r="E127">
        <v>5</v>
      </c>
    </row>
    <row r="128" spans="1:5" ht="18" x14ac:dyDescent="0.25">
      <c r="A128" s="60"/>
      <c r="B128" s="56"/>
      <c r="C128" s="94"/>
      <c r="E128">
        <v>5</v>
      </c>
    </row>
    <row r="129" spans="1:5" ht="18" x14ac:dyDescent="0.25">
      <c r="A129" s="60"/>
      <c r="B129" s="56"/>
      <c r="C129" s="94"/>
    </row>
    <row r="130" spans="1:5" ht="18.75" thickBot="1" x14ac:dyDescent="0.3">
      <c r="A130" s="60"/>
      <c r="B130" s="56"/>
      <c r="C130" s="94"/>
    </row>
    <row r="131" spans="1:5" ht="24" thickBot="1" x14ac:dyDescent="0.3">
      <c r="A131" s="66"/>
      <c r="B131" s="67"/>
      <c r="C131" s="64"/>
      <c r="D131" s="100" t="s">
        <v>43</v>
      </c>
      <c r="E131" s="99">
        <f>E136-E132</f>
        <v>0</v>
      </c>
    </row>
    <row r="132" spans="1:5" ht="21" thickBot="1" x14ac:dyDescent="0.3">
      <c r="A132" s="68">
        <f>SUM(A123:A131)</f>
        <v>400</v>
      </c>
      <c r="B132" s="69">
        <f>SUM(B123:B131)</f>
        <v>865</v>
      </c>
      <c r="C132" s="70"/>
      <c r="D132" s="84" t="s">
        <v>94</v>
      </c>
      <c r="E132" s="85"/>
    </row>
    <row r="133" spans="1:5" ht="19.5" thickBot="1" x14ac:dyDescent="0.3">
      <c r="A133" s="462" t="s">
        <v>139</v>
      </c>
      <c r="B133" s="463"/>
      <c r="C133" s="71" t="s">
        <v>75</v>
      </c>
      <c r="D133" s="82" t="s">
        <v>65</v>
      </c>
      <c r="E133" s="83"/>
    </row>
    <row r="134" spans="1:5" ht="24" thickBot="1" x14ac:dyDescent="0.3">
      <c r="A134" s="464">
        <f>B132+A132</f>
        <v>1265</v>
      </c>
      <c r="B134" s="465"/>
      <c r="C134" s="81"/>
      <c r="D134" s="82"/>
      <c r="E134" s="83"/>
    </row>
    <row r="135" spans="1:5" ht="24" thickBot="1" x14ac:dyDescent="0.3">
      <c r="A135" s="466" t="s">
        <v>99</v>
      </c>
      <c r="B135" s="467"/>
      <c r="C135" s="78">
        <f>A136-C136</f>
        <v>1265</v>
      </c>
      <c r="D135" s="82"/>
      <c r="E135" s="83"/>
    </row>
    <row r="136" spans="1:5" ht="24" thickBot="1" x14ac:dyDescent="0.3">
      <c r="A136" s="481">
        <f>C134+A134</f>
        <v>1265</v>
      </c>
      <c r="B136" s="482"/>
      <c r="C136" s="121"/>
      <c r="D136" s="82" t="s">
        <v>164</v>
      </c>
      <c r="E136" s="83">
        <f>SUM(E133:E135)</f>
        <v>0</v>
      </c>
    </row>
    <row r="137" spans="1:5" ht="24" thickBot="1" x14ac:dyDescent="0.3">
      <c r="A137"/>
      <c r="B137"/>
      <c r="C137" s="314" t="str">
        <f>IF(C135&gt;0,"زيادة","عجز")</f>
        <v>زيادة</v>
      </c>
    </row>
    <row r="138" spans="1:5" ht="24" customHeight="1" thickBot="1" x14ac:dyDescent="0.3">
      <c r="A138"/>
      <c r="B138"/>
    </row>
    <row r="139" spans="1:5" ht="24" thickBot="1" x14ac:dyDescent="0.3">
      <c r="A139" s="76" t="s">
        <v>15</v>
      </c>
      <c r="B139" s="460">
        <v>45114</v>
      </c>
      <c r="C139" s="461"/>
    </row>
    <row r="140" spans="1:5" ht="21" thickBot="1" x14ac:dyDescent="0.3">
      <c r="A140" s="53" t="s">
        <v>137</v>
      </c>
      <c r="B140" s="53" t="s">
        <v>3</v>
      </c>
      <c r="C140" s="53" t="s">
        <v>138</v>
      </c>
    </row>
    <row r="141" spans="1:5" ht="18" x14ac:dyDescent="0.25">
      <c r="A141" s="55">
        <v>20000</v>
      </c>
      <c r="B141" s="77">
        <v>1170</v>
      </c>
      <c r="C141" s="57" t="s">
        <v>12</v>
      </c>
      <c r="E141">
        <f>215*4.5</f>
        <v>967.5</v>
      </c>
    </row>
    <row r="142" spans="1:5" ht="18" x14ac:dyDescent="0.25">
      <c r="A142" s="60">
        <v>3100</v>
      </c>
      <c r="B142" s="56">
        <v>30</v>
      </c>
      <c r="C142" s="94" t="s">
        <v>458</v>
      </c>
    </row>
    <row r="143" spans="1:5" ht="18" customHeight="1" x14ac:dyDescent="0.25">
      <c r="A143" s="60">
        <v>285</v>
      </c>
      <c r="B143" s="77">
        <v>117</v>
      </c>
      <c r="C143" s="57" t="s">
        <v>339</v>
      </c>
    </row>
    <row r="144" spans="1:5" ht="18" customHeight="1" x14ac:dyDescent="0.25">
      <c r="A144" s="60"/>
      <c r="B144" s="10">
        <v>110</v>
      </c>
      <c r="C144" s="77" t="s">
        <v>107</v>
      </c>
    </row>
    <row r="145" spans="1:5" ht="18" x14ac:dyDescent="0.25">
      <c r="A145" s="60"/>
      <c r="B145" s="56"/>
      <c r="C145" s="94"/>
    </row>
    <row r="146" spans="1:5" ht="18" x14ac:dyDescent="0.25">
      <c r="A146" s="60"/>
      <c r="B146" s="56"/>
      <c r="C146" s="94"/>
    </row>
    <row r="147" spans="1:5" ht="18" x14ac:dyDescent="0.25">
      <c r="A147" s="60"/>
      <c r="B147" s="56"/>
      <c r="C147" s="94"/>
    </row>
    <row r="148" spans="1:5" ht="18.75" thickBot="1" x14ac:dyDescent="0.3">
      <c r="A148" s="60"/>
      <c r="B148" s="56"/>
      <c r="C148" s="94"/>
    </row>
    <row r="149" spans="1:5" ht="24" thickBot="1" x14ac:dyDescent="0.3">
      <c r="A149" s="66"/>
      <c r="B149" s="67"/>
      <c r="C149" s="64"/>
      <c r="D149" s="100" t="s">
        <v>43</v>
      </c>
      <c r="E149" s="99">
        <f>E154-E150</f>
        <v>5</v>
      </c>
    </row>
    <row r="150" spans="1:5" ht="21" thickBot="1" x14ac:dyDescent="0.3">
      <c r="A150" s="68">
        <f>SUM(A141:A149)</f>
        <v>23385</v>
      </c>
      <c r="B150" s="69">
        <f>SUM(B141:B149)</f>
        <v>1427</v>
      </c>
      <c r="C150" s="70"/>
      <c r="D150" s="84" t="s">
        <v>94</v>
      </c>
      <c r="E150" s="85">
        <f>1871+846-1871-728</f>
        <v>118</v>
      </c>
    </row>
    <row r="151" spans="1:5" ht="21.75" customHeight="1" thickBot="1" x14ac:dyDescent="0.3">
      <c r="A151" s="462" t="s">
        <v>139</v>
      </c>
      <c r="B151" s="463"/>
      <c r="C151" s="71" t="s">
        <v>75</v>
      </c>
      <c r="D151" s="82" t="s">
        <v>65</v>
      </c>
      <c r="E151" s="83">
        <f>123</f>
        <v>123</v>
      </c>
    </row>
    <row r="152" spans="1:5" ht="24" thickBot="1" x14ac:dyDescent="0.3">
      <c r="A152" s="464">
        <f>B150+A150</f>
        <v>24812</v>
      </c>
      <c r="B152" s="465"/>
      <c r="C152" s="81">
        <f>120+179+32+43+213-120</f>
        <v>467</v>
      </c>
      <c r="D152" s="82"/>
      <c r="E152" s="83"/>
    </row>
    <row r="153" spans="1:5" ht="18" customHeight="1" thickBot="1" x14ac:dyDescent="0.3">
      <c r="A153" s="466" t="s">
        <v>99</v>
      </c>
      <c r="B153" s="467"/>
      <c r="C153" s="78">
        <f>A154-C154</f>
        <v>-37</v>
      </c>
      <c r="D153" s="82"/>
      <c r="E153" s="83"/>
    </row>
    <row r="154" spans="1:5" ht="24" thickBot="1" x14ac:dyDescent="0.3">
      <c r="A154" s="481">
        <f>C152+A152</f>
        <v>25279</v>
      </c>
      <c r="B154" s="482"/>
      <c r="C154" s="121">
        <v>25316</v>
      </c>
      <c r="D154" s="82" t="s">
        <v>164</v>
      </c>
      <c r="E154" s="83">
        <f>SUM(E151:E153)</f>
        <v>123</v>
      </c>
    </row>
    <row r="155" spans="1:5" ht="18" customHeight="1" thickBot="1" x14ac:dyDescent="0.3">
      <c r="A155"/>
      <c r="B155"/>
      <c r="C155" s="314" t="str">
        <f>IF(C153&gt;0,"زيادة","عجز")</f>
        <v>عجز</v>
      </c>
    </row>
    <row r="156" spans="1:5" ht="18" customHeight="1" thickBot="1" x14ac:dyDescent="0.3">
      <c r="A156"/>
      <c r="B156"/>
    </row>
    <row r="157" spans="1:5" ht="24" thickBot="1" x14ac:dyDescent="0.3">
      <c r="A157" s="76" t="s">
        <v>29</v>
      </c>
      <c r="B157" s="460">
        <v>45114</v>
      </c>
      <c r="C157" s="461"/>
    </row>
    <row r="158" spans="1:5" ht="21" thickBot="1" x14ac:dyDescent="0.3">
      <c r="A158" s="53" t="s">
        <v>137</v>
      </c>
      <c r="B158" s="53" t="s">
        <v>3</v>
      </c>
      <c r="C158" s="53" t="s">
        <v>138</v>
      </c>
    </row>
    <row r="159" spans="1:5" ht="18" x14ac:dyDescent="0.25">
      <c r="A159" s="55">
        <v>15000</v>
      </c>
      <c r="B159" s="77">
        <v>11</v>
      </c>
      <c r="C159" s="57" t="s">
        <v>393</v>
      </c>
    </row>
    <row r="160" spans="1:5" ht="18" x14ac:dyDescent="0.25">
      <c r="A160" s="60">
        <v>430</v>
      </c>
      <c r="B160" s="56">
        <v>30</v>
      </c>
      <c r="C160" s="94" t="s">
        <v>358</v>
      </c>
    </row>
    <row r="161" spans="1:5" ht="18" x14ac:dyDescent="0.25">
      <c r="A161" s="60"/>
      <c r="B161" s="77">
        <v>500</v>
      </c>
      <c r="C161" s="57" t="s">
        <v>27</v>
      </c>
    </row>
    <row r="162" spans="1:5" ht="18" x14ac:dyDescent="0.25">
      <c r="A162" s="60"/>
      <c r="B162" s="10">
        <v>100</v>
      </c>
      <c r="C162" s="77" t="s">
        <v>462</v>
      </c>
    </row>
    <row r="163" spans="1:5" ht="18" x14ac:dyDescent="0.25">
      <c r="A163" s="60"/>
      <c r="B163" s="56">
        <v>50</v>
      </c>
      <c r="C163" s="94" t="s">
        <v>463</v>
      </c>
    </row>
    <row r="164" spans="1:5" ht="18" x14ac:dyDescent="0.25">
      <c r="A164" s="60"/>
      <c r="B164" s="56">
        <v>17</v>
      </c>
      <c r="C164" s="94" t="s">
        <v>464</v>
      </c>
    </row>
    <row r="165" spans="1:5" ht="18" x14ac:dyDescent="0.25">
      <c r="A165" s="60"/>
      <c r="B165" s="56"/>
      <c r="C165" s="94"/>
    </row>
    <row r="166" spans="1:5" ht="23.25" customHeight="1" thickBot="1" x14ac:dyDescent="0.3">
      <c r="A166" s="60"/>
      <c r="B166" s="56"/>
      <c r="C166" s="94"/>
    </row>
    <row r="167" spans="1:5" ht="21.75" customHeight="1" thickBot="1" x14ac:dyDescent="0.3">
      <c r="A167" s="66"/>
      <c r="B167" s="67"/>
      <c r="C167" s="64"/>
      <c r="D167" s="100" t="s">
        <v>43</v>
      </c>
      <c r="E167" s="99">
        <f>E172-E168</f>
        <v>127</v>
      </c>
    </row>
    <row r="168" spans="1:5" ht="18" customHeight="1" thickBot="1" x14ac:dyDescent="0.3">
      <c r="A168" s="68">
        <f>SUM(A159:A167)</f>
        <v>15430</v>
      </c>
      <c r="B168" s="69">
        <f>SUM(B159:B167)</f>
        <v>708</v>
      </c>
      <c r="C168" s="70"/>
      <c r="D168" s="84" t="s">
        <v>94</v>
      </c>
      <c r="E168" s="85">
        <f>5677-3907</f>
        <v>1770</v>
      </c>
    </row>
    <row r="169" spans="1:5" ht="19.5" thickBot="1" x14ac:dyDescent="0.3">
      <c r="A169" s="462" t="s">
        <v>139</v>
      </c>
      <c r="B169" s="463"/>
      <c r="C169" s="71" t="s">
        <v>75</v>
      </c>
      <c r="D169" s="82" t="s">
        <v>65</v>
      </c>
      <c r="E169" s="83">
        <f>1650+19</f>
        <v>1669</v>
      </c>
    </row>
    <row r="170" spans="1:5" ht="24" thickBot="1" x14ac:dyDescent="0.3">
      <c r="A170" s="464">
        <f>B168+A168</f>
        <v>16138</v>
      </c>
      <c r="B170" s="465"/>
      <c r="C170" s="81"/>
      <c r="D170" s="82" t="s">
        <v>54</v>
      </c>
      <c r="E170" s="83">
        <v>228</v>
      </c>
    </row>
    <row r="171" spans="1:5" ht="24" thickBot="1" x14ac:dyDescent="0.3">
      <c r="A171" s="466" t="s">
        <v>99</v>
      </c>
      <c r="B171" s="467"/>
      <c r="C171" s="78">
        <f>A172-C172</f>
        <v>-117</v>
      </c>
      <c r="D171" s="82"/>
      <c r="E171" s="83"/>
    </row>
    <row r="172" spans="1:5" ht="24" thickBot="1" x14ac:dyDescent="0.3">
      <c r="A172" s="481">
        <f>C170+A170</f>
        <v>16138</v>
      </c>
      <c r="B172" s="482"/>
      <c r="C172" s="121">
        <v>16255</v>
      </c>
      <c r="D172" s="82" t="s">
        <v>164</v>
      </c>
      <c r="E172" s="83">
        <f>SUM(E169:E171)</f>
        <v>1897</v>
      </c>
    </row>
    <row r="173" spans="1:5" ht="24" thickBot="1" x14ac:dyDescent="0.3">
      <c r="A173"/>
      <c r="B173"/>
      <c r="C173" s="314" t="str">
        <f>IF(C171&gt;0,"زيادة","عجز")</f>
        <v>عجز</v>
      </c>
    </row>
    <row r="174" spans="1:5" ht="24" thickBot="1" x14ac:dyDescent="0.3">
      <c r="A174" s="76" t="s">
        <v>85</v>
      </c>
      <c r="B174" s="460">
        <v>45114</v>
      </c>
      <c r="C174" s="461"/>
    </row>
    <row r="175" spans="1:5" ht="21" thickBot="1" x14ac:dyDescent="0.3">
      <c r="A175" s="53" t="s">
        <v>137</v>
      </c>
      <c r="B175" s="53" t="s">
        <v>3</v>
      </c>
      <c r="C175" s="53" t="s">
        <v>138</v>
      </c>
    </row>
    <row r="176" spans="1:5" ht="18" x14ac:dyDescent="0.25">
      <c r="A176" s="55">
        <f>5000+3945</f>
        <v>8945</v>
      </c>
      <c r="B176" s="77">
        <v>115</v>
      </c>
      <c r="C176" s="57" t="s">
        <v>381</v>
      </c>
    </row>
    <row r="177" spans="1:5" ht="18" x14ac:dyDescent="0.25">
      <c r="A177" s="60"/>
      <c r="B177" s="56">
        <v>460</v>
      </c>
      <c r="C177" s="94" t="s">
        <v>466</v>
      </c>
    </row>
    <row r="178" spans="1:5" ht="18" x14ac:dyDescent="0.25">
      <c r="A178" s="60"/>
      <c r="B178" s="77">
        <v>95</v>
      </c>
      <c r="C178" s="57" t="s">
        <v>382</v>
      </c>
    </row>
    <row r="179" spans="1:5" ht="18" x14ac:dyDescent="0.25">
      <c r="A179" s="60"/>
      <c r="B179" s="10">
        <v>330</v>
      </c>
      <c r="C179" s="77" t="s">
        <v>467</v>
      </c>
    </row>
    <row r="180" spans="1:5" ht="18" x14ac:dyDescent="0.25">
      <c r="A180" s="60"/>
      <c r="B180" s="56"/>
      <c r="C180" s="94"/>
    </row>
    <row r="181" spans="1:5" ht="18" x14ac:dyDescent="0.25">
      <c r="A181" s="60"/>
      <c r="B181" s="56"/>
      <c r="C181" s="94"/>
    </row>
    <row r="182" spans="1:5" ht="18" x14ac:dyDescent="0.25">
      <c r="A182" s="60"/>
      <c r="B182" s="56"/>
      <c r="C182" s="94"/>
    </row>
    <row r="183" spans="1:5" ht="18.75" thickBot="1" x14ac:dyDescent="0.3">
      <c r="A183" s="60"/>
      <c r="B183" s="56"/>
      <c r="C183" s="94"/>
    </row>
    <row r="184" spans="1:5" ht="24" thickBot="1" x14ac:dyDescent="0.3">
      <c r="A184" s="66"/>
      <c r="B184" s="67"/>
      <c r="C184" s="64"/>
      <c r="D184" s="100" t="s">
        <v>43</v>
      </c>
      <c r="E184" s="99">
        <f>E189-E185</f>
        <v>0</v>
      </c>
    </row>
    <row r="185" spans="1:5" ht="21" thickBot="1" x14ac:dyDescent="0.3">
      <c r="A185" s="68">
        <f>SUM(A176:A184)</f>
        <v>8945</v>
      </c>
      <c r="B185" s="69">
        <f>SUM(B176:B184)</f>
        <v>1000</v>
      </c>
      <c r="C185" s="70"/>
      <c r="D185" s="84" t="s">
        <v>94</v>
      </c>
      <c r="E185" s="85"/>
    </row>
    <row r="186" spans="1:5" ht="19.5" thickBot="1" x14ac:dyDescent="0.3">
      <c r="A186" s="462" t="s">
        <v>139</v>
      </c>
      <c r="B186" s="463"/>
      <c r="C186" s="71" t="s">
        <v>75</v>
      </c>
      <c r="D186" s="82" t="s">
        <v>65</v>
      </c>
      <c r="E186" s="83"/>
    </row>
    <row r="187" spans="1:5" ht="24" thickBot="1" x14ac:dyDescent="0.3">
      <c r="A187" s="464">
        <f>B185+A185</f>
        <v>9945</v>
      </c>
      <c r="B187" s="465"/>
      <c r="C187" s="81">
        <f>85+230+334+125</f>
        <v>774</v>
      </c>
      <c r="D187" s="82"/>
      <c r="E187" s="83"/>
    </row>
    <row r="188" spans="1:5" ht="24" thickBot="1" x14ac:dyDescent="0.3">
      <c r="A188" s="466" t="s">
        <v>99</v>
      </c>
      <c r="B188" s="467"/>
      <c r="C188" s="78">
        <f>A189-C189</f>
        <v>-190</v>
      </c>
      <c r="D188" s="82"/>
      <c r="E188" s="83"/>
    </row>
    <row r="189" spans="1:5" ht="24" thickBot="1" x14ac:dyDescent="0.3">
      <c r="A189" s="481">
        <f>C187+A187</f>
        <v>10719</v>
      </c>
      <c r="B189" s="482"/>
      <c r="C189" s="121">
        <v>10909</v>
      </c>
      <c r="D189" s="82" t="s">
        <v>164</v>
      </c>
      <c r="E189" s="83">
        <f>SUM(E186:E188)</f>
        <v>0</v>
      </c>
    </row>
    <row r="190" spans="1:5" ht="23.25" customHeight="1" thickBot="1" x14ac:dyDescent="0.3">
      <c r="A190"/>
      <c r="B190" s="97"/>
      <c r="C190" s="314" t="str">
        <f>IF(C188&gt;0,"زيادة","عجز")</f>
        <v>عجز</v>
      </c>
    </row>
    <row r="191" spans="1:5" x14ac:dyDescent="0.25">
      <c r="A191"/>
      <c r="B191"/>
    </row>
    <row r="192" spans="1:5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ht="21.75" customHeight="1" x14ac:dyDescent="0.25">
      <c r="A204"/>
      <c r="B204"/>
    </row>
    <row r="205" spans="1:2" ht="21" customHeight="1" x14ac:dyDescent="0.25">
      <c r="A205"/>
      <c r="B205"/>
    </row>
    <row r="206" spans="1:2" x14ac:dyDescent="0.25">
      <c r="A206"/>
      <c r="B206"/>
    </row>
    <row r="207" spans="1:2" ht="19.5" customHeight="1" x14ac:dyDescent="0.25">
      <c r="A207"/>
      <c r="B207"/>
    </row>
    <row r="208" spans="1:2" ht="19.5" customHeight="1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6" x14ac:dyDescent="0.25">
      <c r="A321"/>
      <c r="B321"/>
    </row>
    <row r="322" spans="1:6" x14ac:dyDescent="0.25">
      <c r="A322"/>
      <c r="B322"/>
    </row>
    <row r="323" spans="1:6" x14ac:dyDescent="0.25">
      <c r="A323"/>
      <c r="B323"/>
    </row>
    <row r="324" spans="1:6" x14ac:dyDescent="0.25">
      <c r="A324"/>
      <c r="B324"/>
    </row>
    <row r="325" spans="1:6" x14ac:dyDescent="0.25">
      <c r="A325"/>
      <c r="B325"/>
    </row>
    <row r="326" spans="1:6" x14ac:dyDescent="0.25">
      <c r="A326"/>
      <c r="B326"/>
      <c r="F326">
        <f>2778+2841-2043-2544</f>
        <v>1032</v>
      </c>
    </row>
    <row r="327" spans="1:6" x14ac:dyDescent="0.25">
      <c r="A327"/>
      <c r="B327"/>
      <c r="F327">
        <v>920</v>
      </c>
    </row>
    <row r="328" spans="1:6" x14ac:dyDescent="0.25">
      <c r="A328"/>
      <c r="B328"/>
    </row>
    <row r="329" spans="1:6" x14ac:dyDescent="0.25">
      <c r="A329"/>
      <c r="B329"/>
    </row>
    <row r="330" spans="1:6" x14ac:dyDescent="0.25">
      <c r="A330"/>
      <c r="B330"/>
    </row>
    <row r="331" spans="1:6" x14ac:dyDescent="0.25">
      <c r="A331"/>
      <c r="B331"/>
    </row>
    <row r="332" spans="1:6" x14ac:dyDescent="0.25">
      <c r="A332"/>
      <c r="B332"/>
    </row>
    <row r="333" spans="1:6" x14ac:dyDescent="0.25">
      <c r="A333"/>
      <c r="B333"/>
    </row>
    <row r="334" spans="1:6" x14ac:dyDescent="0.25">
      <c r="A334"/>
      <c r="B334"/>
    </row>
    <row r="335" spans="1:6" x14ac:dyDescent="0.25">
      <c r="A335"/>
      <c r="B335"/>
    </row>
    <row r="336" spans="1:6" x14ac:dyDescent="0.25">
      <c r="A336"/>
      <c r="B336"/>
    </row>
    <row r="337" spans="1:7" x14ac:dyDescent="0.25">
      <c r="A337"/>
      <c r="B337"/>
    </row>
    <row r="338" spans="1:7" x14ac:dyDescent="0.25">
      <c r="A338"/>
      <c r="B338"/>
    </row>
    <row r="339" spans="1:7" x14ac:dyDescent="0.25">
      <c r="A339"/>
      <c r="B339"/>
    </row>
    <row r="340" spans="1:7" x14ac:dyDescent="0.25">
      <c r="A340"/>
      <c r="B340"/>
    </row>
    <row r="341" spans="1:7" x14ac:dyDescent="0.25">
      <c r="A341"/>
      <c r="B341"/>
    </row>
    <row r="342" spans="1:7" x14ac:dyDescent="0.25">
      <c r="A342"/>
      <c r="B342"/>
    </row>
    <row r="343" spans="1:7" x14ac:dyDescent="0.25">
      <c r="A343"/>
      <c r="B343"/>
    </row>
    <row r="344" spans="1:7" x14ac:dyDescent="0.25">
      <c r="A344"/>
      <c r="B344"/>
    </row>
    <row r="345" spans="1:7" x14ac:dyDescent="0.25">
      <c r="A345"/>
      <c r="B345"/>
    </row>
    <row r="346" spans="1:7" x14ac:dyDescent="0.25">
      <c r="A346"/>
      <c r="B346"/>
      <c r="G346" t="e">
        <f>#REF!-#REF!</f>
        <v>#REF!</v>
      </c>
    </row>
    <row r="347" spans="1:7" x14ac:dyDescent="0.25">
      <c r="A347"/>
      <c r="B347"/>
    </row>
    <row r="348" spans="1:7" x14ac:dyDescent="0.25">
      <c r="A348"/>
      <c r="B348"/>
    </row>
    <row r="349" spans="1:7" x14ac:dyDescent="0.25">
      <c r="A349"/>
      <c r="B349"/>
    </row>
    <row r="350" spans="1:7" x14ac:dyDescent="0.25">
      <c r="A350"/>
      <c r="B350"/>
    </row>
    <row r="351" spans="1:7" x14ac:dyDescent="0.25">
      <c r="A351"/>
      <c r="B351"/>
    </row>
    <row r="352" spans="1:7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</sheetData>
  <mergeCells count="35">
    <mergeCell ref="B86:C86"/>
    <mergeCell ref="B104:C104"/>
    <mergeCell ref="A116:B116"/>
    <mergeCell ref="A117:B117"/>
    <mergeCell ref="A118:B118"/>
    <mergeCell ref="A119:B119"/>
    <mergeCell ref="A98:B98"/>
    <mergeCell ref="A99:B99"/>
    <mergeCell ref="A100:B100"/>
    <mergeCell ref="A101:B101"/>
    <mergeCell ref="B68:C68"/>
    <mergeCell ref="A80:B80"/>
    <mergeCell ref="A81:B81"/>
    <mergeCell ref="A82:B82"/>
    <mergeCell ref="A83:B83"/>
    <mergeCell ref="B121:C121"/>
    <mergeCell ref="A133:B133"/>
    <mergeCell ref="A134:B134"/>
    <mergeCell ref="A135:B135"/>
    <mergeCell ref="A136:B136"/>
    <mergeCell ref="B139:C139"/>
    <mergeCell ref="A151:B151"/>
    <mergeCell ref="A152:B152"/>
    <mergeCell ref="A153:B153"/>
    <mergeCell ref="A154:B154"/>
    <mergeCell ref="B157:C157"/>
    <mergeCell ref="A169:B169"/>
    <mergeCell ref="A170:B170"/>
    <mergeCell ref="A171:B171"/>
    <mergeCell ref="A172:B172"/>
    <mergeCell ref="B174:C174"/>
    <mergeCell ref="A186:B186"/>
    <mergeCell ref="A187:B187"/>
    <mergeCell ref="A188:B188"/>
    <mergeCell ref="A189:B189"/>
  </mergeCells>
  <phoneticPr fontId="26" type="noConversion"/>
  <conditionalFormatting sqref="C84">
    <cfRule type="expression" dxfId="123" priority="13">
      <formula>C84="عجز"</formula>
    </cfRule>
    <cfRule type="expression" dxfId="122" priority="14">
      <formula>C84="زيادة"</formula>
    </cfRule>
  </conditionalFormatting>
  <conditionalFormatting sqref="C102">
    <cfRule type="expression" dxfId="121" priority="11">
      <formula>C102="عجز"</formula>
    </cfRule>
    <cfRule type="expression" dxfId="120" priority="12">
      <formula>C102="زيادة"</formula>
    </cfRule>
  </conditionalFormatting>
  <conditionalFormatting sqref="C120">
    <cfRule type="expression" dxfId="119" priority="9">
      <formula>C120="عجز"</formula>
    </cfRule>
    <cfRule type="expression" dxfId="118" priority="10">
      <formula>C120="زيادة"</formula>
    </cfRule>
  </conditionalFormatting>
  <conditionalFormatting sqref="C137">
    <cfRule type="expression" dxfId="117" priority="7">
      <formula>C137="عجز"</formula>
    </cfRule>
    <cfRule type="expression" dxfId="116" priority="8">
      <formula>C137="زيادة"</formula>
    </cfRule>
  </conditionalFormatting>
  <conditionalFormatting sqref="C155">
    <cfRule type="expression" dxfId="115" priority="5">
      <formula>C155="عجز"</formula>
    </cfRule>
    <cfRule type="expression" dxfId="114" priority="6">
      <formula>C155="زيادة"</formula>
    </cfRule>
  </conditionalFormatting>
  <conditionalFormatting sqref="C173">
    <cfRule type="expression" dxfId="113" priority="3">
      <formula>C173="عجز"</formula>
    </cfRule>
    <cfRule type="expression" dxfId="112" priority="4">
      <formula>C173="زيادة"</formula>
    </cfRule>
  </conditionalFormatting>
  <conditionalFormatting sqref="C190">
    <cfRule type="expression" dxfId="111" priority="1">
      <formula>C190="عجز"</formula>
    </cfRule>
    <cfRule type="expression" dxfId="110" priority="2">
      <formula>C190="زيادة"</formula>
    </cfRule>
  </conditionalFormatting>
  <pageMargins left="0.7" right="0.7" top="0.75" bottom="0.75" header="0.3" footer="0.3"/>
  <pageSetup paperSize="260" orientation="portrait" horizontalDpi="203" verticalDpi="20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39AEEE-DE8B-4F21-95EA-7E0CE71E8A16}">
          <x14:formula1>
            <xm:f>data!$A$57:$A$70</xm:f>
          </x14:formula1>
          <xm:sqref>C56:C62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5E11-8FA1-4E69-9BE1-4688189A9C38}">
  <sheetPr codeName="Sheet20"/>
  <dimension ref="A1:K447"/>
  <sheetViews>
    <sheetView rightToLeft="1" topLeftCell="A87" zoomScale="115" zoomScaleNormal="115" workbookViewId="0">
      <selection activeCell="C211" sqref="C211"/>
    </sheetView>
  </sheetViews>
  <sheetFormatPr defaultRowHeight="15" x14ac:dyDescent="0.25"/>
  <cols>
    <col min="1" max="1" width="32.85546875" style="9" bestFit="1" customWidth="1"/>
    <col min="2" max="2" width="23.42578125" style="10" customWidth="1"/>
    <col min="3" max="3" width="24.85546875" bestFit="1" customWidth="1"/>
    <col min="4" max="4" width="21" customWidth="1"/>
    <col min="5" max="5" width="24.140625" customWidth="1"/>
    <col min="6" max="6" width="8.140625" customWidth="1"/>
    <col min="7" max="7" width="45.85546875" customWidth="1"/>
    <col min="8" max="8" width="14.5703125" customWidth="1"/>
    <col min="9" max="9" width="10.7109375" customWidth="1"/>
  </cols>
  <sheetData>
    <row r="1" spans="1:5" ht="18.75" x14ac:dyDescent="0.3">
      <c r="A1" s="1" t="s">
        <v>0</v>
      </c>
      <c r="B1" s="2">
        <v>45115</v>
      </c>
      <c r="C1" s="3"/>
      <c r="D1" s="3"/>
    </row>
    <row r="2" spans="1:5" x14ac:dyDescent="0.25">
      <c r="A2" s="4" t="s">
        <v>1</v>
      </c>
      <c r="B2" s="5" t="s">
        <v>2</v>
      </c>
      <c r="C2" s="5" t="s">
        <v>3</v>
      </c>
      <c r="D2" s="6" t="s">
        <v>4</v>
      </c>
      <c r="E2" s="5" t="s">
        <v>5</v>
      </c>
    </row>
    <row r="3" spans="1:5" x14ac:dyDescent="0.25">
      <c r="A3" s="19" t="s">
        <v>48</v>
      </c>
      <c r="B3" s="31">
        <f>1150+60+10000+10000+10000+15000+500+500+500</f>
        <v>47710</v>
      </c>
      <c r="C3" s="90" t="s">
        <v>33</v>
      </c>
      <c r="D3" s="21">
        <v>62</v>
      </c>
      <c r="E3" s="122"/>
    </row>
    <row r="4" spans="1:5" x14ac:dyDescent="0.25">
      <c r="A4" s="20" t="s">
        <v>9</v>
      </c>
      <c r="B4" s="22">
        <v>18267</v>
      </c>
      <c r="C4" s="90" t="s">
        <v>266</v>
      </c>
      <c r="D4" s="21">
        <v>10000</v>
      </c>
      <c r="E4" s="123"/>
    </row>
    <row r="5" spans="1:5" x14ac:dyDescent="0.25">
      <c r="A5" s="20" t="s">
        <v>28</v>
      </c>
      <c r="B5" s="22">
        <v>634</v>
      </c>
      <c r="C5" s="90" t="s">
        <v>10</v>
      </c>
      <c r="D5" s="21">
        <v>40</v>
      </c>
      <c r="E5" s="123"/>
    </row>
    <row r="6" spans="1:5" x14ac:dyDescent="0.25">
      <c r="A6" s="20" t="s">
        <v>19</v>
      </c>
      <c r="B6" s="22">
        <f>500+250+190</f>
        <v>940</v>
      </c>
      <c r="C6" s="90" t="s">
        <v>470</v>
      </c>
      <c r="D6" s="21">
        <v>2560</v>
      </c>
      <c r="E6" s="123"/>
    </row>
    <row r="7" spans="1:5" x14ac:dyDescent="0.25">
      <c r="A7" s="20" t="s">
        <v>80</v>
      </c>
      <c r="B7" s="22">
        <v>10280</v>
      </c>
      <c r="C7" s="20" t="s">
        <v>16</v>
      </c>
      <c r="D7" s="21">
        <v>9050</v>
      </c>
      <c r="E7" s="123"/>
    </row>
    <row r="8" spans="1:5" x14ac:dyDescent="0.25">
      <c r="A8" s="20" t="s">
        <v>81</v>
      </c>
      <c r="B8" s="22">
        <v>1141</v>
      </c>
      <c r="C8" s="20" t="s">
        <v>57</v>
      </c>
      <c r="D8" s="91">
        <v>6852</v>
      </c>
      <c r="E8" s="123"/>
    </row>
    <row r="9" spans="1:5" x14ac:dyDescent="0.25">
      <c r="A9" s="20" t="s">
        <v>27</v>
      </c>
      <c r="B9" s="21">
        <f>5050+105</f>
        <v>5155</v>
      </c>
      <c r="C9" s="20" t="s">
        <v>473</v>
      </c>
      <c r="D9" s="96">
        <v>2960</v>
      </c>
      <c r="E9" s="124"/>
    </row>
    <row r="10" spans="1:5" x14ac:dyDescent="0.25">
      <c r="A10" s="20" t="s">
        <v>430</v>
      </c>
      <c r="B10" s="21">
        <v>165</v>
      </c>
      <c r="C10" s="90" t="s">
        <v>393</v>
      </c>
      <c r="D10" s="96">
        <v>120</v>
      </c>
      <c r="E10" s="124"/>
    </row>
    <row r="11" spans="1:5" x14ac:dyDescent="0.25">
      <c r="A11" s="20" t="s">
        <v>27</v>
      </c>
      <c r="B11" s="21">
        <v>445</v>
      </c>
      <c r="C11" s="90" t="s">
        <v>399</v>
      </c>
      <c r="D11" s="96">
        <v>215</v>
      </c>
      <c r="E11" s="124"/>
    </row>
    <row r="12" spans="1:5" x14ac:dyDescent="0.25">
      <c r="A12" s="20" t="s">
        <v>35</v>
      </c>
      <c r="B12" s="21">
        <v>30</v>
      </c>
      <c r="C12" s="20" t="s">
        <v>8</v>
      </c>
      <c r="D12" s="96">
        <v>255</v>
      </c>
      <c r="E12" s="125"/>
    </row>
    <row r="13" spans="1:5" ht="18" x14ac:dyDescent="0.25">
      <c r="A13" s="20" t="s">
        <v>490</v>
      </c>
      <c r="B13" s="96">
        <v>2415</v>
      </c>
      <c r="C13" s="90" t="s">
        <v>265</v>
      </c>
      <c r="D13" s="96">
        <v>105</v>
      </c>
      <c r="E13" s="77"/>
    </row>
    <row r="14" spans="1:5" ht="18" x14ac:dyDescent="0.25">
      <c r="A14" s="20" t="s">
        <v>29</v>
      </c>
      <c r="B14" s="96">
        <v>25171</v>
      </c>
      <c r="C14" s="90" t="s">
        <v>12</v>
      </c>
      <c r="D14" s="96">
        <v>2455</v>
      </c>
      <c r="E14" s="77"/>
    </row>
    <row r="15" spans="1:5" ht="18" x14ac:dyDescent="0.25">
      <c r="A15" s="20" t="s">
        <v>465</v>
      </c>
      <c r="B15" s="21">
        <v>1164</v>
      </c>
      <c r="C15" s="20" t="s">
        <v>11</v>
      </c>
      <c r="D15" s="96">
        <v>410</v>
      </c>
      <c r="E15" s="56"/>
    </row>
    <row r="16" spans="1:5" x14ac:dyDescent="0.25">
      <c r="A16" s="20" t="s">
        <v>15</v>
      </c>
      <c r="B16" s="20">
        <v>22522</v>
      </c>
      <c r="C16" s="20" t="s">
        <v>474</v>
      </c>
      <c r="D16" s="22">
        <v>1050</v>
      </c>
      <c r="E16" s="124"/>
    </row>
    <row r="17" spans="1:7" x14ac:dyDescent="0.25">
      <c r="A17" s="20" t="s">
        <v>90</v>
      </c>
      <c r="B17" s="22">
        <v>60</v>
      </c>
      <c r="C17" s="20" t="s">
        <v>476</v>
      </c>
      <c r="D17" s="22">
        <v>290</v>
      </c>
      <c r="E17" s="124"/>
    </row>
    <row r="18" spans="1:7" x14ac:dyDescent="0.25">
      <c r="A18" s="20" t="s">
        <v>88</v>
      </c>
      <c r="B18" s="20">
        <v>17998</v>
      </c>
      <c r="C18" s="20" t="s">
        <v>37</v>
      </c>
      <c r="D18" s="22">
        <v>505</v>
      </c>
      <c r="E18" s="124"/>
      <c r="G18" s="97"/>
    </row>
    <row r="19" spans="1:7" x14ac:dyDescent="0.25">
      <c r="A19" s="20" t="s">
        <v>216</v>
      </c>
      <c r="B19" s="22">
        <v>390</v>
      </c>
      <c r="C19" s="20" t="s">
        <v>477</v>
      </c>
      <c r="D19" s="22">
        <v>1000</v>
      </c>
      <c r="E19" s="124"/>
      <c r="G19" s="97"/>
    </row>
    <row r="20" spans="1:7" x14ac:dyDescent="0.25">
      <c r="A20" s="20" t="s">
        <v>6</v>
      </c>
      <c r="B20" s="22">
        <v>5890</v>
      </c>
      <c r="C20" s="20" t="s">
        <v>479</v>
      </c>
      <c r="D20" s="22">
        <v>1000</v>
      </c>
      <c r="E20" s="124"/>
      <c r="G20" s="97"/>
    </row>
    <row r="21" spans="1:7" x14ac:dyDescent="0.25">
      <c r="A21" s="20" t="s">
        <v>93</v>
      </c>
      <c r="B21" s="22">
        <v>127</v>
      </c>
      <c r="C21" s="20" t="s">
        <v>480</v>
      </c>
      <c r="D21" s="22">
        <v>140</v>
      </c>
      <c r="E21" s="124"/>
      <c r="G21" s="97"/>
    </row>
    <row r="22" spans="1:7" ht="15.75" x14ac:dyDescent="0.25">
      <c r="A22" s="20" t="s">
        <v>24</v>
      </c>
      <c r="B22" s="22">
        <f>3460</f>
        <v>3460</v>
      </c>
      <c r="C22" s="20" t="s">
        <v>481</v>
      </c>
      <c r="D22" s="22">
        <v>140</v>
      </c>
      <c r="E22" s="124"/>
      <c r="F22" s="15"/>
      <c r="G22" s="97"/>
    </row>
    <row r="23" spans="1:7" ht="15.75" x14ac:dyDescent="0.25">
      <c r="C23" s="20" t="s">
        <v>13</v>
      </c>
      <c r="D23" s="22">
        <v>50</v>
      </c>
      <c r="E23" s="124"/>
      <c r="F23" s="15"/>
      <c r="G23" s="97"/>
    </row>
    <row r="24" spans="1:7" ht="15.75" x14ac:dyDescent="0.25">
      <c r="A24" s="20"/>
      <c r="B24" s="22"/>
      <c r="C24" s="20" t="s">
        <v>49</v>
      </c>
      <c r="D24" s="22">
        <v>3945</v>
      </c>
      <c r="E24" s="124"/>
      <c r="F24" s="15"/>
    </row>
    <row r="25" spans="1:7" ht="15.75" x14ac:dyDescent="0.25">
      <c r="A25" s="20"/>
      <c r="B25" s="22"/>
      <c r="C25" s="41" t="s">
        <v>482</v>
      </c>
      <c r="D25" s="32">
        <v>180</v>
      </c>
      <c r="E25" s="124"/>
      <c r="F25" s="15"/>
    </row>
    <row r="26" spans="1:7" ht="15.75" x14ac:dyDescent="0.25">
      <c r="A26" s="20"/>
      <c r="B26" s="22"/>
      <c r="C26" s="41" t="s">
        <v>483</v>
      </c>
      <c r="D26" s="32">
        <v>1365</v>
      </c>
      <c r="E26" s="124"/>
      <c r="F26" s="15"/>
    </row>
    <row r="27" spans="1:7" ht="15.75" x14ac:dyDescent="0.25">
      <c r="A27" s="20"/>
      <c r="B27" s="22"/>
      <c r="C27" s="20" t="s">
        <v>485</v>
      </c>
      <c r="D27" s="32">
        <v>5060</v>
      </c>
      <c r="E27" s="124"/>
      <c r="F27" s="15"/>
    </row>
    <row r="28" spans="1:7" ht="15.75" x14ac:dyDescent="0.25">
      <c r="A28" s="20"/>
      <c r="B28" s="22"/>
      <c r="C28" s="20" t="s">
        <v>43</v>
      </c>
      <c r="D28" s="140">
        <v>15000</v>
      </c>
      <c r="E28" s="124"/>
      <c r="F28" s="15"/>
    </row>
    <row r="29" spans="1:7" ht="15.75" x14ac:dyDescent="0.25">
      <c r="A29" s="20"/>
      <c r="B29" s="22"/>
      <c r="C29" s="20" t="s">
        <v>14</v>
      </c>
      <c r="D29" s="140">
        <v>1700</v>
      </c>
      <c r="E29" s="124"/>
      <c r="F29" s="15"/>
      <c r="G29" s="97"/>
    </row>
    <row r="30" spans="1:7" ht="15.75" x14ac:dyDescent="0.25">
      <c r="A30" s="20"/>
      <c r="B30" s="22"/>
      <c r="C30" s="20" t="s">
        <v>486</v>
      </c>
      <c r="D30" s="140">
        <v>85</v>
      </c>
      <c r="E30" s="124"/>
      <c r="F30" s="15"/>
      <c r="G30" s="97"/>
    </row>
    <row r="31" spans="1:7" ht="15.75" x14ac:dyDescent="0.25">
      <c r="A31" s="20"/>
      <c r="B31" s="22"/>
      <c r="C31" s="20" t="s">
        <v>370</v>
      </c>
      <c r="D31" s="140">
        <f>40+25</f>
        <v>65</v>
      </c>
      <c r="E31" s="124"/>
      <c r="F31" s="15"/>
      <c r="G31" s="97"/>
    </row>
    <row r="32" spans="1:7" ht="15.75" x14ac:dyDescent="0.25">
      <c r="A32" s="20"/>
      <c r="B32" s="22"/>
      <c r="C32" s="20" t="s">
        <v>488</v>
      </c>
      <c r="D32" s="140">
        <v>5485</v>
      </c>
      <c r="E32" s="124"/>
      <c r="F32" s="15"/>
      <c r="G32" s="97"/>
    </row>
    <row r="33" spans="1:7" ht="15.75" x14ac:dyDescent="0.25">
      <c r="A33" s="20"/>
      <c r="B33" s="22"/>
      <c r="C33" s="20" t="s">
        <v>487</v>
      </c>
      <c r="D33" s="140">
        <v>2000</v>
      </c>
      <c r="E33" s="124"/>
      <c r="F33" s="15"/>
    </row>
    <row r="34" spans="1:7" ht="15.75" x14ac:dyDescent="0.25">
      <c r="A34" s="20"/>
      <c r="B34" s="22"/>
      <c r="C34" s="20" t="s">
        <v>489</v>
      </c>
      <c r="D34" s="140">
        <v>16</v>
      </c>
      <c r="E34" s="124"/>
      <c r="F34" s="15"/>
      <c r="G34" s="97"/>
    </row>
    <row r="35" spans="1:7" ht="15.75" x14ac:dyDescent="0.25">
      <c r="A35" s="20"/>
      <c r="B35" s="22"/>
      <c r="C35" s="20" t="s">
        <v>376</v>
      </c>
      <c r="D35" s="140">
        <v>100</v>
      </c>
      <c r="E35" s="124"/>
      <c r="F35" s="15"/>
      <c r="G35" s="97"/>
    </row>
    <row r="36" spans="1:7" ht="15.75" x14ac:dyDescent="0.25">
      <c r="A36" s="20"/>
      <c r="B36" s="22"/>
      <c r="C36" s="20" t="s">
        <v>341</v>
      </c>
      <c r="D36" s="140">
        <v>100</v>
      </c>
      <c r="E36" s="124"/>
      <c r="F36" s="15"/>
      <c r="G36" s="97"/>
    </row>
    <row r="37" spans="1:7" ht="15.75" x14ac:dyDescent="0.25">
      <c r="A37" s="20"/>
      <c r="B37" s="22"/>
      <c r="C37" s="20" t="s">
        <v>7</v>
      </c>
      <c r="D37" s="140">
        <v>240</v>
      </c>
      <c r="E37" s="124"/>
      <c r="F37" s="15"/>
      <c r="G37" s="97"/>
    </row>
    <row r="38" spans="1:7" ht="15.75" x14ac:dyDescent="0.25">
      <c r="A38" s="20"/>
      <c r="B38" s="22"/>
      <c r="C38" s="20" t="s">
        <v>501</v>
      </c>
      <c r="D38" s="140">
        <v>10</v>
      </c>
      <c r="E38" s="124"/>
      <c r="F38" s="15"/>
      <c r="G38" s="97"/>
    </row>
    <row r="39" spans="1:7" ht="15.75" x14ac:dyDescent="0.25">
      <c r="A39" s="20"/>
      <c r="B39" s="22"/>
      <c r="C39" s="20" t="s">
        <v>502</v>
      </c>
      <c r="D39" s="140">
        <v>10</v>
      </c>
      <c r="E39" s="124"/>
      <c r="F39" s="15"/>
    </row>
    <row r="40" spans="1:7" ht="15.75" x14ac:dyDescent="0.25">
      <c r="A40" s="20"/>
      <c r="B40" s="22"/>
      <c r="C40" s="20" t="s">
        <v>503</v>
      </c>
      <c r="D40" s="140">
        <v>374</v>
      </c>
      <c r="E40" s="124"/>
      <c r="F40" s="15"/>
    </row>
    <row r="41" spans="1:7" ht="15.75" x14ac:dyDescent="0.25">
      <c r="A41" s="20"/>
      <c r="B41" s="22"/>
      <c r="C41" s="20" t="s">
        <v>79</v>
      </c>
      <c r="D41" s="140">
        <v>620</v>
      </c>
      <c r="E41" s="124"/>
      <c r="F41" s="15"/>
    </row>
    <row r="42" spans="1:7" ht="15.75" x14ac:dyDescent="0.25">
      <c r="A42" s="20"/>
      <c r="B42" s="22"/>
      <c r="C42" s="20" t="s">
        <v>504</v>
      </c>
      <c r="D42" s="140">
        <v>720</v>
      </c>
      <c r="E42" s="124"/>
      <c r="F42" s="15"/>
    </row>
    <row r="43" spans="1:7" ht="15.75" x14ac:dyDescent="0.25">
      <c r="A43" s="20"/>
      <c r="B43" s="22"/>
      <c r="C43" s="20" t="s">
        <v>505</v>
      </c>
      <c r="D43" s="140">
        <v>1340</v>
      </c>
      <c r="E43" s="124"/>
      <c r="F43" s="15"/>
    </row>
    <row r="44" spans="1:7" ht="15.75" x14ac:dyDescent="0.25">
      <c r="A44" s="20"/>
      <c r="B44" s="22"/>
      <c r="C44" s="20" t="s">
        <v>506</v>
      </c>
      <c r="D44" s="140">
        <v>285</v>
      </c>
      <c r="E44" s="124"/>
      <c r="F44" s="15"/>
    </row>
    <row r="45" spans="1:7" ht="15.75" x14ac:dyDescent="0.25">
      <c r="A45" s="20"/>
      <c r="B45" s="22"/>
      <c r="C45" s="20" t="s">
        <v>45</v>
      </c>
      <c r="D45" s="140">
        <v>1445</v>
      </c>
      <c r="E45" s="124"/>
      <c r="F45" s="15"/>
    </row>
    <row r="46" spans="1:7" ht="15.75" x14ac:dyDescent="0.25">
      <c r="A46" s="20"/>
      <c r="B46" s="22"/>
      <c r="C46" s="20" t="s">
        <v>6</v>
      </c>
      <c r="D46" s="140">
        <v>840</v>
      </c>
      <c r="E46" s="124"/>
      <c r="F46" s="15"/>
    </row>
    <row r="47" spans="1:7" ht="15.75" x14ac:dyDescent="0.25">
      <c r="A47" s="20"/>
      <c r="B47" s="22"/>
      <c r="C47" s="20" t="s">
        <v>507</v>
      </c>
      <c r="D47" s="140">
        <v>200</v>
      </c>
      <c r="E47" s="124"/>
      <c r="F47" s="15"/>
    </row>
    <row r="48" spans="1:7" ht="15.75" x14ac:dyDescent="0.25">
      <c r="A48" s="20"/>
      <c r="B48" s="22"/>
      <c r="C48" s="20" t="s">
        <v>508</v>
      </c>
      <c r="D48" s="140">
        <v>1568</v>
      </c>
      <c r="E48" s="124"/>
      <c r="F48" s="15"/>
    </row>
    <row r="49" spans="1:11" ht="15.75" x14ac:dyDescent="0.25">
      <c r="A49" s="20"/>
      <c r="B49" s="22"/>
      <c r="C49" s="20" t="s">
        <v>212</v>
      </c>
      <c r="D49" s="140">
        <v>46</v>
      </c>
      <c r="E49" s="124"/>
      <c r="F49" s="15"/>
    </row>
    <row r="50" spans="1:11" ht="15.75" x14ac:dyDescent="0.25">
      <c r="A50" s="20"/>
      <c r="B50" s="22"/>
      <c r="C50" s="20" t="s">
        <v>509</v>
      </c>
      <c r="D50" s="140">
        <v>2000</v>
      </c>
      <c r="E50" s="124"/>
      <c r="F50" s="15"/>
    </row>
    <row r="51" spans="1:11" ht="15.75" x14ac:dyDescent="0.25">
      <c r="A51" s="20"/>
      <c r="B51" s="22"/>
      <c r="C51" s="20" t="s">
        <v>210</v>
      </c>
      <c r="D51" s="140">
        <v>225</v>
      </c>
      <c r="E51" s="124"/>
      <c r="F51" s="15"/>
    </row>
    <row r="52" spans="1:11" ht="15.75" x14ac:dyDescent="0.25">
      <c r="A52" s="20"/>
      <c r="B52" s="22"/>
      <c r="C52" s="20" t="s">
        <v>510</v>
      </c>
      <c r="D52" s="140">
        <v>520</v>
      </c>
      <c r="E52" s="124"/>
      <c r="F52" s="15"/>
    </row>
    <row r="53" spans="1:11" ht="15.75" x14ac:dyDescent="0.25">
      <c r="A53" s="20"/>
      <c r="B53" s="22"/>
      <c r="C53" s="20" t="s">
        <v>255</v>
      </c>
      <c r="D53" s="140">
        <v>240</v>
      </c>
      <c r="E53" s="124"/>
      <c r="F53" s="15"/>
    </row>
    <row r="54" spans="1:11" ht="15.75" x14ac:dyDescent="0.25">
      <c r="A54" s="20"/>
      <c r="B54" s="22"/>
      <c r="C54" s="20" t="s">
        <v>89</v>
      </c>
      <c r="D54" s="140">
        <v>80</v>
      </c>
      <c r="E54" s="124"/>
      <c r="F54" s="15"/>
    </row>
    <row r="55" spans="1:11" ht="15.75" x14ac:dyDescent="0.25">
      <c r="A55" s="20"/>
      <c r="B55" s="22"/>
      <c r="C55" s="20" t="s">
        <v>39</v>
      </c>
      <c r="D55" s="140">
        <v>120</v>
      </c>
      <c r="E55" s="124"/>
      <c r="K55" s="15"/>
    </row>
    <row r="56" spans="1:11" ht="15.75" x14ac:dyDescent="0.25">
      <c r="A56" s="20"/>
      <c r="B56" s="22"/>
      <c r="C56" s="20" t="s">
        <v>26</v>
      </c>
      <c r="D56" s="140">
        <v>75</v>
      </c>
      <c r="E56" s="124"/>
      <c r="K56" s="15"/>
    </row>
    <row r="57" spans="1:11" ht="15.75" x14ac:dyDescent="0.25">
      <c r="A57" s="20"/>
      <c r="B57" s="22"/>
      <c r="C57" s="20" t="s">
        <v>491</v>
      </c>
      <c r="D57" s="140">
        <v>50</v>
      </c>
      <c r="E57" s="124"/>
    </row>
    <row r="58" spans="1:11" ht="15.75" x14ac:dyDescent="0.25">
      <c r="A58" s="20"/>
      <c r="B58" s="22"/>
      <c r="C58" s="20" t="s">
        <v>492</v>
      </c>
      <c r="D58" s="140">
        <v>60</v>
      </c>
      <c r="E58" s="124"/>
    </row>
    <row r="59" spans="1:11" ht="15.75" x14ac:dyDescent="0.25">
      <c r="A59" s="20"/>
      <c r="B59" s="22"/>
      <c r="C59" s="20" t="s">
        <v>493</v>
      </c>
      <c r="D59" s="140">
        <v>36</v>
      </c>
      <c r="E59" s="124"/>
    </row>
    <row r="60" spans="1:11" ht="15.75" x14ac:dyDescent="0.25">
      <c r="A60" s="20"/>
      <c r="B60" s="22"/>
      <c r="C60" s="20" t="s">
        <v>458</v>
      </c>
      <c r="D60" s="140">
        <v>30</v>
      </c>
      <c r="E60" s="124"/>
    </row>
    <row r="61" spans="1:11" ht="15.75" x14ac:dyDescent="0.25">
      <c r="A61" s="20"/>
      <c r="B61" s="22"/>
      <c r="C61" s="20" t="s">
        <v>494</v>
      </c>
      <c r="D61" s="140">
        <v>100</v>
      </c>
      <c r="E61" s="124"/>
    </row>
    <row r="62" spans="1:11" ht="15.75" x14ac:dyDescent="0.25">
      <c r="A62" s="20"/>
      <c r="B62" s="22"/>
      <c r="C62" s="20" t="s">
        <v>495</v>
      </c>
      <c r="D62" s="140">
        <v>205</v>
      </c>
      <c r="E62" s="124"/>
    </row>
    <row r="63" spans="1:11" ht="15.75" x14ac:dyDescent="0.25">
      <c r="A63" s="20"/>
      <c r="B63" s="22"/>
      <c r="C63" s="20" t="s">
        <v>499</v>
      </c>
      <c r="D63" s="140">
        <v>3550</v>
      </c>
      <c r="E63" s="124"/>
    </row>
    <row r="64" spans="1:11" ht="15.75" x14ac:dyDescent="0.25">
      <c r="A64" s="20"/>
      <c r="B64" s="22"/>
      <c r="C64" s="20" t="s">
        <v>496</v>
      </c>
      <c r="D64" s="140">
        <v>455</v>
      </c>
      <c r="E64" s="124"/>
    </row>
    <row r="65" spans="1:11" ht="15.75" x14ac:dyDescent="0.25">
      <c r="A65" s="20"/>
      <c r="B65" s="22"/>
      <c r="C65" s="20" t="s">
        <v>497</v>
      </c>
      <c r="D65" s="140">
        <v>160</v>
      </c>
      <c r="E65" s="124"/>
    </row>
    <row r="66" spans="1:11" ht="15.75" x14ac:dyDescent="0.25">
      <c r="A66" s="20"/>
      <c r="B66" s="22"/>
      <c r="C66" s="20" t="s">
        <v>20</v>
      </c>
      <c r="D66" s="140">
        <v>3346</v>
      </c>
      <c r="E66" s="124"/>
    </row>
    <row r="67" spans="1:11" ht="15.75" x14ac:dyDescent="0.25">
      <c r="A67" s="20"/>
      <c r="B67" s="22"/>
      <c r="C67" s="20" t="s">
        <v>15</v>
      </c>
      <c r="D67" s="140">
        <v>190</v>
      </c>
      <c r="E67" s="124"/>
    </row>
    <row r="68" spans="1:11" ht="15.75" x14ac:dyDescent="0.25">
      <c r="A68" s="20"/>
      <c r="B68" s="22"/>
      <c r="C68" s="20" t="s">
        <v>498</v>
      </c>
      <c r="D68" s="140">
        <v>185</v>
      </c>
      <c r="E68" s="124"/>
    </row>
    <row r="69" spans="1:11" x14ac:dyDescent="0.25">
      <c r="A69" s="20"/>
      <c r="B69" s="22"/>
      <c r="C69" s="20" t="s">
        <v>86</v>
      </c>
      <c r="D69" s="32">
        <v>185</v>
      </c>
      <c r="E69" s="124"/>
    </row>
    <row r="70" spans="1:11" x14ac:dyDescent="0.25">
      <c r="A70" s="20"/>
      <c r="B70" s="22"/>
      <c r="C70" s="20" t="s">
        <v>512</v>
      </c>
      <c r="D70" s="22">
        <v>2130</v>
      </c>
      <c r="E70" s="124"/>
    </row>
    <row r="71" spans="1:11" x14ac:dyDescent="0.25">
      <c r="A71" s="20"/>
      <c r="B71" s="22"/>
      <c r="C71" s="20" t="s">
        <v>514</v>
      </c>
      <c r="D71" s="22">
        <v>605</v>
      </c>
      <c r="E71" s="124"/>
    </row>
    <row r="72" spans="1:11" ht="21" x14ac:dyDescent="0.35">
      <c r="A72" s="20"/>
      <c r="B72" s="22"/>
      <c r="C72" s="20" t="s">
        <v>511</v>
      </c>
      <c r="D72" s="140">
        <v>200</v>
      </c>
      <c r="E72" s="124"/>
      <c r="K72" s="133"/>
    </row>
    <row r="73" spans="1:11" ht="15.75" x14ac:dyDescent="0.25">
      <c r="A73" s="20"/>
      <c r="B73" s="22"/>
      <c r="C73" s="20" t="s">
        <v>500</v>
      </c>
      <c r="D73" s="140">
        <v>15</v>
      </c>
      <c r="E73" s="124"/>
    </row>
    <row r="74" spans="1:11" x14ac:dyDescent="0.25">
      <c r="A74" s="20"/>
      <c r="B74" s="22"/>
      <c r="C74" s="116" t="s">
        <v>408</v>
      </c>
      <c r="D74" s="32">
        <v>50</v>
      </c>
      <c r="E74" s="124"/>
    </row>
    <row r="75" spans="1:11" x14ac:dyDescent="0.25">
      <c r="A75" s="20"/>
      <c r="B75" s="22"/>
      <c r="C75" s="20" t="s">
        <v>484</v>
      </c>
      <c r="D75" s="22">
        <v>7350</v>
      </c>
      <c r="E75" s="124"/>
    </row>
    <row r="76" spans="1:11" x14ac:dyDescent="0.25">
      <c r="A76" s="20"/>
      <c r="B76" s="22"/>
      <c r="C76" s="20" t="s">
        <v>478</v>
      </c>
      <c r="D76" s="32">
        <v>1300</v>
      </c>
      <c r="E76" s="124"/>
    </row>
    <row r="77" spans="1:11" x14ac:dyDescent="0.25">
      <c r="A77" s="20"/>
      <c r="B77" s="22"/>
      <c r="C77" s="41" t="s">
        <v>27</v>
      </c>
      <c r="D77" s="32">
        <v>90</v>
      </c>
      <c r="E77" s="124"/>
    </row>
    <row r="78" spans="1:11" x14ac:dyDescent="0.25">
      <c r="A78" s="20"/>
      <c r="B78" s="22"/>
      <c r="C78" s="41" t="s">
        <v>458</v>
      </c>
      <c r="D78" s="32">
        <v>276</v>
      </c>
      <c r="E78" s="124"/>
    </row>
    <row r="79" spans="1:11" x14ac:dyDescent="0.25">
      <c r="A79" s="20"/>
      <c r="B79" s="22"/>
      <c r="C79" s="41" t="s">
        <v>475</v>
      </c>
      <c r="D79" s="32">
        <v>20</v>
      </c>
      <c r="E79" s="124"/>
    </row>
    <row r="80" spans="1:11" x14ac:dyDescent="0.25">
      <c r="A80" s="20"/>
      <c r="B80" s="22"/>
      <c r="C80" s="41" t="s">
        <v>513</v>
      </c>
      <c r="D80" s="32">
        <v>5625</v>
      </c>
      <c r="E80" s="124"/>
    </row>
    <row r="81" spans="1:7" ht="23.25" customHeight="1" x14ac:dyDescent="0.25">
      <c r="A81" s="20"/>
      <c r="B81" s="22"/>
      <c r="C81" s="148" t="s">
        <v>472</v>
      </c>
      <c r="D81" s="150">
        <f>3000-D82-625</f>
        <v>900</v>
      </c>
      <c r="E81" s="124"/>
    </row>
    <row r="82" spans="1:7" x14ac:dyDescent="0.25">
      <c r="A82" s="20"/>
      <c r="B82" s="21"/>
      <c r="C82" s="148" t="s">
        <v>537</v>
      </c>
      <c r="D82" s="150">
        <v>1475</v>
      </c>
      <c r="E82" s="124"/>
      <c r="G82">
        <f>5800+4700+250</f>
        <v>10750</v>
      </c>
    </row>
    <row r="83" spans="1:7" x14ac:dyDescent="0.25">
      <c r="A83" s="20"/>
      <c r="B83" s="21"/>
      <c r="C83" s="203"/>
      <c r="D83" s="150"/>
      <c r="E83" s="126"/>
      <c r="G83">
        <f>G82-7350</f>
        <v>3400</v>
      </c>
    </row>
    <row r="84" spans="1:7" x14ac:dyDescent="0.25">
      <c r="A84" s="20"/>
      <c r="B84" s="32"/>
      <c r="C84" s="203"/>
      <c r="D84" s="150"/>
      <c r="E84" s="126"/>
    </row>
    <row r="85" spans="1:7" x14ac:dyDescent="0.25">
      <c r="A85" s="20"/>
      <c r="B85" s="21"/>
      <c r="C85" s="212"/>
      <c r="D85" s="209"/>
      <c r="E85" s="124"/>
    </row>
    <row r="86" spans="1:7" x14ac:dyDescent="0.25">
      <c r="A86" s="20"/>
      <c r="B86" s="117"/>
      <c r="C86" s="212"/>
      <c r="D86" s="209"/>
      <c r="E86" s="124"/>
    </row>
    <row r="87" spans="1:7" x14ac:dyDescent="0.25">
      <c r="A87" s="20"/>
      <c r="B87" s="117"/>
      <c r="C87" s="212"/>
      <c r="D87" s="209"/>
      <c r="E87" s="124"/>
    </row>
    <row r="88" spans="1:7" x14ac:dyDescent="0.25">
      <c r="A88" s="20"/>
      <c r="B88" s="21"/>
      <c r="C88" s="212"/>
      <c r="D88" s="209"/>
      <c r="E88" s="126"/>
    </row>
    <row r="89" spans="1:7" x14ac:dyDescent="0.25">
      <c r="A89" s="20"/>
      <c r="B89" s="21"/>
      <c r="C89" s="212"/>
      <c r="D89" s="209"/>
      <c r="E89" s="126"/>
    </row>
    <row r="90" spans="1:7" x14ac:dyDescent="0.25">
      <c r="A90" s="20"/>
      <c r="B90" s="21"/>
      <c r="C90" s="212"/>
      <c r="D90" s="209"/>
      <c r="E90" s="126"/>
    </row>
    <row r="91" spans="1:7" x14ac:dyDescent="0.25">
      <c r="A91" s="20"/>
      <c r="B91" s="21"/>
      <c r="C91" s="205"/>
      <c r="D91" s="210"/>
      <c r="E91" s="126"/>
    </row>
    <row r="92" spans="1:7" ht="21.75" thickBot="1" x14ac:dyDescent="0.4">
      <c r="A92" s="130"/>
      <c r="B92" s="131">
        <f>SUBTOTAL(109,Table872023[Column1])</f>
        <v>163964</v>
      </c>
      <c r="C92" s="132"/>
      <c r="D92" s="133">
        <f>SUBTOTAL(109,Table872023[Column2])</f>
        <v>113906</v>
      </c>
      <c r="E92" s="133"/>
    </row>
    <row r="93" spans="1:7" ht="27" thickTop="1" x14ac:dyDescent="0.25">
      <c r="D93" s="16">
        <f>Table872023[[#Totals],[Column1]]-Table872023[[#Totals],[Column2]]</f>
        <v>50058</v>
      </c>
    </row>
    <row r="94" spans="1:7" ht="15.75" thickBot="1" x14ac:dyDescent="0.3"/>
    <row r="95" spans="1:7" ht="24" thickBot="1" x14ac:dyDescent="0.3">
      <c r="A95" s="76" t="s">
        <v>9</v>
      </c>
      <c r="B95" s="460">
        <v>45115</v>
      </c>
      <c r="C95" s="461"/>
    </row>
    <row r="96" spans="1:7" ht="21" thickBot="1" x14ac:dyDescent="0.3">
      <c r="A96" s="53" t="s">
        <v>137</v>
      </c>
      <c r="B96" s="53" t="s">
        <v>138</v>
      </c>
      <c r="C96" s="53" t="s">
        <v>3</v>
      </c>
    </row>
    <row r="97" spans="1:5" ht="18" x14ac:dyDescent="0.25">
      <c r="A97" s="55">
        <f>5000+500+105</f>
        <v>5605</v>
      </c>
      <c r="B97" s="57" t="s">
        <v>33</v>
      </c>
      <c r="C97" s="77">
        <v>62</v>
      </c>
    </row>
    <row r="98" spans="1:5" ht="18" x14ac:dyDescent="0.25">
      <c r="A98" s="60"/>
      <c r="B98" s="94" t="s">
        <v>266</v>
      </c>
      <c r="C98" s="56">
        <v>10000</v>
      </c>
    </row>
    <row r="99" spans="1:5" ht="18" x14ac:dyDescent="0.25">
      <c r="A99" s="60"/>
      <c r="B99" s="57" t="s">
        <v>10</v>
      </c>
      <c r="C99" s="77">
        <v>40</v>
      </c>
    </row>
    <row r="100" spans="1:5" ht="18" x14ac:dyDescent="0.25">
      <c r="A100" s="60"/>
      <c r="B100" s="57" t="s">
        <v>470</v>
      </c>
      <c r="C100" s="77">
        <v>2560</v>
      </c>
    </row>
    <row r="101" spans="1:5" ht="18" x14ac:dyDescent="0.25">
      <c r="A101" s="60"/>
      <c r="B101" s="94"/>
      <c r="C101" s="56"/>
    </row>
    <row r="102" spans="1:5" ht="18" x14ac:dyDescent="0.25">
      <c r="A102" s="60"/>
      <c r="B102" s="94"/>
      <c r="C102" s="56"/>
    </row>
    <row r="103" spans="1:5" ht="18" x14ac:dyDescent="0.25">
      <c r="A103" s="60"/>
      <c r="B103" s="94"/>
      <c r="C103" s="56"/>
    </row>
    <row r="104" spans="1:5" ht="18.75" thickBot="1" x14ac:dyDescent="0.3">
      <c r="A104" s="60"/>
      <c r="B104" s="94"/>
      <c r="C104" s="56"/>
    </row>
    <row r="105" spans="1:5" ht="24" thickBot="1" x14ac:dyDescent="0.3">
      <c r="A105" s="66"/>
      <c r="B105" s="64"/>
      <c r="C105" s="67"/>
      <c r="D105" s="134" t="s">
        <v>43</v>
      </c>
      <c r="E105" s="99">
        <f>E110-E106</f>
        <v>32</v>
      </c>
    </row>
    <row r="106" spans="1:5" ht="21.75" thickBot="1" x14ac:dyDescent="0.3">
      <c r="A106" s="68">
        <f>SUM(A97:A105)</f>
        <v>5605</v>
      </c>
      <c r="C106" s="69">
        <f>SUM(C97:C105)</f>
        <v>12662</v>
      </c>
      <c r="D106" s="135" t="s">
        <v>94</v>
      </c>
      <c r="E106" s="85">
        <f>3878-3276</f>
        <v>602</v>
      </c>
    </row>
    <row r="107" spans="1:5" ht="21.75" thickBot="1" x14ac:dyDescent="0.3">
      <c r="A107" s="462" t="s">
        <v>139</v>
      </c>
      <c r="B107" s="463"/>
      <c r="C107" s="71" t="s">
        <v>75</v>
      </c>
      <c r="D107" s="136" t="s">
        <v>65</v>
      </c>
      <c r="E107" s="83">
        <f>400+200+6</f>
        <v>606</v>
      </c>
    </row>
    <row r="108" spans="1:5" ht="24" thickBot="1" x14ac:dyDescent="0.3">
      <c r="A108" s="464">
        <f>C106+A106</f>
        <v>18267</v>
      </c>
      <c r="B108" s="465"/>
      <c r="C108" s="81"/>
      <c r="D108" s="82" t="s">
        <v>471</v>
      </c>
      <c r="E108" s="83">
        <v>28</v>
      </c>
    </row>
    <row r="109" spans="1:5" ht="24" thickBot="1" x14ac:dyDescent="0.3">
      <c r="A109" s="466" t="s">
        <v>99</v>
      </c>
      <c r="B109" s="467"/>
      <c r="C109" s="78">
        <f>A110-C110</f>
        <v>279</v>
      </c>
      <c r="D109" s="139"/>
      <c r="E109" s="138"/>
    </row>
    <row r="110" spans="1:5" ht="24" thickBot="1" x14ac:dyDescent="0.3">
      <c r="A110" s="468">
        <f>C108+A108</f>
        <v>18267</v>
      </c>
      <c r="B110" s="469"/>
      <c r="C110" s="121">
        <v>17988</v>
      </c>
      <c r="D110" s="137" t="s">
        <v>164</v>
      </c>
      <c r="E110" s="83">
        <f>SUM(E107:E109)</f>
        <v>634</v>
      </c>
    </row>
    <row r="111" spans="1:5" ht="24" thickBot="1" x14ac:dyDescent="0.3">
      <c r="A111"/>
      <c r="B111"/>
      <c r="C111" s="314" t="str">
        <f>IF(C109&gt;0,"زيادة","عجز")</f>
        <v>زيادة</v>
      </c>
    </row>
    <row r="112" spans="1:5" ht="27.75" customHeight="1" thickBot="1" x14ac:dyDescent="0.3">
      <c r="A112"/>
      <c r="B112"/>
    </row>
    <row r="113" spans="1:5" ht="24" thickBot="1" x14ac:dyDescent="0.3">
      <c r="A113" s="76" t="s">
        <v>80</v>
      </c>
      <c r="B113" s="460">
        <v>45115</v>
      </c>
      <c r="C113" s="461"/>
    </row>
    <row r="114" spans="1:5" ht="21" thickBot="1" x14ac:dyDescent="0.3">
      <c r="A114" s="53" t="s">
        <v>137</v>
      </c>
      <c r="B114" s="54" t="s">
        <v>138</v>
      </c>
      <c r="C114" s="54" t="s">
        <v>3</v>
      </c>
    </row>
    <row r="115" spans="1:5" ht="18" x14ac:dyDescent="0.25">
      <c r="A115" s="55">
        <f>5100+500+70</f>
        <v>5670</v>
      </c>
      <c r="B115" s="94" t="s">
        <v>393</v>
      </c>
      <c r="C115" s="63">
        <v>120</v>
      </c>
      <c r="E115">
        <f>400-140</f>
        <v>260</v>
      </c>
    </row>
    <row r="116" spans="1:5" ht="18" x14ac:dyDescent="0.25">
      <c r="A116" s="60"/>
      <c r="B116" s="94" t="s">
        <v>399</v>
      </c>
      <c r="C116" s="63">
        <v>215</v>
      </c>
    </row>
    <row r="117" spans="1:5" ht="18" x14ac:dyDescent="0.25">
      <c r="A117" s="60"/>
      <c r="B117" s="94" t="s">
        <v>8</v>
      </c>
      <c r="C117" s="63">
        <v>255</v>
      </c>
    </row>
    <row r="118" spans="1:5" ht="18" x14ac:dyDescent="0.25">
      <c r="A118" s="60"/>
      <c r="B118" s="94" t="s">
        <v>265</v>
      </c>
      <c r="C118" s="63">
        <v>105</v>
      </c>
    </row>
    <row r="119" spans="1:5" ht="18" x14ac:dyDescent="0.25">
      <c r="A119" s="60"/>
      <c r="B119" s="94" t="s">
        <v>12</v>
      </c>
      <c r="C119" s="63">
        <v>2455</v>
      </c>
    </row>
    <row r="120" spans="1:5" ht="18" x14ac:dyDescent="0.25">
      <c r="A120" s="60"/>
      <c r="B120" s="94" t="s">
        <v>11</v>
      </c>
      <c r="C120" s="63">
        <v>410</v>
      </c>
    </row>
    <row r="121" spans="1:5" ht="18" x14ac:dyDescent="0.25">
      <c r="A121" s="60"/>
      <c r="B121" s="94" t="s">
        <v>474</v>
      </c>
      <c r="C121" s="63">
        <v>1050</v>
      </c>
    </row>
    <row r="122" spans="1:5" ht="18.75" thickBot="1" x14ac:dyDescent="0.3">
      <c r="A122" s="60"/>
      <c r="B122" s="94"/>
      <c r="C122" s="63"/>
    </row>
    <row r="123" spans="1:5" ht="24" thickBot="1" x14ac:dyDescent="0.3">
      <c r="A123" s="66"/>
      <c r="B123" s="64"/>
      <c r="C123" s="67"/>
      <c r="D123" s="134" t="s">
        <v>43</v>
      </c>
      <c r="E123" s="99">
        <f>E128-E124</f>
        <v>31</v>
      </c>
    </row>
    <row r="124" spans="1:5" ht="21.75" thickBot="1" x14ac:dyDescent="0.3">
      <c r="A124" s="68">
        <f>SUM(A115:A123)</f>
        <v>5670</v>
      </c>
      <c r="C124" s="69">
        <f>SUM(C115:C123)</f>
        <v>4610</v>
      </c>
      <c r="D124" s="135" t="s">
        <v>94</v>
      </c>
      <c r="E124" s="85">
        <f>3276-2166</f>
        <v>1110</v>
      </c>
    </row>
    <row r="125" spans="1:5" ht="21.75" thickBot="1" x14ac:dyDescent="0.3">
      <c r="A125" s="462" t="s">
        <v>139</v>
      </c>
      <c r="B125" s="463"/>
      <c r="C125" s="71" t="s">
        <v>75</v>
      </c>
      <c r="D125" s="136" t="s">
        <v>65</v>
      </c>
      <c r="E125" s="83">
        <f>700+145</f>
        <v>845</v>
      </c>
    </row>
    <row r="126" spans="1:5" ht="24" thickBot="1" x14ac:dyDescent="0.3">
      <c r="A126" s="464">
        <f>C124+A124</f>
        <v>10280</v>
      </c>
      <c r="B126" s="465"/>
      <c r="C126" s="81"/>
      <c r="D126" s="82" t="s">
        <v>458</v>
      </c>
      <c r="E126" s="83">
        <f>204+72</f>
        <v>276</v>
      </c>
    </row>
    <row r="127" spans="1:5" ht="24" thickBot="1" x14ac:dyDescent="0.3">
      <c r="A127" s="466" t="s">
        <v>99</v>
      </c>
      <c r="B127" s="467"/>
      <c r="C127" s="78">
        <f>A128-C128</f>
        <v>76</v>
      </c>
      <c r="D127" s="82" t="s">
        <v>475</v>
      </c>
      <c r="E127" s="83">
        <v>20</v>
      </c>
    </row>
    <row r="128" spans="1:5" ht="24" thickBot="1" x14ac:dyDescent="0.3">
      <c r="A128" s="468">
        <f>C126+A126</f>
        <v>10280</v>
      </c>
      <c r="B128" s="469"/>
      <c r="C128" s="121">
        <v>10204</v>
      </c>
      <c r="D128" s="82" t="s">
        <v>164</v>
      </c>
      <c r="E128" s="83">
        <f>SUM(E125:E127)</f>
        <v>1141</v>
      </c>
    </row>
    <row r="129" spans="1:5" ht="24" thickBot="1" x14ac:dyDescent="0.3">
      <c r="A129"/>
      <c r="B129"/>
      <c r="C129" s="314" t="str">
        <f>IF(C127&gt;0,"زيادة","عجز")</f>
        <v>زيادة</v>
      </c>
    </row>
    <row r="130" spans="1:5" ht="15.75" thickBot="1" x14ac:dyDescent="0.3">
      <c r="A130"/>
      <c r="B130"/>
    </row>
    <row r="131" spans="1:5" ht="24" customHeight="1" thickBot="1" x14ac:dyDescent="0.3">
      <c r="A131" s="76" t="s">
        <v>29</v>
      </c>
      <c r="B131" s="460">
        <v>45115</v>
      </c>
      <c r="C131" s="461"/>
    </row>
    <row r="132" spans="1:5" ht="21" thickBot="1" x14ac:dyDescent="0.3">
      <c r="A132" s="53" t="s">
        <v>137</v>
      </c>
      <c r="B132" s="54" t="s">
        <v>138</v>
      </c>
      <c r="C132" s="54" t="s">
        <v>3</v>
      </c>
    </row>
    <row r="133" spans="1:5" ht="18" x14ac:dyDescent="0.25">
      <c r="A133" s="55">
        <f>10000+5000+1900+500-30</f>
        <v>17370</v>
      </c>
      <c r="B133" s="94" t="s">
        <v>488</v>
      </c>
      <c r="C133" s="63">
        <v>5485</v>
      </c>
    </row>
    <row r="134" spans="1:5" ht="18" x14ac:dyDescent="0.25">
      <c r="A134" s="60"/>
      <c r="B134" s="94" t="s">
        <v>487</v>
      </c>
      <c r="C134" s="63">
        <v>2000</v>
      </c>
      <c r="E134">
        <f>2000+300+115</f>
        <v>2415</v>
      </c>
    </row>
    <row r="135" spans="1:5" ht="18" x14ac:dyDescent="0.25">
      <c r="A135" s="60"/>
      <c r="B135" s="94" t="s">
        <v>511</v>
      </c>
      <c r="C135" s="63">
        <v>200</v>
      </c>
    </row>
    <row r="136" spans="1:5" ht="18" x14ac:dyDescent="0.25">
      <c r="A136" s="60"/>
      <c r="B136" s="94" t="s">
        <v>489</v>
      </c>
      <c r="C136" s="63">
        <v>16</v>
      </c>
    </row>
    <row r="137" spans="1:5" ht="18" x14ac:dyDescent="0.25">
      <c r="A137" s="60"/>
      <c r="B137" s="94" t="s">
        <v>376</v>
      </c>
      <c r="C137" s="63">
        <v>100</v>
      </c>
    </row>
    <row r="138" spans="1:5" ht="18" x14ac:dyDescent="0.25">
      <c r="A138" s="60"/>
      <c r="B138" s="94"/>
      <c r="C138" s="63"/>
    </row>
    <row r="139" spans="1:5" ht="18" x14ac:dyDescent="0.25">
      <c r="A139" s="60"/>
      <c r="B139" s="94"/>
      <c r="C139" s="63"/>
    </row>
    <row r="140" spans="1:5" ht="18.75" thickBot="1" x14ac:dyDescent="0.3">
      <c r="A140" s="60"/>
      <c r="B140" s="94"/>
      <c r="C140" s="63"/>
    </row>
    <row r="141" spans="1:5" ht="24" thickBot="1" x14ac:dyDescent="0.3">
      <c r="A141" s="66"/>
      <c r="B141" s="64"/>
      <c r="C141" s="67"/>
      <c r="D141" s="134" t="s">
        <v>43</v>
      </c>
      <c r="E141" s="99">
        <f>E146-E142</f>
        <v>19</v>
      </c>
    </row>
    <row r="142" spans="1:5" ht="21.75" thickBot="1" x14ac:dyDescent="0.3">
      <c r="A142" s="69">
        <f>SUM(A133:A141)</f>
        <v>17370</v>
      </c>
      <c r="C142" s="69">
        <f>SUM(C133:C141)</f>
        <v>7801</v>
      </c>
      <c r="D142" s="135" t="s">
        <v>94</v>
      </c>
      <c r="E142" s="85">
        <f>2166-6021+5000</f>
        <v>1145</v>
      </c>
    </row>
    <row r="143" spans="1:5" ht="21.75" thickBot="1" x14ac:dyDescent="0.3">
      <c r="A143" s="462" t="s">
        <v>139</v>
      </c>
      <c r="B143" s="463"/>
      <c r="C143" s="71" t="s">
        <v>75</v>
      </c>
      <c r="D143" s="136" t="s">
        <v>65</v>
      </c>
      <c r="E143" s="83">
        <f>1000+132+2+30</f>
        <v>1164</v>
      </c>
    </row>
    <row r="144" spans="1:5" ht="24" thickBot="1" x14ac:dyDescent="0.3">
      <c r="A144" s="464">
        <f>C142+A142</f>
        <v>25171</v>
      </c>
      <c r="B144" s="465"/>
      <c r="C144" s="81"/>
      <c r="D144" s="82"/>
      <c r="E144" s="83"/>
    </row>
    <row r="145" spans="1:5" ht="24" thickBot="1" x14ac:dyDescent="0.3">
      <c r="A145" s="466" t="s">
        <v>99</v>
      </c>
      <c r="B145" s="467"/>
      <c r="C145" s="78">
        <f>A146-C146</f>
        <v>41</v>
      </c>
      <c r="D145" s="82"/>
      <c r="E145" s="83"/>
    </row>
    <row r="146" spans="1:5" ht="24" thickBot="1" x14ac:dyDescent="0.3">
      <c r="A146" s="468">
        <f>C144+A144</f>
        <v>25171</v>
      </c>
      <c r="B146" s="469"/>
      <c r="C146" s="121">
        <v>25130</v>
      </c>
      <c r="D146" s="82" t="s">
        <v>164</v>
      </c>
      <c r="E146" s="83">
        <f>SUM(E143:E145)</f>
        <v>1164</v>
      </c>
    </row>
    <row r="147" spans="1:5" ht="24" thickBot="1" x14ac:dyDescent="0.3">
      <c r="A147" s="141"/>
      <c r="B147" s="142"/>
      <c r="C147" s="314" t="str">
        <f>IF(C145&gt;0,"زيادة","عجز")</f>
        <v>زيادة</v>
      </c>
      <c r="D147" s="104"/>
      <c r="E147" s="104"/>
    </row>
    <row r="148" spans="1:5" ht="24" thickBot="1" x14ac:dyDescent="0.3">
      <c r="A148" s="141"/>
      <c r="B148" s="142"/>
      <c r="C148" s="121"/>
      <c r="D148" s="104"/>
      <c r="E148" s="104"/>
    </row>
    <row r="149" spans="1:5" ht="24" thickBot="1" x14ac:dyDescent="0.3">
      <c r="A149" s="76" t="s">
        <v>15</v>
      </c>
      <c r="B149" s="460">
        <v>45115</v>
      </c>
      <c r="C149" s="461"/>
    </row>
    <row r="150" spans="1:5" ht="20.25" x14ac:dyDescent="0.25">
      <c r="A150" s="54" t="s">
        <v>137</v>
      </c>
      <c r="B150" s="54" t="s">
        <v>138</v>
      </c>
      <c r="C150" s="54" t="s">
        <v>3</v>
      </c>
    </row>
    <row r="151" spans="1:5" ht="18" x14ac:dyDescent="0.25">
      <c r="A151" s="56">
        <f>10000+3350+500+120</f>
        <v>13970</v>
      </c>
      <c r="B151" s="56" t="s">
        <v>491</v>
      </c>
      <c r="C151" s="143">
        <v>50</v>
      </c>
    </row>
    <row r="152" spans="1:5" ht="18" x14ac:dyDescent="0.25">
      <c r="A152" s="110"/>
      <c r="B152" s="56" t="s">
        <v>492</v>
      </c>
      <c r="C152" s="143">
        <v>60</v>
      </c>
    </row>
    <row r="153" spans="1:5" ht="18" x14ac:dyDescent="0.25">
      <c r="A153" s="110"/>
      <c r="B153" s="56" t="s">
        <v>493</v>
      </c>
      <c r="C153" s="143">
        <v>36</v>
      </c>
    </row>
    <row r="154" spans="1:5" ht="18" x14ac:dyDescent="0.25">
      <c r="A154" s="110"/>
      <c r="B154" s="56" t="s">
        <v>458</v>
      </c>
      <c r="C154" s="143">
        <v>30</v>
      </c>
    </row>
    <row r="155" spans="1:5" ht="18" x14ac:dyDescent="0.25">
      <c r="A155" s="110"/>
      <c r="B155" s="56" t="s">
        <v>494</v>
      </c>
      <c r="C155" s="143">
        <v>100</v>
      </c>
    </row>
    <row r="156" spans="1:5" ht="18" x14ac:dyDescent="0.25">
      <c r="A156" s="110"/>
      <c r="B156" s="56" t="s">
        <v>495</v>
      </c>
      <c r="C156" s="143">
        <v>205</v>
      </c>
    </row>
    <row r="157" spans="1:5" ht="18" x14ac:dyDescent="0.25">
      <c r="A157" s="110"/>
      <c r="B157" s="56" t="s">
        <v>499</v>
      </c>
      <c r="C157" s="143">
        <v>3550</v>
      </c>
    </row>
    <row r="158" spans="1:5" ht="18" x14ac:dyDescent="0.25">
      <c r="A158" s="110"/>
      <c r="B158" s="56" t="s">
        <v>496</v>
      </c>
      <c r="C158" s="143">
        <v>455</v>
      </c>
    </row>
    <row r="159" spans="1:5" ht="18" x14ac:dyDescent="0.25">
      <c r="A159" s="110"/>
      <c r="B159" s="56" t="s">
        <v>497</v>
      </c>
      <c r="C159" s="143">
        <v>160</v>
      </c>
    </row>
    <row r="160" spans="1:5" ht="18" x14ac:dyDescent="0.25">
      <c r="A160" s="110"/>
      <c r="B160" s="56" t="s">
        <v>20</v>
      </c>
      <c r="C160" s="143">
        <v>3346</v>
      </c>
    </row>
    <row r="161" spans="1:5" ht="18" x14ac:dyDescent="0.25">
      <c r="A161" s="110"/>
      <c r="B161" s="56" t="s">
        <v>15</v>
      </c>
      <c r="C161" s="143">
        <v>190</v>
      </c>
    </row>
    <row r="162" spans="1:5" ht="18" x14ac:dyDescent="0.25">
      <c r="A162" s="110"/>
      <c r="B162" s="56" t="s">
        <v>498</v>
      </c>
      <c r="C162" s="143">
        <v>185</v>
      </c>
    </row>
    <row r="163" spans="1:5" ht="16.5" thickBot="1" x14ac:dyDescent="0.3">
      <c r="A163" s="110"/>
      <c r="B163" s="145" t="s">
        <v>86</v>
      </c>
      <c r="C163" s="143">
        <v>185</v>
      </c>
    </row>
    <row r="164" spans="1:5" ht="24" thickBot="1" x14ac:dyDescent="0.3">
      <c r="A164" s="66"/>
      <c r="B164" s="144"/>
      <c r="C164" s="67"/>
      <c r="D164" s="134" t="s">
        <v>43</v>
      </c>
      <c r="E164" s="99">
        <f>E169-E165</f>
        <v>1</v>
      </c>
    </row>
    <row r="165" spans="1:5" ht="21.75" thickBot="1" x14ac:dyDescent="0.3">
      <c r="A165" s="69">
        <f>SUM(A151:A164)</f>
        <v>13970</v>
      </c>
      <c r="C165" s="69">
        <f>SUM(C151:C164)</f>
        <v>8552</v>
      </c>
      <c r="D165" s="135" t="s">
        <v>94</v>
      </c>
      <c r="E165" s="85">
        <f>413-354</f>
        <v>59</v>
      </c>
    </row>
    <row r="166" spans="1:5" ht="21.75" thickBot="1" x14ac:dyDescent="0.3">
      <c r="A166" s="462" t="s">
        <v>139</v>
      </c>
      <c r="B166" s="463"/>
      <c r="C166" s="71" t="s">
        <v>75</v>
      </c>
      <c r="D166" s="136" t="s">
        <v>65</v>
      </c>
      <c r="E166" s="83">
        <f>45</f>
        <v>45</v>
      </c>
    </row>
    <row r="167" spans="1:5" ht="24" thickBot="1" x14ac:dyDescent="0.3">
      <c r="A167" s="464">
        <f>C165+A165</f>
        <v>22522</v>
      </c>
      <c r="B167" s="465"/>
      <c r="C167" s="81">
        <f>237+175+949+662</f>
        <v>2023</v>
      </c>
      <c r="D167" s="82" t="s">
        <v>500</v>
      </c>
      <c r="E167" s="83">
        <v>15</v>
      </c>
    </row>
    <row r="168" spans="1:5" ht="24" thickBot="1" x14ac:dyDescent="0.3">
      <c r="A168" s="466" t="s">
        <v>99</v>
      </c>
      <c r="B168" s="467"/>
      <c r="C168" s="78">
        <f>A169-C169</f>
        <v>4</v>
      </c>
      <c r="D168" s="82"/>
      <c r="E168" s="83"/>
    </row>
    <row r="169" spans="1:5" ht="24" thickBot="1" x14ac:dyDescent="0.3">
      <c r="A169" s="468">
        <f>C167+A167</f>
        <v>24545</v>
      </c>
      <c r="B169" s="469"/>
      <c r="C169" s="121">
        <v>24541</v>
      </c>
      <c r="D169" s="82" t="s">
        <v>164</v>
      </c>
      <c r="E169" s="83">
        <f>SUM(E166:E168)</f>
        <v>60</v>
      </c>
    </row>
    <row r="170" spans="1:5" ht="24" thickBot="1" x14ac:dyDescent="0.3">
      <c r="A170"/>
      <c r="B170"/>
      <c r="C170" s="314" t="str">
        <f>IF(C168&gt;0,"زيادة","عجز")</f>
        <v>زيادة</v>
      </c>
    </row>
    <row r="171" spans="1:5" ht="24" customHeight="1" thickBot="1" x14ac:dyDescent="0.3">
      <c r="A171"/>
      <c r="B171"/>
    </row>
    <row r="172" spans="1:5" ht="24" thickBot="1" x14ac:dyDescent="0.3">
      <c r="A172" s="76" t="s">
        <v>88</v>
      </c>
      <c r="B172" s="460">
        <v>45114</v>
      </c>
      <c r="C172" s="461"/>
    </row>
    <row r="173" spans="1:5" ht="21" thickBot="1" x14ac:dyDescent="0.3">
      <c r="A173" s="53" t="s">
        <v>137</v>
      </c>
      <c r="B173" s="54" t="s">
        <v>138</v>
      </c>
      <c r="C173" s="54" t="s">
        <v>3</v>
      </c>
    </row>
    <row r="174" spans="1:5" ht="18" x14ac:dyDescent="0.25">
      <c r="A174" s="55">
        <f>5000+2000+15</f>
        <v>7015</v>
      </c>
      <c r="B174" s="94" t="s">
        <v>341</v>
      </c>
      <c r="C174" s="94">
        <v>100</v>
      </c>
    </row>
    <row r="175" spans="1:5" ht="18" x14ac:dyDescent="0.25">
      <c r="A175" s="60"/>
      <c r="B175" s="94" t="s">
        <v>7</v>
      </c>
      <c r="C175" s="94">
        <v>240</v>
      </c>
    </row>
    <row r="176" spans="1:5" ht="18" customHeight="1" x14ac:dyDescent="0.25">
      <c r="A176" s="60"/>
      <c r="B176" s="94" t="s">
        <v>501</v>
      </c>
      <c r="C176" s="94">
        <v>10</v>
      </c>
    </row>
    <row r="177" spans="1:5" ht="18" customHeight="1" x14ac:dyDescent="0.25">
      <c r="A177" s="60"/>
      <c r="B177" s="94" t="s">
        <v>502</v>
      </c>
      <c r="C177" s="94">
        <v>10</v>
      </c>
    </row>
    <row r="178" spans="1:5" ht="18" x14ac:dyDescent="0.25">
      <c r="A178" s="60"/>
      <c r="B178" s="94" t="s">
        <v>503</v>
      </c>
      <c r="C178" s="94">
        <v>374</v>
      </c>
    </row>
    <row r="179" spans="1:5" ht="18" x14ac:dyDescent="0.25">
      <c r="A179" s="60"/>
      <c r="B179" s="94" t="s">
        <v>79</v>
      </c>
      <c r="C179" s="94">
        <v>620</v>
      </c>
    </row>
    <row r="180" spans="1:5" ht="18" x14ac:dyDescent="0.25">
      <c r="A180" s="60"/>
      <c r="B180" s="94" t="s">
        <v>504</v>
      </c>
      <c r="C180" s="94">
        <v>720</v>
      </c>
    </row>
    <row r="181" spans="1:5" ht="18" x14ac:dyDescent="0.25">
      <c r="A181" s="60"/>
      <c r="B181" s="94" t="s">
        <v>505</v>
      </c>
      <c r="C181" s="94">
        <v>1340</v>
      </c>
    </row>
    <row r="182" spans="1:5" ht="18" x14ac:dyDescent="0.25">
      <c r="A182" s="60"/>
      <c r="B182" s="94" t="s">
        <v>506</v>
      </c>
      <c r="C182" s="94">
        <v>285</v>
      </c>
    </row>
    <row r="183" spans="1:5" ht="18" x14ac:dyDescent="0.25">
      <c r="A183" s="60"/>
      <c r="B183" s="94" t="s">
        <v>45</v>
      </c>
      <c r="C183" s="94">
        <v>1445</v>
      </c>
    </row>
    <row r="184" spans="1:5" ht="21.75" customHeight="1" x14ac:dyDescent="0.25">
      <c r="A184" s="60"/>
      <c r="B184" s="94" t="s">
        <v>6</v>
      </c>
      <c r="C184" s="94">
        <v>840</v>
      </c>
    </row>
    <row r="185" spans="1:5" ht="18" x14ac:dyDescent="0.25">
      <c r="A185" s="60"/>
      <c r="B185" s="94" t="s">
        <v>507</v>
      </c>
      <c r="C185" s="94">
        <v>200</v>
      </c>
    </row>
    <row r="186" spans="1:5" ht="18" customHeight="1" x14ac:dyDescent="0.25">
      <c r="A186" s="60"/>
      <c r="B186" s="94" t="s">
        <v>508</v>
      </c>
      <c r="C186" s="94">
        <v>1568</v>
      </c>
    </row>
    <row r="187" spans="1:5" ht="18" x14ac:dyDescent="0.25">
      <c r="A187" s="60"/>
      <c r="B187" s="94" t="s">
        <v>212</v>
      </c>
      <c r="C187" s="94">
        <v>46</v>
      </c>
      <c r="E187">
        <f>220+35+1020</f>
        <v>1275</v>
      </c>
    </row>
    <row r="188" spans="1:5" ht="18" customHeight="1" x14ac:dyDescent="0.25">
      <c r="A188" s="60"/>
      <c r="B188" s="94" t="s">
        <v>509</v>
      </c>
      <c r="C188" s="94">
        <v>2000</v>
      </c>
    </row>
    <row r="189" spans="1:5" ht="18" customHeight="1" x14ac:dyDescent="0.25">
      <c r="A189" s="60"/>
      <c r="B189" s="94" t="s">
        <v>210</v>
      </c>
      <c r="C189" s="94">
        <v>225</v>
      </c>
    </row>
    <row r="190" spans="1:5" ht="18" x14ac:dyDescent="0.25">
      <c r="A190" s="60"/>
      <c r="B190" s="94" t="s">
        <v>510</v>
      </c>
      <c r="C190" s="94">
        <v>520</v>
      </c>
    </row>
    <row r="191" spans="1:5" ht="18" x14ac:dyDescent="0.25">
      <c r="A191" s="60"/>
      <c r="B191" s="94" t="s">
        <v>255</v>
      </c>
      <c r="C191" s="94">
        <v>240</v>
      </c>
    </row>
    <row r="192" spans="1:5" ht="18" x14ac:dyDescent="0.25">
      <c r="A192" s="60"/>
      <c r="B192" s="94" t="s">
        <v>89</v>
      </c>
      <c r="C192" s="94">
        <v>80</v>
      </c>
    </row>
    <row r="193" spans="1:5" ht="18.75" thickBot="1" x14ac:dyDescent="0.3">
      <c r="A193" s="60"/>
      <c r="B193" s="94" t="s">
        <v>39</v>
      </c>
      <c r="C193" s="94">
        <v>120</v>
      </c>
    </row>
    <row r="194" spans="1:5" ht="24" thickBot="1" x14ac:dyDescent="0.3">
      <c r="A194" s="66"/>
      <c r="B194" s="64"/>
      <c r="C194" s="67"/>
      <c r="D194" s="134" t="s">
        <v>43</v>
      </c>
      <c r="E194" s="99">
        <f>E199-E195</f>
        <v>59</v>
      </c>
    </row>
    <row r="195" spans="1:5" ht="21.75" thickBot="1" x14ac:dyDescent="0.3">
      <c r="A195" s="69">
        <f>SUM(A174:A194)</f>
        <v>7015</v>
      </c>
      <c r="C195" s="69">
        <f>SUM(C174:C194)</f>
        <v>10983</v>
      </c>
      <c r="D195" s="135" t="s">
        <v>94</v>
      </c>
      <c r="E195" s="85">
        <f>-1871+728--2310-506</f>
        <v>661</v>
      </c>
    </row>
    <row r="196" spans="1:5" ht="21.75" thickBot="1" x14ac:dyDescent="0.3">
      <c r="A196" s="462" t="s">
        <v>139</v>
      </c>
      <c r="B196" s="463"/>
      <c r="C196" s="71" t="s">
        <v>75</v>
      </c>
      <c r="D196" s="136" t="s">
        <v>65</v>
      </c>
      <c r="E196" s="83">
        <f>390</f>
        <v>390</v>
      </c>
    </row>
    <row r="197" spans="1:5" ht="24" thickBot="1" x14ac:dyDescent="0.3">
      <c r="A197" s="464">
        <f>C195+A195</f>
        <v>17998</v>
      </c>
      <c r="B197" s="465"/>
      <c r="C197" s="81">
        <f>10+632+27</f>
        <v>669</v>
      </c>
      <c r="D197" s="82" t="s">
        <v>75</v>
      </c>
      <c r="E197" s="83">
        <f>330</f>
        <v>330</v>
      </c>
    </row>
    <row r="198" spans="1:5" ht="24" thickBot="1" x14ac:dyDescent="0.3">
      <c r="A198" s="466" t="s">
        <v>99</v>
      </c>
      <c r="B198" s="467"/>
      <c r="C198" s="78">
        <f>A199-C199</f>
        <v>59</v>
      </c>
      <c r="D198" s="82"/>
      <c r="E198" s="83"/>
    </row>
    <row r="199" spans="1:5" ht="24" thickBot="1" x14ac:dyDescent="0.3">
      <c r="A199" s="468">
        <f>C197+A197</f>
        <v>18667</v>
      </c>
      <c r="B199" s="469"/>
      <c r="C199" s="121">
        <v>18608</v>
      </c>
      <c r="D199" s="82" t="s">
        <v>164</v>
      </c>
      <c r="E199" s="83">
        <f>SUM(E196:E198)</f>
        <v>720</v>
      </c>
    </row>
    <row r="200" spans="1:5" ht="24" thickBot="1" x14ac:dyDescent="0.3">
      <c r="A200"/>
      <c r="B200"/>
      <c r="C200" s="314" t="str">
        <f>IF(C198&gt;0,"زيادة","عجز")</f>
        <v>زيادة</v>
      </c>
    </row>
    <row r="201" spans="1:5" ht="15.75" thickBot="1" x14ac:dyDescent="0.3">
      <c r="A201"/>
      <c r="B201"/>
    </row>
    <row r="202" spans="1:5" ht="24" thickBot="1" x14ac:dyDescent="0.3">
      <c r="A202" s="76" t="s">
        <v>6</v>
      </c>
      <c r="B202" s="460">
        <v>45115</v>
      </c>
      <c r="C202" s="461"/>
    </row>
    <row r="203" spans="1:5" ht="21" thickBot="1" x14ac:dyDescent="0.3">
      <c r="A203" s="53" t="s">
        <v>137</v>
      </c>
      <c r="B203" s="54" t="s">
        <v>138</v>
      </c>
      <c r="C203" s="54" t="s">
        <v>3</v>
      </c>
    </row>
    <row r="204" spans="1:5" ht="23.25" customHeight="1" thickBot="1" x14ac:dyDescent="0.3">
      <c r="A204" s="55">
        <f>5000+890</f>
        <v>5890</v>
      </c>
      <c r="B204" s="94"/>
      <c r="C204" s="94"/>
    </row>
    <row r="205" spans="1:5" ht="24" thickBot="1" x14ac:dyDescent="0.3">
      <c r="A205" s="66"/>
      <c r="B205" s="64"/>
      <c r="C205" s="67"/>
      <c r="D205" s="134" t="s">
        <v>43</v>
      </c>
      <c r="E205" s="99">
        <f>E210-E206</f>
        <v>12</v>
      </c>
    </row>
    <row r="206" spans="1:5" ht="21.75" thickBot="1" x14ac:dyDescent="0.3">
      <c r="A206" s="69">
        <f>SUM(A204:A205)</f>
        <v>5890</v>
      </c>
      <c r="C206" s="69">
        <f>SUM(C204:C205)</f>
        <v>0</v>
      </c>
      <c r="D206" s="135" t="s">
        <v>94</v>
      </c>
      <c r="E206" s="85">
        <f>-2310+506--2332-413</f>
        <v>115</v>
      </c>
    </row>
    <row r="207" spans="1:5" ht="21.75" thickBot="1" x14ac:dyDescent="0.3">
      <c r="A207" s="462" t="s">
        <v>139</v>
      </c>
      <c r="B207" s="463"/>
      <c r="C207" s="71" t="s">
        <v>75</v>
      </c>
      <c r="D207" s="136" t="s">
        <v>65</v>
      </c>
      <c r="E207" s="83">
        <v>127</v>
      </c>
    </row>
    <row r="208" spans="1:5" ht="24" thickBot="1" x14ac:dyDescent="0.3">
      <c r="A208" s="464">
        <f>C206+A206</f>
        <v>5890</v>
      </c>
      <c r="B208" s="465"/>
      <c r="C208" s="81">
        <f>302+12</f>
        <v>314</v>
      </c>
      <c r="D208" s="82" t="s">
        <v>75</v>
      </c>
      <c r="E208" s="83"/>
    </row>
    <row r="209" spans="1:5" ht="24" thickBot="1" x14ac:dyDescent="0.3">
      <c r="A209" s="466" t="s">
        <v>99</v>
      </c>
      <c r="B209" s="467"/>
      <c r="C209" s="78">
        <f>A210-C210</f>
        <v>124</v>
      </c>
      <c r="D209" s="82"/>
      <c r="E209" s="83"/>
    </row>
    <row r="210" spans="1:5" ht="24" thickBot="1" x14ac:dyDescent="0.3">
      <c r="A210" s="468">
        <f>C208+A208</f>
        <v>6204</v>
      </c>
      <c r="B210" s="469"/>
      <c r="C210" s="121">
        <v>6080</v>
      </c>
      <c r="D210" s="82" t="s">
        <v>164</v>
      </c>
      <c r="E210" s="83">
        <f>SUM(E207:E209)</f>
        <v>127</v>
      </c>
    </row>
    <row r="211" spans="1:5" ht="24" thickBot="1" x14ac:dyDescent="0.3">
      <c r="A211"/>
      <c r="B211"/>
      <c r="C211" s="314" t="str">
        <f>IF(C209&gt;0,"زيادة","عجز")</f>
        <v>زيادة</v>
      </c>
    </row>
    <row r="212" spans="1:5" x14ac:dyDescent="0.25">
      <c r="A212"/>
      <c r="B212"/>
    </row>
    <row r="213" spans="1:5" x14ac:dyDescent="0.25">
      <c r="A213"/>
      <c r="B213"/>
    </row>
    <row r="214" spans="1:5" x14ac:dyDescent="0.25">
      <c r="A214"/>
      <c r="B214"/>
    </row>
    <row r="215" spans="1:5" x14ac:dyDescent="0.25">
      <c r="A215"/>
      <c r="B215"/>
    </row>
    <row r="216" spans="1:5" x14ac:dyDescent="0.25">
      <c r="A216"/>
      <c r="B216"/>
    </row>
    <row r="217" spans="1:5" x14ac:dyDescent="0.25">
      <c r="A217"/>
      <c r="B217"/>
    </row>
    <row r="218" spans="1:5" ht="21.75" customHeight="1" x14ac:dyDescent="0.25">
      <c r="A218"/>
      <c r="B218"/>
    </row>
    <row r="219" spans="1:5" ht="21" customHeight="1" x14ac:dyDescent="0.25">
      <c r="A219"/>
      <c r="B219" s="97"/>
    </row>
    <row r="220" spans="1:5" x14ac:dyDescent="0.25">
      <c r="A220"/>
      <c r="B220"/>
    </row>
    <row r="221" spans="1:5" ht="19.5" customHeight="1" x14ac:dyDescent="0.25">
      <c r="A221"/>
      <c r="B221"/>
    </row>
    <row r="222" spans="1:5" ht="19.5" customHeight="1" x14ac:dyDescent="0.25">
      <c r="A222"/>
      <c r="B222"/>
    </row>
    <row r="223" spans="1:5" x14ac:dyDescent="0.25">
      <c r="A223"/>
      <c r="B223"/>
    </row>
    <row r="224" spans="1:5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6" x14ac:dyDescent="0.25">
      <c r="A337"/>
      <c r="B337"/>
    </row>
    <row r="338" spans="1:6" x14ac:dyDescent="0.25">
      <c r="A338"/>
      <c r="B338"/>
    </row>
    <row r="339" spans="1:6" x14ac:dyDescent="0.25">
      <c r="A339"/>
      <c r="B339"/>
    </row>
    <row r="340" spans="1:6" x14ac:dyDescent="0.25">
      <c r="A340"/>
      <c r="B340"/>
      <c r="F340">
        <f>2778+2841-2043-2544</f>
        <v>1032</v>
      </c>
    </row>
    <row r="341" spans="1:6" x14ac:dyDescent="0.25">
      <c r="A341"/>
      <c r="B341"/>
      <c r="F341">
        <v>920</v>
      </c>
    </row>
    <row r="342" spans="1:6" x14ac:dyDescent="0.25">
      <c r="A342"/>
      <c r="B342"/>
    </row>
    <row r="343" spans="1:6" x14ac:dyDescent="0.25">
      <c r="A343"/>
      <c r="B343"/>
    </row>
    <row r="344" spans="1:6" x14ac:dyDescent="0.25">
      <c r="A344"/>
      <c r="B344"/>
    </row>
    <row r="345" spans="1:6" x14ac:dyDescent="0.25">
      <c r="A345"/>
      <c r="B345"/>
    </row>
    <row r="346" spans="1:6" x14ac:dyDescent="0.25">
      <c r="A346"/>
      <c r="B346"/>
    </row>
    <row r="347" spans="1:6" x14ac:dyDescent="0.25">
      <c r="A347"/>
      <c r="B347"/>
    </row>
    <row r="348" spans="1:6" x14ac:dyDescent="0.25">
      <c r="A348"/>
      <c r="B348"/>
    </row>
    <row r="349" spans="1:6" x14ac:dyDescent="0.25">
      <c r="A349"/>
      <c r="B349"/>
    </row>
    <row r="350" spans="1:6" x14ac:dyDescent="0.25">
      <c r="A350"/>
      <c r="B350"/>
    </row>
    <row r="351" spans="1:6" x14ac:dyDescent="0.25">
      <c r="A351"/>
      <c r="B351"/>
    </row>
    <row r="352" spans="1:6" x14ac:dyDescent="0.25">
      <c r="A352"/>
      <c r="B352"/>
    </row>
    <row r="353" spans="1:7" x14ac:dyDescent="0.25">
      <c r="A353"/>
      <c r="B353"/>
    </row>
    <row r="354" spans="1:7" x14ac:dyDescent="0.25">
      <c r="A354"/>
      <c r="B354"/>
    </row>
    <row r="355" spans="1:7" x14ac:dyDescent="0.25">
      <c r="A355"/>
      <c r="B355"/>
    </row>
    <row r="356" spans="1:7" x14ac:dyDescent="0.25">
      <c r="A356"/>
      <c r="B356"/>
    </row>
    <row r="357" spans="1:7" x14ac:dyDescent="0.25">
      <c r="A357"/>
      <c r="B357"/>
    </row>
    <row r="358" spans="1:7" x14ac:dyDescent="0.25">
      <c r="A358"/>
      <c r="B358"/>
    </row>
    <row r="359" spans="1:7" x14ac:dyDescent="0.25">
      <c r="A359"/>
      <c r="B359"/>
    </row>
    <row r="360" spans="1:7" x14ac:dyDescent="0.25">
      <c r="A360"/>
      <c r="B360"/>
      <c r="G360" t="e">
        <f>#REF!-#REF!</f>
        <v>#REF!</v>
      </c>
    </row>
    <row r="361" spans="1:7" x14ac:dyDescent="0.25">
      <c r="A361"/>
      <c r="B361"/>
    </row>
    <row r="362" spans="1:7" x14ac:dyDescent="0.25">
      <c r="A362"/>
      <c r="B362"/>
    </row>
    <row r="363" spans="1:7" x14ac:dyDescent="0.25">
      <c r="A363"/>
      <c r="B363"/>
    </row>
    <row r="364" spans="1:7" x14ac:dyDescent="0.25">
      <c r="A364"/>
      <c r="B364"/>
    </row>
    <row r="365" spans="1:7" x14ac:dyDescent="0.25">
      <c r="A365"/>
      <c r="B365"/>
    </row>
    <row r="366" spans="1:7" x14ac:dyDescent="0.25">
      <c r="A366"/>
      <c r="B366"/>
    </row>
    <row r="367" spans="1:7" x14ac:dyDescent="0.25">
      <c r="A367"/>
      <c r="B367"/>
    </row>
    <row r="368" spans="1:7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</sheetData>
  <dataConsolidate link="1"/>
  <mergeCells count="30">
    <mergeCell ref="B95:C95"/>
    <mergeCell ref="A107:B107"/>
    <mergeCell ref="A108:B108"/>
    <mergeCell ref="B113:C113"/>
    <mergeCell ref="A125:B125"/>
    <mergeCell ref="A109:B109"/>
    <mergeCell ref="A110:B110"/>
    <mergeCell ref="A126:B126"/>
    <mergeCell ref="A127:B127"/>
    <mergeCell ref="A128:B128"/>
    <mergeCell ref="B149:C149"/>
    <mergeCell ref="A166:B166"/>
    <mergeCell ref="B131:C131"/>
    <mergeCell ref="A143:B143"/>
    <mergeCell ref="A144:B144"/>
    <mergeCell ref="A145:B145"/>
    <mergeCell ref="A146:B146"/>
    <mergeCell ref="A167:B167"/>
    <mergeCell ref="A168:B168"/>
    <mergeCell ref="A169:B169"/>
    <mergeCell ref="B172:C172"/>
    <mergeCell ref="A196:B196"/>
    <mergeCell ref="A208:B208"/>
    <mergeCell ref="A209:B209"/>
    <mergeCell ref="A210:B210"/>
    <mergeCell ref="A197:B197"/>
    <mergeCell ref="A198:B198"/>
    <mergeCell ref="A199:B199"/>
    <mergeCell ref="B202:C202"/>
    <mergeCell ref="A207:B207"/>
  </mergeCells>
  <conditionalFormatting sqref="C111">
    <cfRule type="expression" dxfId="109" priority="11">
      <formula>C111="عجز"</formula>
    </cfRule>
    <cfRule type="expression" dxfId="108" priority="12">
      <formula>C111="زيادة"</formula>
    </cfRule>
  </conditionalFormatting>
  <conditionalFormatting sqref="C129">
    <cfRule type="expression" dxfId="107" priority="9">
      <formula>C129="عجز"</formula>
    </cfRule>
    <cfRule type="expression" dxfId="106" priority="10">
      <formula>C129="زيادة"</formula>
    </cfRule>
  </conditionalFormatting>
  <conditionalFormatting sqref="C147">
    <cfRule type="expression" dxfId="105" priority="7">
      <formula>C147="عجز"</formula>
    </cfRule>
    <cfRule type="expression" dxfId="104" priority="8">
      <formula>C147="زيادة"</formula>
    </cfRule>
  </conditionalFormatting>
  <conditionalFormatting sqref="C170">
    <cfRule type="expression" dxfId="103" priority="5">
      <formula>C170="عجز"</formula>
    </cfRule>
    <cfRule type="expression" dxfId="102" priority="6">
      <formula>C170="زيادة"</formula>
    </cfRule>
  </conditionalFormatting>
  <conditionalFormatting sqref="C200">
    <cfRule type="expression" dxfId="101" priority="3">
      <formula>C200="عجز"</formula>
    </cfRule>
    <cfRule type="expression" dxfId="100" priority="4">
      <formula>C200="زيادة"</formula>
    </cfRule>
  </conditionalFormatting>
  <conditionalFormatting sqref="C211">
    <cfRule type="expression" dxfId="99" priority="1">
      <formula>C211="عجز"</formula>
    </cfRule>
    <cfRule type="expression" dxfId="98" priority="2">
      <formula>C211="زيادة"</formula>
    </cfRule>
  </conditionalFormatting>
  <pageMargins left="0.7" right="0.7" top="0.75" bottom="0.75" header="0.3" footer="0.3"/>
  <pageSetup paperSize="260" orientation="portrait" horizontalDpi="203" verticalDpi="20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A3D1AC-547E-4F7B-BD6C-CEFB597E7DFF}">
          <x14:formula1>
            <xm:f>data!$A$57:$A$70</xm:f>
          </x14:formula1>
          <xm:sqref>C85:C91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5B2B-56C9-4184-9469-4C483459CC82}">
  <sheetPr codeName="Sheet21"/>
  <dimension ref="A1:G474"/>
  <sheetViews>
    <sheetView rightToLeft="1" topLeftCell="A101" zoomScale="115" zoomScaleNormal="115" workbookViewId="0">
      <selection activeCell="C251" sqref="C251"/>
    </sheetView>
  </sheetViews>
  <sheetFormatPr defaultRowHeight="15" x14ac:dyDescent="0.25"/>
  <cols>
    <col min="1" max="1" width="32.85546875" style="9" bestFit="1" customWidth="1"/>
    <col min="2" max="2" width="23.42578125" style="10" customWidth="1"/>
    <col min="3" max="3" width="23.28515625" bestFit="1" customWidth="1"/>
    <col min="4" max="4" width="21" customWidth="1"/>
    <col min="5" max="5" width="24.140625" customWidth="1"/>
    <col min="6" max="6" width="6.7109375" bestFit="1" customWidth="1"/>
    <col min="7" max="7" width="45.85546875" customWidth="1"/>
    <col min="8" max="8" width="14.5703125" customWidth="1"/>
    <col min="9" max="9" width="10.7109375" customWidth="1"/>
  </cols>
  <sheetData>
    <row r="1" spans="1:5" ht="21" x14ac:dyDescent="0.3">
      <c r="A1" s="160" t="s">
        <v>0</v>
      </c>
      <c r="B1" s="2">
        <v>45116</v>
      </c>
      <c r="C1" s="3"/>
      <c r="D1" s="3"/>
    </row>
    <row r="2" spans="1:5" x14ac:dyDescent="0.25">
      <c r="A2" s="4" t="s">
        <v>536</v>
      </c>
      <c r="B2" s="5" t="s">
        <v>2</v>
      </c>
      <c r="C2" s="5" t="s">
        <v>3</v>
      </c>
      <c r="D2" s="6" t="s">
        <v>4</v>
      </c>
      <c r="E2" s="5" t="s">
        <v>5</v>
      </c>
    </row>
    <row r="3" spans="1:5" x14ac:dyDescent="0.25">
      <c r="A3" s="19" t="s">
        <v>529</v>
      </c>
      <c r="B3" s="31">
        <v>20000</v>
      </c>
      <c r="C3" s="166" t="s">
        <v>520</v>
      </c>
      <c r="D3" s="167">
        <v>4770</v>
      </c>
      <c r="E3" s="122"/>
    </row>
    <row r="4" spans="1:5" x14ac:dyDescent="0.25">
      <c r="A4" s="20" t="s">
        <v>52</v>
      </c>
      <c r="B4" s="151">
        <f>18000+450</f>
        <v>18450</v>
      </c>
      <c r="C4" s="166" t="s">
        <v>519</v>
      </c>
      <c r="D4" s="167">
        <v>2220</v>
      </c>
      <c r="E4" s="123"/>
    </row>
    <row r="5" spans="1:5" x14ac:dyDescent="0.25">
      <c r="A5" s="148" t="s">
        <v>9</v>
      </c>
      <c r="B5" s="151">
        <v>9150</v>
      </c>
      <c r="C5" s="166" t="s">
        <v>518</v>
      </c>
      <c r="D5" s="167">
        <v>2300</v>
      </c>
      <c r="E5" s="123"/>
    </row>
    <row r="6" spans="1:5" x14ac:dyDescent="0.25">
      <c r="A6" s="149" t="s">
        <v>80</v>
      </c>
      <c r="B6" s="151">
        <v>13899</v>
      </c>
      <c r="C6" s="166" t="s">
        <v>528</v>
      </c>
      <c r="D6" s="167">
        <v>790</v>
      </c>
      <c r="E6" s="123"/>
    </row>
    <row r="7" spans="1:5" x14ac:dyDescent="0.25">
      <c r="A7" s="149" t="s">
        <v>81</v>
      </c>
      <c r="B7" s="151">
        <v>1427</v>
      </c>
      <c r="C7" s="166" t="s">
        <v>517</v>
      </c>
      <c r="D7" s="167">
        <v>5100</v>
      </c>
      <c r="E7" s="123"/>
    </row>
    <row r="8" spans="1:5" x14ac:dyDescent="0.25">
      <c r="A8" s="149" t="s">
        <v>535</v>
      </c>
      <c r="B8" s="151">
        <v>3230</v>
      </c>
      <c r="C8" s="166" t="s">
        <v>58</v>
      </c>
      <c r="D8" s="168">
        <v>1800</v>
      </c>
      <c r="E8" s="123"/>
    </row>
    <row r="9" spans="1:5" x14ac:dyDescent="0.25">
      <c r="A9" s="148" t="s">
        <v>539</v>
      </c>
      <c r="B9" s="151">
        <v>194</v>
      </c>
      <c r="C9" s="166" t="s">
        <v>527</v>
      </c>
      <c r="D9" s="169">
        <v>720</v>
      </c>
      <c r="E9" s="124"/>
    </row>
    <row r="10" spans="1:5" x14ac:dyDescent="0.25">
      <c r="A10" s="148" t="s">
        <v>27</v>
      </c>
      <c r="B10" s="151">
        <f>575</f>
        <v>575</v>
      </c>
      <c r="C10" s="166" t="s">
        <v>516</v>
      </c>
      <c r="D10" s="169">
        <v>1060</v>
      </c>
      <c r="E10" s="124"/>
    </row>
    <row r="11" spans="1:5" x14ac:dyDescent="0.25">
      <c r="A11" s="149" t="s">
        <v>35</v>
      </c>
      <c r="B11" s="151">
        <f>29+20</f>
        <v>49</v>
      </c>
      <c r="C11" s="166" t="s">
        <v>515</v>
      </c>
      <c r="D11" s="169">
        <v>2640</v>
      </c>
      <c r="E11" s="124"/>
    </row>
    <row r="12" spans="1:5" x14ac:dyDescent="0.25">
      <c r="A12" s="148" t="s">
        <v>300</v>
      </c>
      <c r="B12" s="151">
        <v>5000</v>
      </c>
      <c r="C12" s="170" t="s">
        <v>393</v>
      </c>
      <c r="D12" s="171">
        <v>120</v>
      </c>
      <c r="E12" s="125"/>
    </row>
    <row r="13" spans="1:5" ht="18" x14ac:dyDescent="0.25">
      <c r="A13" s="20" t="s">
        <v>27</v>
      </c>
      <c r="B13" s="22">
        <v>20</v>
      </c>
      <c r="C13" s="172" t="s">
        <v>19</v>
      </c>
      <c r="D13" s="171">
        <v>120</v>
      </c>
      <c r="E13" s="77"/>
    </row>
    <row r="14" spans="1:5" ht="18" x14ac:dyDescent="0.25">
      <c r="A14" s="20" t="s">
        <v>27</v>
      </c>
      <c r="B14" s="22">
        <v>155</v>
      </c>
      <c r="C14" s="173" t="s">
        <v>521</v>
      </c>
      <c r="D14" s="174">
        <v>210</v>
      </c>
      <c r="E14" s="77"/>
    </row>
    <row r="15" spans="1:5" ht="18" x14ac:dyDescent="0.25">
      <c r="A15" s="20"/>
      <c r="B15" s="96"/>
      <c r="C15" s="173" t="s">
        <v>34</v>
      </c>
      <c r="D15" s="174">
        <v>450</v>
      </c>
      <c r="E15" s="56"/>
    </row>
    <row r="16" spans="1:5" ht="18" x14ac:dyDescent="0.25">
      <c r="A16" s="20" t="s">
        <v>27</v>
      </c>
      <c r="B16" s="96">
        <v>1515</v>
      </c>
      <c r="C16" s="173" t="s">
        <v>399</v>
      </c>
      <c r="D16" s="174">
        <v>240</v>
      </c>
      <c r="E16" s="56"/>
    </row>
    <row r="17" spans="1:7" ht="18" x14ac:dyDescent="0.25">
      <c r="A17" s="20" t="s">
        <v>27</v>
      </c>
      <c r="B17" s="96">
        <f>450+500+260</f>
        <v>1210</v>
      </c>
      <c r="C17" s="173" t="s">
        <v>265</v>
      </c>
      <c r="D17" s="174">
        <v>440</v>
      </c>
      <c r="E17" s="56"/>
    </row>
    <row r="18" spans="1:7" ht="18" x14ac:dyDescent="0.25">
      <c r="A18" s="20" t="s">
        <v>300</v>
      </c>
      <c r="B18" s="96">
        <v>18110</v>
      </c>
      <c r="C18" s="173" t="s">
        <v>334</v>
      </c>
      <c r="D18" s="174">
        <v>520</v>
      </c>
      <c r="E18" s="56"/>
      <c r="G18" s="97"/>
    </row>
    <row r="19" spans="1:7" x14ac:dyDescent="0.25">
      <c r="A19" s="20" t="s">
        <v>549</v>
      </c>
      <c r="B19" s="96">
        <v>1881</v>
      </c>
      <c r="C19" s="173" t="s">
        <v>522</v>
      </c>
      <c r="D19" s="174">
        <v>55</v>
      </c>
      <c r="E19" s="124"/>
      <c r="G19" s="97"/>
    </row>
    <row r="20" spans="1:7" x14ac:dyDescent="0.25">
      <c r="A20" s="41" t="s">
        <v>6</v>
      </c>
      <c r="B20" s="22">
        <v>17725</v>
      </c>
      <c r="C20" s="173" t="s">
        <v>523</v>
      </c>
      <c r="D20" s="174">
        <v>690</v>
      </c>
      <c r="E20" s="124"/>
      <c r="G20" s="97"/>
    </row>
    <row r="21" spans="1:7" x14ac:dyDescent="0.25">
      <c r="A21" s="20" t="s">
        <v>93</v>
      </c>
      <c r="B21" s="96">
        <v>126</v>
      </c>
      <c r="C21" s="173" t="s">
        <v>12</v>
      </c>
      <c r="D21" s="174">
        <v>2658</v>
      </c>
      <c r="E21" s="124"/>
      <c r="G21" s="97"/>
    </row>
    <row r="22" spans="1:7" ht="15.75" x14ac:dyDescent="0.25">
      <c r="A22" s="20" t="s">
        <v>27</v>
      </c>
      <c r="B22" s="20">
        <v>150</v>
      </c>
      <c r="C22" s="173" t="s">
        <v>79</v>
      </c>
      <c r="D22" s="174">
        <v>1301</v>
      </c>
      <c r="E22" s="124"/>
      <c r="F22" s="15"/>
      <c r="G22" s="97"/>
    </row>
    <row r="23" spans="1:7" ht="15.75" x14ac:dyDescent="0.25">
      <c r="A23" s="20" t="s">
        <v>556</v>
      </c>
      <c r="B23" s="22">
        <f>2000+350+450+840</f>
        <v>3640</v>
      </c>
      <c r="C23" s="173" t="s">
        <v>27</v>
      </c>
      <c r="D23" s="174">
        <v>495</v>
      </c>
      <c r="E23" s="128"/>
      <c r="F23" s="15"/>
      <c r="G23" s="97"/>
    </row>
    <row r="24" spans="1:7" ht="15.75" x14ac:dyDescent="0.25">
      <c r="A24" s="20" t="s">
        <v>88</v>
      </c>
      <c r="B24" s="117">
        <v>18720</v>
      </c>
      <c r="C24" s="173" t="s">
        <v>51</v>
      </c>
      <c r="D24" s="174">
        <v>3190</v>
      </c>
      <c r="E24" s="128"/>
      <c r="F24" s="15"/>
    </row>
    <row r="25" spans="1:7" ht="15.75" x14ac:dyDescent="0.25">
      <c r="A25" s="20" t="s">
        <v>216</v>
      </c>
      <c r="B25" s="117">
        <v>202</v>
      </c>
      <c r="C25" s="20" t="s">
        <v>13</v>
      </c>
      <c r="D25" s="150">
        <v>50</v>
      </c>
      <c r="E25" s="128"/>
      <c r="F25" s="15"/>
      <c r="G25" s="97"/>
    </row>
    <row r="26" spans="1:7" ht="15.75" x14ac:dyDescent="0.25">
      <c r="A26" s="20" t="s">
        <v>60</v>
      </c>
      <c r="B26" s="22">
        <v>6803</v>
      </c>
      <c r="C26" s="20" t="s">
        <v>38</v>
      </c>
      <c r="D26" s="150">
        <v>120</v>
      </c>
      <c r="E26" s="128"/>
      <c r="F26" s="15"/>
      <c r="G26" s="97"/>
    </row>
    <row r="27" spans="1:7" ht="15.75" x14ac:dyDescent="0.25">
      <c r="A27" s="20" t="s">
        <v>85</v>
      </c>
      <c r="B27" s="117">
        <v>11930</v>
      </c>
      <c r="C27" s="39" t="s">
        <v>524</v>
      </c>
      <c r="D27" s="21"/>
      <c r="E27" s="124"/>
      <c r="F27" s="15"/>
      <c r="G27" s="97"/>
    </row>
    <row r="28" spans="1:7" ht="15.75" x14ac:dyDescent="0.25">
      <c r="A28" s="20" t="s">
        <v>561</v>
      </c>
      <c r="B28" s="117">
        <v>230</v>
      </c>
      <c r="C28" s="20" t="s">
        <v>525</v>
      </c>
      <c r="D28" s="21">
        <v>600</v>
      </c>
      <c r="E28" s="124"/>
      <c r="F28" s="15"/>
      <c r="G28" s="97"/>
    </row>
    <row r="29" spans="1:7" ht="15.75" x14ac:dyDescent="0.25">
      <c r="A29" s="20" t="s">
        <v>541</v>
      </c>
      <c r="B29" s="117">
        <v>218</v>
      </c>
      <c r="C29" s="20" t="s">
        <v>526</v>
      </c>
      <c r="D29" s="21">
        <v>2425</v>
      </c>
      <c r="E29" s="124"/>
      <c r="F29" s="15"/>
      <c r="G29" s="97"/>
    </row>
    <row r="30" spans="1:7" ht="15.75" x14ac:dyDescent="0.25">
      <c r="A30" s="20"/>
      <c r="B30" s="22"/>
      <c r="C30" s="20" t="s">
        <v>8</v>
      </c>
      <c r="D30" s="21">
        <v>55</v>
      </c>
      <c r="E30" s="124"/>
      <c r="F30" s="15"/>
      <c r="G30" s="97"/>
    </row>
    <row r="31" spans="1:7" ht="15.75" x14ac:dyDescent="0.25">
      <c r="A31" s="20"/>
      <c r="B31" s="22"/>
      <c r="C31" s="20" t="s">
        <v>534</v>
      </c>
      <c r="D31" s="21">
        <v>1485</v>
      </c>
      <c r="E31" s="124"/>
      <c r="F31" s="15"/>
      <c r="G31" s="97"/>
    </row>
    <row r="32" spans="1:7" ht="15.75" x14ac:dyDescent="0.25">
      <c r="A32" s="20"/>
      <c r="B32" s="22"/>
      <c r="C32" s="39" t="s">
        <v>532</v>
      </c>
      <c r="D32" s="40">
        <v>350</v>
      </c>
      <c r="E32" s="124"/>
      <c r="F32" s="15"/>
      <c r="G32" s="97"/>
    </row>
    <row r="33" spans="1:7" ht="15.75" x14ac:dyDescent="0.25">
      <c r="A33" s="20"/>
      <c r="B33" s="22"/>
      <c r="C33" s="175" t="s">
        <v>33</v>
      </c>
      <c r="D33" s="176">
        <v>72</v>
      </c>
      <c r="E33" s="124"/>
      <c r="F33" s="15"/>
      <c r="G33" s="97"/>
    </row>
    <row r="34" spans="1:7" ht="15.75" x14ac:dyDescent="0.25">
      <c r="A34" s="20"/>
      <c r="B34" s="22"/>
      <c r="C34" s="177" t="s">
        <v>373</v>
      </c>
      <c r="D34" s="178">
        <v>175</v>
      </c>
      <c r="E34" s="124"/>
      <c r="F34" s="15"/>
      <c r="G34" s="97"/>
    </row>
    <row r="35" spans="1:7" ht="15.75" x14ac:dyDescent="0.25">
      <c r="A35" s="20"/>
      <c r="B35" s="22"/>
      <c r="C35" s="175" t="s">
        <v>505</v>
      </c>
      <c r="D35" s="176">
        <v>2070</v>
      </c>
      <c r="E35" s="124"/>
      <c r="F35" s="15"/>
    </row>
    <row r="36" spans="1:7" ht="15.75" x14ac:dyDescent="0.25">
      <c r="A36" s="20"/>
      <c r="B36" s="22"/>
      <c r="C36" s="20" t="s">
        <v>43</v>
      </c>
      <c r="D36" s="21">
        <v>5000</v>
      </c>
      <c r="E36" s="124"/>
      <c r="F36" s="15"/>
    </row>
    <row r="37" spans="1:7" ht="15.75" x14ac:dyDescent="0.25">
      <c r="A37" s="20"/>
      <c r="B37" s="22"/>
      <c r="C37" s="20" t="s">
        <v>540</v>
      </c>
      <c r="D37" s="22">
        <v>23000</v>
      </c>
      <c r="E37" s="124"/>
      <c r="F37" s="15"/>
    </row>
    <row r="38" spans="1:7" ht="15.75" x14ac:dyDescent="0.25">
      <c r="A38" s="20"/>
      <c r="B38" s="22"/>
      <c r="C38" s="20" t="s">
        <v>542</v>
      </c>
      <c r="D38" s="22">
        <v>910</v>
      </c>
      <c r="E38" s="124"/>
      <c r="F38" s="15"/>
    </row>
    <row r="39" spans="1:7" ht="15.75" x14ac:dyDescent="0.25">
      <c r="A39" s="20"/>
      <c r="B39" s="22"/>
      <c r="C39" s="20" t="s">
        <v>223</v>
      </c>
      <c r="D39" s="22">
        <v>90</v>
      </c>
      <c r="E39" s="124"/>
      <c r="F39" s="15"/>
    </row>
    <row r="40" spans="1:7" ht="15.75" x14ac:dyDescent="0.25">
      <c r="A40" s="20"/>
      <c r="B40" s="22"/>
      <c r="C40" s="20"/>
      <c r="D40" s="22"/>
      <c r="E40" s="124"/>
      <c r="F40" s="15"/>
    </row>
    <row r="41" spans="1:7" ht="15.75" x14ac:dyDescent="0.25">
      <c r="A41" s="20"/>
      <c r="B41" s="22"/>
      <c r="C41" s="179" t="s">
        <v>548</v>
      </c>
      <c r="D41" s="180">
        <v>5000</v>
      </c>
      <c r="E41" s="124"/>
      <c r="F41" s="15"/>
    </row>
    <row r="42" spans="1:7" ht="15.75" x14ac:dyDescent="0.25">
      <c r="A42" s="20"/>
      <c r="B42" s="22"/>
      <c r="C42" s="179" t="s">
        <v>368</v>
      </c>
      <c r="D42" s="181">
        <v>5000</v>
      </c>
      <c r="E42" s="124"/>
      <c r="F42" s="15"/>
    </row>
    <row r="43" spans="1:7" ht="15.75" x14ac:dyDescent="0.25">
      <c r="A43" s="20"/>
      <c r="B43" s="22"/>
      <c r="C43" s="179" t="s">
        <v>74</v>
      </c>
      <c r="D43" s="181">
        <v>20</v>
      </c>
      <c r="E43" s="124"/>
      <c r="F43" s="15"/>
    </row>
    <row r="44" spans="1:7" ht="15.75" x14ac:dyDescent="0.25">
      <c r="A44" s="20"/>
      <c r="B44" s="22"/>
      <c r="C44" s="179" t="s">
        <v>544</v>
      </c>
      <c r="D44" s="181">
        <v>200</v>
      </c>
      <c r="E44" s="124"/>
      <c r="F44" s="15"/>
    </row>
    <row r="45" spans="1:7" ht="15.75" x14ac:dyDescent="0.25">
      <c r="A45" s="20"/>
      <c r="B45" s="22"/>
      <c r="C45" s="179" t="s">
        <v>27</v>
      </c>
      <c r="D45" s="181">
        <v>1185</v>
      </c>
      <c r="E45" s="124"/>
      <c r="F45" s="15"/>
    </row>
    <row r="46" spans="1:7" ht="15.75" x14ac:dyDescent="0.25">
      <c r="A46" s="20"/>
      <c r="B46" s="22"/>
      <c r="C46" s="179" t="s">
        <v>545</v>
      </c>
      <c r="D46" s="181">
        <v>2830</v>
      </c>
      <c r="E46" s="124"/>
      <c r="F46" s="15"/>
    </row>
    <row r="47" spans="1:7" ht="15.75" x14ac:dyDescent="0.25">
      <c r="A47" s="20"/>
      <c r="B47" s="22"/>
      <c r="C47" s="179" t="s">
        <v>546</v>
      </c>
      <c r="D47" s="181">
        <v>80</v>
      </c>
      <c r="E47" s="124"/>
      <c r="F47" s="15"/>
    </row>
    <row r="48" spans="1:7" ht="15.75" x14ac:dyDescent="0.25">
      <c r="A48" s="20"/>
      <c r="B48" s="22"/>
      <c r="C48" s="179" t="s">
        <v>27</v>
      </c>
      <c r="D48" s="181">
        <v>400</v>
      </c>
      <c r="E48" s="124"/>
      <c r="F48" s="15"/>
    </row>
    <row r="49" spans="1:6" ht="15.75" x14ac:dyDescent="0.25">
      <c r="A49" s="20"/>
      <c r="B49" s="21"/>
      <c r="C49" s="20" t="s">
        <v>14</v>
      </c>
      <c r="D49" s="22">
        <v>1260</v>
      </c>
      <c r="E49" s="124"/>
      <c r="F49" s="15"/>
    </row>
    <row r="50" spans="1:6" ht="15.75" x14ac:dyDescent="0.25">
      <c r="A50" s="20"/>
      <c r="B50" s="21"/>
      <c r="C50" s="186" t="s">
        <v>10</v>
      </c>
      <c r="D50" s="187">
        <v>20</v>
      </c>
      <c r="E50" s="124"/>
      <c r="F50" s="15"/>
    </row>
    <row r="51" spans="1:6" ht="15.75" x14ac:dyDescent="0.25">
      <c r="A51" s="20"/>
      <c r="B51" s="21"/>
      <c r="C51" s="186" t="s">
        <v>399</v>
      </c>
      <c r="D51" s="187">
        <v>10</v>
      </c>
      <c r="E51" s="124"/>
      <c r="F51" s="15"/>
    </row>
    <row r="52" spans="1:6" ht="15.75" x14ac:dyDescent="0.25">
      <c r="A52" s="20"/>
      <c r="B52" s="21"/>
      <c r="C52" s="186" t="s">
        <v>52</v>
      </c>
      <c r="D52" s="187">
        <v>239</v>
      </c>
      <c r="E52" s="124"/>
      <c r="F52" s="15"/>
    </row>
    <row r="53" spans="1:6" x14ac:dyDescent="0.25">
      <c r="A53" s="20"/>
      <c r="B53" s="21"/>
      <c r="C53" s="188" t="s">
        <v>550</v>
      </c>
      <c r="D53" s="189">
        <v>51</v>
      </c>
      <c r="E53" s="124"/>
    </row>
    <row r="54" spans="1:6" x14ac:dyDescent="0.25">
      <c r="A54" s="20"/>
      <c r="B54" s="21"/>
      <c r="C54" s="116" t="s">
        <v>551</v>
      </c>
      <c r="D54" s="22">
        <v>110</v>
      </c>
      <c r="E54" s="124"/>
    </row>
    <row r="55" spans="1:6" x14ac:dyDescent="0.25">
      <c r="A55" s="20"/>
      <c r="B55" s="21"/>
      <c r="C55" s="116" t="s">
        <v>557</v>
      </c>
      <c r="D55" s="22">
        <v>840</v>
      </c>
      <c r="E55" s="124"/>
    </row>
    <row r="56" spans="1:6" x14ac:dyDescent="0.25">
      <c r="A56" s="20"/>
      <c r="B56" s="21"/>
      <c r="C56" s="163" t="s">
        <v>510</v>
      </c>
      <c r="D56" s="164">
        <v>90</v>
      </c>
      <c r="E56" s="124"/>
    </row>
    <row r="57" spans="1:6" x14ac:dyDescent="0.25">
      <c r="A57" s="20"/>
      <c r="B57" s="21"/>
      <c r="C57" s="163" t="s">
        <v>210</v>
      </c>
      <c r="D57" s="164">
        <v>180</v>
      </c>
      <c r="E57" s="124"/>
    </row>
    <row r="58" spans="1:6" ht="21" x14ac:dyDescent="0.35">
      <c r="A58" s="20"/>
      <c r="B58" s="21"/>
      <c r="C58" s="163" t="s">
        <v>255</v>
      </c>
      <c r="D58" s="164">
        <v>45</v>
      </c>
      <c r="E58" s="124"/>
      <c r="F58" s="133"/>
    </row>
    <row r="59" spans="1:6" x14ac:dyDescent="0.25">
      <c r="A59" s="20"/>
      <c r="B59" s="21"/>
      <c r="C59" s="163" t="s">
        <v>32</v>
      </c>
      <c r="D59" s="164">
        <v>120</v>
      </c>
      <c r="E59" s="124"/>
    </row>
    <row r="60" spans="1:6" x14ac:dyDescent="0.25">
      <c r="A60" s="20"/>
      <c r="B60" s="21"/>
      <c r="C60" s="163" t="s">
        <v>552</v>
      </c>
      <c r="D60" s="164">
        <v>140</v>
      </c>
      <c r="E60" s="124"/>
    </row>
    <row r="61" spans="1:6" x14ac:dyDescent="0.25">
      <c r="A61" s="20"/>
      <c r="B61" s="21"/>
      <c r="C61" s="163" t="s">
        <v>86</v>
      </c>
      <c r="D61" s="164">
        <v>45</v>
      </c>
      <c r="E61" s="124"/>
    </row>
    <row r="62" spans="1:6" x14ac:dyDescent="0.25">
      <c r="A62" s="20"/>
      <c r="B62" s="21"/>
      <c r="C62" s="163" t="s">
        <v>9</v>
      </c>
      <c r="D62" s="164">
        <v>100</v>
      </c>
      <c r="E62" s="124"/>
    </row>
    <row r="63" spans="1:6" x14ac:dyDescent="0.25">
      <c r="A63" s="20"/>
      <c r="B63" s="21"/>
      <c r="C63" s="163" t="s">
        <v>11</v>
      </c>
      <c r="D63" s="164">
        <v>210</v>
      </c>
      <c r="E63" s="124"/>
    </row>
    <row r="64" spans="1:6" x14ac:dyDescent="0.25">
      <c r="A64" s="20"/>
      <c r="B64" s="21"/>
      <c r="C64" s="163" t="s">
        <v>8</v>
      </c>
      <c r="D64" s="164">
        <v>305</v>
      </c>
      <c r="E64" s="124"/>
    </row>
    <row r="65" spans="1:5" x14ac:dyDescent="0.25">
      <c r="A65" s="20"/>
      <c r="B65" s="21"/>
      <c r="C65" s="163" t="s">
        <v>265</v>
      </c>
      <c r="D65" s="164">
        <v>210</v>
      </c>
      <c r="E65" s="124"/>
    </row>
    <row r="66" spans="1:5" x14ac:dyDescent="0.25">
      <c r="A66" s="20"/>
      <c r="B66" s="21"/>
      <c r="C66" s="163" t="s">
        <v>104</v>
      </c>
      <c r="D66" s="164">
        <v>15</v>
      </c>
      <c r="E66" s="124"/>
    </row>
    <row r="67" spans="1:5" ht="23.25" customHeight="1" x14ac:dyDescent="0.25">
      <c r="A67" s="20"/>
      <c r="B67" s="21"/>
      <c r="C67" s="163" t="s">
        <v>313</v>
      </c>
      <c r="D67" s="164">
        <v>475</v>
      </c>
      <c r="E67" s="124"/>
    </row>
    <row r="68" spans="1:5" x14ac:dyDescent="0.25">
      <c r="A68" s="20"/>
      <c r="B68" s="21"/>
      <c r="C68" s="163" t="s">
        <v>553</v>
      </c>
      <c r="D68" s="164">
        <v>100</v>
      </c>
      <c r="E68" s="124"/>
    </row>
    <row r="69" spans="1:5" x14ac:dyDescent="0.25">
      <c r="A69" s="20"/>
      <c r="B69" s="21"/>
      <c r="C69" s="163" t="s">
        <v>554</v>
      </c>
      <c r="D69" s="164">
        <v>608</v>
      </c>
      <c r="E69" s="124"/>
    </row>
    <row r="70" spans="1:5" x14ac:dyDescent="0.25">
      <c r="A70" s="20"/>
      <c r="B70" s="21"/>
      <c r="C70" s="163" t="s">
        <v>555</v>
      </c>
      <c r="D70" s="164">
        <v>10</v>
      </c>
      <c r="E70" s="124"/>
    </row>
    <row r="71" spans="1:5" x14ac:dyDescent="0.25">
      <c r="A71" s="20"/>
      <c r="B71" s="21"/>
      <c r="C71" s="163" t="s">
        <v>58</v>
      </c>
      <c r="D71" s="164">
        <v>1385</v>
      </c>
      <c r="E71" s="124"/>
    </row>
    <row r="72" spans="1:5" x14ac:dyDescent="0.25">
      <c r="A72" s="20"/>
      <c r="B72" s="21"/>
      <c r="C72" s="163" t="s">
        <v>212</v>
      </c>
      <c r="D72" s="164">
        <v>25</v>
      </c>
      <c r="E72" s="124"/>
    </row>
    <row r="73" spans="1:5" x14ac:dyDescent="0.25">
      <c r="A73" s="20"/>
      <c r="B73" s="21"/>
      <c r="C73" s="163" t="s">
        <v>341</v>
      </c>
      <c r="D73" s="164">
        <v>140</v>
      </c>
      <c r="E73" s="124"/>
    </row>
    <row r="74" spans="1:5" x14ac:dyDescent="0.25">
      <c r="A74" s="20"/>
      <c r="B74" s="21"/>
      <c r="C74" s="163" t="s">
        <v>255</v>
      </c>
      <c r="D74" s="164">
        <v>150</v>
      </c>
      <c r="E74" s="124"/>
    </row>
    <row r="75" spans="1:5" x14ac:dyDescent="0.25">
      <c r="A75" s="20"/>
      <c r="B75" s="21"/>
      <c r="C75" s="163" t="s">
        <v>39</v>
      </c>
      <c r="D75" s="165">
        <v>120</v>
      </c>
      <c r="E75" s="126"/>
    </row>
    <row r="76" spans="1:5" ht="24.75" customHeight="1" x14ac:dyDescent="0.25">
      <c r="A76" s="20"/>
      <c r="B76" s="32"/>
      <c r="C76" s="182" t="s">
        <v>27</v>
      </c>
      <c r="D76" s="183">
        <v>565</v>
      </c>
      <c r="E76" s="126"/>
    </row>
    <row r="77" spans="1:5" x14ac:dyDescent="0.25">
      <c r="A77" s="20"/>
      <c r="B77" s="21"/>
      <c r="C77" s="184" t="s">
        <v>52</v>
      </c>
      <c r="D77" s="185">
        <v>185</v>
      </c>
      <c r="E77" s="124"/>
    </row>
    <row r="78" spans="1:5" x14ac:dyDescent="0.25">
      <c r="A78" s="20"/>
      <c r="B78" s="22"/>
      <c r="C78" s="161" t="s">
        <v>67</v>
      </c>
      <c r="D78" s="162">
        <v>40</v>
      </c>
      <c r="E78" s="124"/>
    </row>
    <row r="79" spans="1:5" x14ac:dyDescent="0.25">
      <c r="A79" s="20"/>
      <c r="B79" s="22"/>
      <c r="C79" s="161" t="s">
        <v>339</v>
      </c>
      <c r="D79" s="162">
        <v>45</v>
      </c>
      <c r="E79" s="124"/>
    </row>
    <row r="80" spans="1:5" x14ac:dyDescent="0.25">
      <c r="A80" s="20"/>
      <c r="B80" s="22"/>
      <c r="C80" s="161" t="s">
        <v>494</v>
      </c>
      <c r="D80" s="162">
        <v>100</v>
      </c>
      <c r="E80" s="124"/>
    </row>
    <row r="81" spans="1:5" x14ac:dyDescent="0.25">
      <c r="A81" s="20"/>
      <c r="B81" s="22"/>
      <c r="C81" s="161" t="s">
        <v>32</v>
      </c>
      <c r="D81" s="162">
        <v>130</v>
      </c>
      <c r="E81" s="124"/>
    </row>
    <row r="82" spans="1:5" x14ac:dyDescent="0.25">
      <c r="A82" s="20"/>
      <c r="B82" s="22"/>
      <c r="C82" s="161" t="s">
        <v>552</v>
      </c>
      <c r="D82" s="162">
        <v>100</v>
      </c>
      <c r="E82" s="124"/>
    </row>
    <row r="83" spans="1:5" x14ac:dyDescent="0.25">
      <c r="A83" s="20"/>
      <c r="B83" s="22"/>
      <c r="C83" s="161" t="s">
        <v>559</v>
      </c>
      <c r="D83" s="162">
        <v>80</v>
      </c>
      <c r="E83" s="124"/>
    </row>
    <row r="84" spans="1:5" x14ac:dyDescent="0.25">
      <c r="A84" s="20"/>
      <c r="B84" s="22"/>
      <c r="C84" s="161" t="s">
        <v>353</v>
      </c>
      <c r="D84" s="162">
        <v>200</v>
      </c>
      <c r="E84" s="124"/>
    </row>
    <row r="85" spans="1:5" x14ac:dyDescent="0.25">
      <c r="A85" s="20"/>
      <c r="B85" s="22"/>
      <c r="C85" s="161" t="s">
        <v>498</v>
      </c>
      <c r="D85" s="162">
        <v>145</v>
      </c>
      <c r="E85" s="124"/>
    </row>
    <row r="86" spans="1:5" x14ac:dyDescent="0.25">
      <c r="A86" s="20"/>
      <c r="B86" s="22"/>
      <c r="C86" s="161" t="s">
        <v>27</v>
      </c>
      <c r="D86" s="162">
        <v>1225</v>
      </c>
      <c r="E86" s="124"/>
    </row>
    <row r="87" spans="1:5" x14ac:dyDescent="0.25">
      <c r="A87" s="20"/>
      <c r="B87" s="22"/>
      <c r="C87" s="20" t="s">
        <v>20</v>
      </c>
      <c r="D87" s="117">
        <v>2765</v>
      </c>
      <c r="E87" s="124"/>
    </row>
    <row r="88" spans="1:5" x14ac:dyDescent="0.25">
      <c r="A88" s="20"/>
      <c r="B88" s="22"/>
      <c r="C88" s="20" t="s">
        <v>562</v>
      </c>
      <c r="D88" s="117">
        <v>250</v>
      </c>
      <c r="E88" s="124"/>
    </row>
    <row r="89" spans="1:5" x14ac:dyDescent="0.25">
      <c r="A89" s="20"/>
      <c r="B89" s="22"/>
      <c r="C89" s="20" t="s">
        <v>563</v>
      </c>
      <c r="D89" s="96">
        <v>5000</v>
      </c>
      <c r="E89" s="124"/>
    </row>
    <row r="90" spans="1:5" x14ac:dyDescent="0.25">
      <c r="A90" s="20"/>
      <c r="B90" s="22"/>
      <c r="C90" s="116" t="s">
        <v>387</v>
      </c>
      <c r="D90" s="96">
        <v>10000</v>
      </c>
      <c r="E90" s="124"/>
    </row>
    <row r="91" spans="1:5" x14ac:dyDescent="0.25">
      <c r="A91" s="20"/>
      <c r="B91" s="22"/>
      <c r="C91" s="116" t="s">
        <v>538</v>
      </c>
      <c r="D91" s="96">
        <v>2100</v>
      </c>
      <c r="E91" s="124"/>
    </row>
    <row r="92" spans="1:5" x14ac:dyDescent="0.25">
      <c r="A92" s="20"/>
      <c r="B92" s="22"/>
      <c r="C92" s="20" t="s">
        <v>530</v>
      </c>
      <c r="D92" s="91">
        <v>500</v>
      </c>
      <c r="E92" s="124"/>
    </row>
    <row r="93" spans="1:5" x14ac:dyDescent="0.25">
      <c r="A93" s="20"/>
      <c r="B93" s="22"/>
      <c r="C93" s="90"/>
      <c r="D93" s="22" t="s">
        <v>591</v>
      </c>
      <c r="E93" s="124"/>
    </row>
    <row r="94" spans="1:5" x14ac:dyDescent="0.25">
      <c r="A94" s="20"/>
      <c r="B94" s="22"/>
      <c r="C94" s="90"/>
      <c r="D94" s="117"/>
      <c r="E94" s="124"/>
    </row>
    <row r="95" spans="1:5" x14ac:dyDescent="0.25">
      <c r="A95" s="20"/>
      <c r="B95" s="22"/>
      <c r="C95" s="212"/>
      <c r="D95" s="209"/>
      <c r="E95" s="124"/>
    </row>
    <row r="96" spans="1:5" x14ac:dyDescent="0.25">
      <c r="A96" s="20"/>
      <c r="B96" s="22"/>
      <c r="C96" s="212"/>
      <c r="D96" s="209"/>
      <c r="E96" s="124"/>
    </row>
    <row r="97" spans="1:5" x14ac:dyDescent="0.25">
      <c r="A97" s="20"/>
      <c r="B97" s="117"/>
      <c r="C97" s="212"/>
      <c r="D97" s="209"/>
      <c r="E97" s="124"/>
    </row>
    <row r="98" spans="1:5" x14ac:dyDescent="0.25">
      <c r="A98" s="20"/>
      <c r="B98" s="117"/>
      <c r="C98" s="212"/>
      <c r="D98" s="209"/>
      <c r="E98" s="124"/>
    </row>
    <row r="99" spans="1:5" x14ac:dyDescent="0.25">
      <c r="A99" s="20"/>
      <c r="B99" s="21"/>
      <c r="C99" s="212"/>
      <c r="D99" s="209"/>
      <c r="E99" s="126"/>
    </row>
    <row r="100" spans="1:5" x14ac:dyDescent="0.25">
      <c r="A100" s="20"/>
      <c r="B100" s="21"/>
      <c r="C100" s="212"/>
      <c r="D100" s="209"/>
      <c r="E100" s="126"/>
    </row>
    <row r="101" spans="1:5" x14ac:dyDescent="0.25">
      <c r="A101" s="20"/>
      <c r="B101" s="21"/>
      <c r="C101" s="205"/>
      <c r="D101" s="210"/>
      <c r="E101" s="126"/>
    </row>
    <row r="102" spans="1:5" ht="21.75" thickBot="1" x14ac:dyDescent="0.4">
      <c r="A102" s="130"/>
      <c r="B102" s="131">
        <f>SUBTOTAL(109,Table972023[Column1])</f>
        <v>154609</v>
      </c>
      <c r="C102" s="132"/>
      <c r="D102" s="133">
        <f>SUBTOTAL(109,Table972023[Column2])</f>
        <v>113439</v>
      </c>
      <c r="E102" s="133"/>
    </row>
    <row r="103" spans="1:5" ht="27" thickTop="1" x14ac:dyDescent="0.25">
      <c r="D103" s="16">
        <f>Table972023[[#Totals],[Column1]]-Table972023[[#Totals],[Column2]]</f>
        <v>41170</v>
      </c>
    </row>
    <row r="104" spans="1:5" ht="15.75" thickBot="1" x14ac:dyDescent="0.3"/>
    <row r="105" spans="1:5" ht="24" thickBot="1" x14ac:dyDescent="0.3">
      <c r="A105" s="76" t="s">
        <v>9</v>
      </c>
      <c r="B105" s="460">
        <v>45115</v>
      </c>
      <c r="C105" s="474"/>
    </row>
    <row r="106" spans="1:5" ht="21" thickBot="1" x14ac:dyDescent="0.3">
      <c r="A106" s="53" t="s">
        <v>137</v>
      </c>
      <c r="B106" s="53" t="s">
        <v>138</v>
      </c>
      <c r="C106" s="53" t="s">
        <v>3</v>
      </c>
    </row>
    <row r="107" spans="1:5" ht="18" x14ac:dyDescent="0.25">
      <c r="A107" s="55">
        <f>500+395+200</f>
        <v>1095</v>
      </c>
      <c r="B107" s="57" t="s">
        <v>8</v>
      </c>
      <c r="C107" s="77">
        <v>55</v>
      </c>
    </row>
    <row r="108" spans="1:5" ht="18" x14ac:dyDescent="0.25">
      <c r="A108" s="60"/>
      <c r="B108" s="94" t="s">
        <v>531</v>
      </c>
      <c r="C108" s="56">
        <v>8000</v>
      </c>
    </row>
    <row r="109" spans="1:5" ht="18" x14ac:dyDescent="0.25">
      <c r="A109" s="60"/>
      <c r="B109" s="57"/>
      <c r="C109" s="77"/>
    </row>
    <row r="110" spans="1:5" ht="18" x14ac:dyDescent="0.25">
      <c r="A110" s="60"/>
      <c r="B110" s="57"/>
      <c r="C110" s="77"/>
    </row>
    <row r="111" spans="1:5" ht="18" x14ac:dyDescent="0.25">
      <c r="A111" s="60"/>
      <c r="B111" s="94"/>
      <c r="C111" s="56"/>
    </row>
    <row r="112" spans="1:5" ht="18" x14ac:dyDescent="0.25">
      <c r="A112" s="60"/>
      <c r="B112" s="94"/>
      <c r="C112" s="56"/>
    </row>
    <row r="113" spans="1:5" ht="18" x14ac:dyDescent="0.25">
      <c r="A113" s="60"/>
      <c r="B113" s="94"/>
      <c r="C113" s="56"/>
    </row>
    <row r="114" spans="1:5" ht="18.75" thickBot="1" x14ac:dyDescent="0.3">
      <c r="A114" s="60"/>
      <c r="B114" s="94"/>
      <c r="C114" s="56"/>
    </row>
    <row r="115" spans="1:5" ht="24" thickBot="1" x14ac:dyDescent="0.3">
      <c r="A115" s="66"/>
      <c r="B115" s="64"/>
      <c r="C115" s="67"/>
      <c r="D115" s="134" t="s">
        <v>43</v>
      </c>
      <c r="E115" s="99">
        <f>E120-E116</f>
        <v>0</v>
      </c>
    </row>
    <row r="116" spans="1:5" ht="21.75" thickBot="1" x14ac:dyDescent="0.3">
      <c r="A116" s="68">
        <f>SUM(A107:A115)</f>
        <v>1095</v>
      </c>
      <c r="C116" s="69">
        <f>SUM(C107:C115)</f>
        <v>8055</v>
      </c>
      <c r="D116" s="135" t="s">
        <v>94</v>
      </c>
      <c r="E116" s="85"/>
    </row>
    <row r="117" spans="1:5" ht="27.75" customHeight="1" thickBot="1" x14ac:dyDescent="0.3">
      <c r="A117" s="462" t="s">
        <v>139</v>
      </c>
      <c r="B117" s="463"/>
      <c r="C117" s="71" t="s">
        <v>75</v>
      </c>
      <c r="D117" s="136" t="s">
        <v>65</v>
      </c>
      <c r="E117" s="83"/>
    </row>
    <row r="118" spans="1:5" ht="24" thickBot="1" x14ac:dyDescent="0.3">
      <c r="A118" s="464">
        <f>C116+A116</f>
        <v>9150</v>
      </c>
      <c r="B118" s="465"/>
      <c r="C118" s="81"/>
      <c r="D118" s="82"/>
      <c r="E118" s="83"/>
    </row>
    <row r="119" spans="1:5" ht="24" thickBot="1" x14ac:dyDescent="0.3">
      <c r="A119" s="466" t="s">
        <v>99</v>
      </c>
      <c r="B119" s="467"/>
      <c r="C119" s="78">
        <f>A120-C120</f>
        <v>9150</v>
      </c>
      <c r="D119" s="82"/>
      <c r="E119" s="83"/>
    </row>
    <row r="120" spans="1:5" ht="24" thickBot="1" x14ac:dyDescent="0.3">
      <c r="A120" s="468">
        <f>C118+A118</f>
        <v>9150</v>
      </c>
      <c r="B120" s="469"/>
      <c r="C120" s="121"/>
      <c r="D120" s="82" t="s">
        <v>164</v>
      </c>
      <c r="E120" s="83">
        <f>SUM(E117:E119)</f>
        <v>0</v>
      </c>
    </row>
    <row r="121" spans="1:5" ht="24" thickBot="1" x14ac:dyDescent="0.3">
      <c r="A121"/>
      <c r="B121"/>
      <c r="C121" s="314" t="str">
        <f>IF(C119&gt;0,"زيادة","عجز")</f>
        <v>زيادة</v>
      </c>
    </row>
    <row r="122" spans="1:5" ht="15.75" thickBot="1" x14ac:dyDescent="0.3">
      <c r="A122"/>
      <c r="B122"/>
    </row>
    <row r="123" spans="1:5" ht="24" thickBot="1" x14ac:dyDescent="0.3">
      <c r="A123" s="76" t="s">
        <v>80</v>
      </c>
      <c r="B123" s="460">
        <v>45115</v>
      </c>
      <c r="C123" s="474"/>
    </row>
    <row r="124" spans="1:5" ht="21" thickBot="1" x14ac:dyDescent="0.3">
      <c r="A124" s="53" t="s">
        <v>137</v>
      </c>
      <c r="B124" s="53" t="s">
        <v>138</v>
      </c>
      <c r="C124" s="54" t="s">
        <v>3</v>
      </c>
    </row>
    <row r="125" spans="1:5" ht="18" x14ac:dyDescent="0.25">
      <c r="A125" s="55">
        <f>6000+400+200-3190</f>
        <v>3410</v>
      </c>
      <c r="B125" s="146" t="s">
        <v>393</v>
      </c>
      <c r="C125" s="56">
        <v>120</v>
      </c>
    </row>
    <row r="126" spans="1:5" ht="18" x14ac:dyDescent="0.25">
      <c r="A126" s="60"/>
      <c r="B126" s="147" t="s">
        <v>19</v>
      </c>
      <c r="C126" s="56">
        <v>120</v>
      </c>
    </row>
    <row r="127" spans="1:5" ht="18" x14ac:dyDescent="0.25">
      <c r="A127" s="60"/>
      <c r="B127" s="147" t="s">
        <v>521</v>
      </c>
      <c r="C127" s="56">
        <v>210</v>
      </c>
    </row>
    <row r="128" spans="1:5" ht="18" x14ac:dyDescent="0.25">
      <c r="A128" s="60"/>
      <c r="B128" s="147" t="s">
        <v>34</v>
      </c>
      <c r="C128" s="56">
        <v>450</v>
      </c>
    </row>
    <row r="129" spans="1:5" ht="18" x14ac:dyDescent="0.25">
      <c r="A129" s="60"/>
      <c r="B129" s="147" t="s">
        <v>399</v>
      </c>
      <c r="C129" s="56">
        <v>240</v>
      </c>
    </row>
    <row r="130" spans="1:5" ht="18" x14ac:dyDescent="0.25">
      <c r="A130" s="60"/>
      <c r="B130" s="147" t="s">
        <v>265</v>
      </c>
      <c r="C130" s="56">
        <v>440</v>
      </c>
    </row>
    <row r="131" spans="1:5" ht="18" x14ac:dyDescent="0.25">
      <c r="A131" s="60"/>
      <c r="B131" s="147" t="s">
        <v>334</v>
      </c>
      <c r="C131" s="56">
        <v>520</v>
      </c>
    </row>
    <row r="132" spans="1:5" ht="18" x14ac:dyDescent="0.25">
      <c r="A132" s="60"/>
      <c r="B132" s="147" t="s">
        <v>522</v>
      </c>
      <c r="C132" s="56">
        <v>55</v>
      </c>
    </row>
    <row r="133" spans="1:5" ht="18" x14ac:dyDescent="0.25">
      <c r="A133" s="60"/>
      <c r="B133" s="147" t="s">
        <v>523</v>
      </c>
      <c r="C133" s="56">
        <v>690</v>
      </c>
    </row>
    <row r="134" spans="1:5" ht="18" x14ac:dyDescent="0.25">
      <c r="A134" s="60"/>
      <c r="B134" s="147" t="s">
        <v>12</v>
      </c>
      <c r="C134" s="56">
        <v>2658</v>
      </c>
    </row>
    <row r="135" spans="1:5" ht="18" x14ac:dyDescent="0.25">
      <c r="A135" s="60"/>
      <c r="B135" s="147" t="s">
        <v>79</v>
      </c>
      <c r="C135" s="56">
        <v>1301</v>
      </c>
    </row>
    <row r="136" spans="1:5" ht="18" x14ac:dyDescent="0.25">
      <c r="A136" s="60"/>
      <c r="B136" s="147" t="s">
        <v>27</v>
      </c>
      <c r="C136" s="56">
        <v>495</v>
      </c>
    </row>
    <row r="137" spans="1:5" ht="18.75" thickBot="1" x14ac:dyDescent="0.3">
      <c r="A137" s="60"/>
      <c r="B137" s="147" t="s">
        <v>51</v>
      </c>
      <c r="C137" s="56">
        <v>3190</v>
      </c>
    </row>
    <row r="138" spans="1:5" ht="24" thickBot="1" x14ac:dyDescent="0.3">
      <c r="A138" s="66"/>
      <c r="B138" s="64"/>
      <c r="C138" s="67"/>
      <c r="D138" s="134" t="s">
        <v>43</v>
      </c>
      <c r="E138" s="99">
        <f>E143-E139</f>
        <v>31</v>
      </c>
    </row>
    <row r="139" spans="1:5" ht="21.75" thickBot="1" x14ac:dyDescent="0.3">
      <c r="A139" s="69">
        <f>SUM(A125:A138)</f>
        <v>3410</v>
      </c>
      <c r="C139" s="69">
        <f>SUM(C125:C138)</f>
        <v>10489</v>
      </c>
      <c r="D139" s="135" t="s">
        <v>94</v>
      </c>
      <c r="E139" s="85">
        <f>5844-4448</f>
        <v>1396</v>
      </c>
    </row>
    <row r="140" spans="1:5" ht="21.75" thickBot="1" x14ac:dyDescent="0.3">
      <c r="A140" s="489" t="s">
        <v>139</v>
      </c>
      <c r="B140" s="463"/>
      <c r="C140" s="71" t="s">
        <v>75</v>
      </c>
      <c r="D140" s="136" t="s">
        <v>65</v>
      </c>
      <c r="E140" s="83">
        <f>1300+100+27</f>
        <v>1427</v>
      </c>
    </row>
    <row r="141" spans="1:5" ht="24" thickBot="1" x14ac:dyDescent="0.3">
      <c r="A141" s="464">
        <f>C139+A139</f>
        <v>13899</v>
      </c>
      <c r="B141" s="465"/>
      <c r="C141" s="81"/>
      <c r="D141" s="82"/>
      <c r="E141" s="83"/>
    </row>
    <row r="142" spans="1:5" ht="24" thickBot="1" x14ac:dyDescent="0.3">
      <c r="A142" s="466" t="s">
        <v>99</v>
      </c>
      <c r="B142" s="467"/>
      <c r="C142" s="78">
        <f>A143-C143</f>
        <v>16</v>
      </c>
      <c r="D142" s="82"/>
      <c r="E142" s="83"/>
    </row>
    <row r="143" spans="1:5" ht="24" thickBot="1" x14ac:dyDescent="0.3">
      <c r="A143" s="468">
        <f>C141+A141</f>
        <v>13899</v>
      </c>
      <c r="B143" s="469"/>
      <c r="C143" s="121">
        <v>13883</v>
      </c>
      <c r="D143" s="82" t="s">
        <v>164</v>
      </c>
      <c r="E143" s="83">
        <f>SUM(E140:E142)</f>
        <v>1427</v>
      </c>
    </row>
    <row r="144" spans="1:5" ht="24" thickBot="1" x14ac:dyDescent="0.3">
      <c r="A144"/>
      <c r="B144"/>
      <c r="C144" s="314" t="str">
        <f>IF(C142&gt;0,"زيادة","عجز")</f>
        <v>زيادة</v>
      </c>
    </row>
    <row r="145" spans="1:5" ht="15.75" thickBot="1" x14ac:dyDescent="0.3">
      <c r="A145"/>
      <c r="B145"/>
    </row>
    <row r="146" spans="1:5" ht="24" thickBot="1" x14ac:dyDescent="0.3">
      <c r="A146" s="76" t="s">
        <v>533</v>
      </c>
      <c r="B146" s="460">
        <v>45115</v>
      </c>
      <c r="C146" s="474"/>
    </row>
    <row r="147" spans="1:5" ht="21" thickBot="1" x14ac:dyDescent="0.3">
      <c r="A147" s="53" t="s">
        <v>137</v>
      </c>
      <c r="B147" s="53" t="s">
        <v>138</v>
      </c>
      <c r="C147" s="54" t="s">
        <v>3</v>
      </c>
    </row>
    <row r="148" spans="1:5" ht="18" x14ac:dyDescent="0.25">
      <c r="A148" s="55">
        <f>650+260+3</f>
        <v>913</v>
      </c>
      <c r="B148" s="56" t="s">
        <v>33</v>
      </c>
      <c r="C148" s="94">
        <v>72</v>
      </c>
    </row>
    <row r="149" spans="1:5" ht="18" x14ac:dyDescent="0.25">
      <c r="A149" s="60"/>
      <c r="B149" s="56" t="s">
        <v>373</v>
      </c>
      <c r="C149" s="94">
        <v>175</v>
      </c>
    </row>
    <row r="150" spans="1:5" ht="18.75" thickBot="1" x14ac:dyDescent="0.3">
      <c r="A150" s="56"/>
      <c r="B150" s="56" t="s">
        <v>505</v>
      </c>
      <c r="C150" s="94">
        <v>2070</v>
      </c>
    </row>
    <row r="151" spans="1:5" ht="24" thickBot="1" x14ac:dyDescent="0.3">
      <c r="A151" s="66"/>
      <c r="B151" s="153"/>
      <c r="C151" s="152"/>
      <c r="D151" s="134" t="s">
        <v>43</v>
      </c>
      <c r="E151" s="99">
        <f>E156-E152</f>
        <v>194</v>
      </c>
    </row>
    <row r="152" spans="1:5" ht="21.75" thickBot="1" x14ac:dyDescent="0.3">
      <c r="A152" s="69">
        <f>SUM(A148:A151)</f>
        <v>913</v>
      </c>
      <c r="C152" s="69">
        <f>SUM(C148:C151)</f>
        <v>2317</v>
      </c>
      <c r="D152" s="135" t="s">
        <v>94</v>
      </c>
      <c r="E152" s="85"/>
    </row>
    <row r="153" spans="1:5" ht="21.75" thickBot="1" x14ac:dyDescent="0.3">
      <c r="A153" s="462" t="s">
        <v>139</v>
      </c>
      <c r="B153" s="463"/>
      <c r="C153" s="71" t="s">
        <v>75</v>
      </c>
      <c r="D153" s="136" t="s">
        <v>65</v>
      </c>
      <c r="E153" s="83">
        <f>194</f>
        <v>194</v>
      </c>
    </row>
    <row r="154" spans="1:5" ht="24" thickBot="1" x14ac:dyDescent="0.3">
      <c r="A154" s="464">
        <f>C152+A152</f>
        <v>3230</v>
      </c>
      <c r="B154" s="465"/>
      <c r="C154" s="81"/>
      <c r="D154" s="82"/>
      <c r="E154" s="83"/>
    </row>
    <row r="155" spans="1:5" ht="24" thickBot="1" x14ac:dyDescent="0.3">
      <c r="A155" s="466" t="s">
        <v>99</v>
      </c>
      <c r="B155" s="467"/>
      <c r="C155" s="78">
        <f>A156-C156</f>
        <v>-3</v>
      </c>
      <c r="D155" s="82"/>
      <c r="E155" s="83"/>
    </row>
    <row r="156" spans="1:5" ht="24" thickBot="1" x14ac:dyDescent="0.3">
      <c r="A156" s="468">
        <f>C154+A154</f>
        <v>3230</v>
      </c>
      <c r="B156" s="469"/>
      <c r="C156" s="121">
        <v>3233</v>
      </c>
      <c r="D156" s="82" t="s">
        <v>164</v>
      </c>
      <c r="E156" s="83">
        <f>SUM(E153:E155)</f>
        <v>194</v>
      </c>
    </row>
    <row r="157" spans="1:5" ht="24" thickBot="1" x14ac:dyDescent="0.3">
      <c r="A157"/>
      <c r="B157"/>
      <c r="C157" s="314" t="str">
        <f>IF(C155&gt;0,"زيادة","عجز")</f>
        <v>عجز</v>
      </c>
    </row>
    <row r="158" spans="1:5" x14ac:dyDescent="0.25">
      <c r="A158"/>
      <c r="B158"/>
    </row>
    <row r="159" spans="1:5" ht="15.75" thickBot="1" x14ac:dyDescent="0.3">
      <c r="A159"/>
      <c r="B159"/>
    </row>
    <row r="160" spans="1:5" ht="24" thickBot="1" x14ac:dyDescent="0.3">
      <c r="A160" s="76" t="s">
        <v>547</v>
      </c>
      <c r="B160" s="460">
        <v>45116</v>
      </c>
      <c r="C160" s="474"/>
    </row>
    <row r="161" spans="1:5" ht="21" thickBot="1" x14ac:dyDescent="0.3">
      <c r="A161" s="53" t="s">
        <v>137</v>
      </c>
      <c r="B161" s="53" t="s">
        <v>138</v>
      </c>
      <c r="C161" s="54" t="s">
        <v>3</v>
      </c>
    </row>
    <row r="162" spans="1:5" ht="18" x14ac:dyDescent="0.25">
      <c r="A162" s="55">
        <v>2550</v>
      </c>
      <c r="B162" s="56" t="s">
        <v>543</v>
      </c>
      <c r="C162" s="94">
        <v>5000</v>
      </c>
    </row>
    <row r="163" spans="1:5" ht="18" x14ac:dyDescent="0.25">
      <c r="A163" s="154">
        <f>500+345</f>
        <v>845</v>
      </c>
      <c r="B163" s="56" t="s">
        <v>368</v>
      </c>
      <c r="C163" s="94">
        <v>5000</v>
      </c>
      <c r="E163" s="21">
        <v>18110</v>
      </c>
    </row>
    <row r="164" spans="1:5" ht="18" x14ac:dyDescent="0.25">
      <c r="A164" s="154"/>
      <c r="B164" s="56" t="s">
        <v>74</v>
      </c>
      <c r="C164" s="94">
        <v>20</v>
      </c>
      <c r="E164" s="190">
        <v>1881</v>
      </c>
    </row>
    <row r="165" spans="1:5" ht="18" x14ac:dyDescent="0.25">
      <c r="A165" s="154"/>
      <c r="B165" s="56" t="s">
        <v>544</v>
      </c>
      <c r="C165" s="94">
        <v>200</v>
      </c>
    </row>
    <row r="166" spans="1:5" ht="18" x14ac:dyDescent="0.25">
      <c r="A166" s="154"/>
      <c r="B166" s="56" t="s">
        <v>27</v>
      </c>
      <c r="C166" s="94">
        <v>1185</v>
      </c>
    </row>
    <row r="167" spans="1:5" ht="18" x14ac:dyDescent="0.25">
      <c r="A167" s="154"/>
      <c r="B167" s="56" t="s">
        <v>545</v>
      </c>
      <c r="C167" s="94">
        <v>2830</v>
      </c>
    </row>
    <row r="168" spans="1:5" ht="24" customHeight="1" x14ac:dyDescent="0.25">
      <c r="A168" s="154"/>
      <c r="B168" s="56" t="s">
        <v>546</v>
      </c>
      <c r="C168" s="94">
        <v>80</v>
      </c>
    </row>
    <row r="169" spans="1:5" ht="18" x14ac:dyDescent="0.25">
      <c r="A169" s="154"/>
      <c r="B169" s="56" t="s">
        <v>27</v>
      </c>
      <c r="C169" s="94">
        <v>400</v>
      </c>
    </row>
    <row r="170" spans="1:5" ht="18" x14ac:dyDescent="0.25">
      <c r="A170" s="60"/>
      <c r="B170" s="56"/>
      <c r="C170" s="94"/>
    </row>
    <row r="171" spans="1:5" ht="18.75" thickBot="1" x14ac:dyDescent="0.3">
      <c r="A171" s="56"/>
      <c r="B171" s="56"/>
      <c r="C171" s="94"/>
    </row>
    <row r="172" spans="1:5" ht="24" thickBot="1" x14ac:dyDescent="0.3">
      <c r="A172" s="66"/>
      <c r="B172" s="153"/>
      <c r="C172" s="152"/>
      <c r="D172" s="134" t="s">
        <v>43</v>
      </c>
      <c r="E172" s="99">
        <f>E178-E173</f>
        <v>20</v>
      </c>
    </row>
    <row r="173" spans="1:5" ht="18" customHeight="1" thickBot="1" x14ac:dyDescent="0.3">
      <c r="A173" s="69">
        <f>SUM(A162:A172)</f>
        <v>3395</v>
      </c>
      <c r="C173" s="69">
        <f>SUM(C162:C172)</f>
        <v>14715</v>
      </c>
      <c r="D173" s="135" t="s">
        <v>94</v>
      </c>
      <c r="E173" s="85">
        <f>4448-2587</f>
        <v>1861</v>
      </c>
    </row>
    <row r="174" spans="1:5" ht="18" customHeight="1" thickBot="1" x14ac:dyDescent="0.3">
      <c r="A174" s="462" t="s">
        <v>139</v>
      </c>
      <c r="B174" s="463"/>
      <c r="C174" s="71" t="s">
        <v>75</v>
      </c>
      <c r="D174" s="136" t="s">
        <v>65</v>
      </c>
      <c r="E174" s="83">
        <f>1100+500+12</f>
        <v>1612</v>
      </c>
    </row>
    <row r="175" spans="1:5" ht="18" customHeight="1" thickBot="1" x14ac:dyDescent="0.3">
      <c r="A175" s="464">
        <f>C173+A173</f>
        <v>18110</v>
      </c>
      <c r="B175" s="465"/>
      <c r="C175" s="81"/>
      <c r="D175" s="136" t="s">
        <v>10</v>
      </c>
      <c r="E175" s="83">
        <v>20</v>
      </c>
    </row>
    <row r="176" spans="1:5" ht="18" customHeight="1" thickBot="1" x14ac:dyDescent="0.3">
      <c r="A176" s="466" t="s">
        <v>99</v>
      </c>
      <c r="B176" s="467"/>
      <c r="C176" s="78">
        <f>A177-C177</f>
        <v>22</v>
      </c>
      <c r="D176" s="82" t="s">
        <v>399</v>
      </c>
      <c r="E176" s="83">
        <v>10</v>
      </c>
    </row>
    <row r="177" spans="1:5" ht="18" customHeight="1" thickBot="1" x14ac:dyDescent="0.3">
      <c r="A177" s="468">
        <f>C175+A175</f>
        <v>18110</v>
      </c>
      <c r="B177" s="469"/>
      <c r="C177" s="121">
        <v>18088</v>
      </c>
      <c r="D177" s="82" t="s">
        <v>52</v>
      </c>
      <c r="E177" s="83">
        <f>14+72+153</f>
        <v>239</v>
      </c>
    </row>
    <row r="178" spans="1:5" ht="18" customHeight="1" thickBot="1" x14ac:dyDescent="0.3">
      <c r="A178"/>
      <c r="B178"/>
      <c r="C178" s="314" t="str">
        <f>IF(C176&gt;0,"زيادة","عجز")</f>
        <v>زيادة</v>
      </c>
      <c r="D178" s="82" t="s">
        <v>164</v>
      </c>
      <c r="E178" s="83">
        <f>SUM(E174:E177)</f>
        <v>1881</v>
      </c>
    </row>
    <row r="179" spans="1:5" ht="18" customHeight="1" thickBot="1" x14ac:dyDescent="0.3">
      <c r="A179"/>
      <c r="B179"/>
    </row>
    <row r="180" spans="1:5" ht="24" thickBot="1" x14ac:dyDescent="0.3">
      <c r="A180" s="76" t="s">
        <v>6</v>
      </c>
      <c r="B180" s="460">
        <v>45116</v>
      </c>
      <c r="C180" s="474"/>
      <c r="E180" s="22">
        <v>17725</v>
      </c>
    </row>
    <row r="181" spans="1:5" ht="21" thickBot="1" x14ac:dyDescent="0.3">
      <c r="A181" s="53" t="s">
        <v>137</v>
      </c>
      <c r="B181" s="53" t="s">
        <v>138</v>
      </c>
      <c r="C181" s="54" t="s">
        <v>3</v>
      </c>
      <c r="E181" s="190">
        <v>126</v>
      </c>
    </row>
    <row r="182" spans="1:5" ht="18.75" thickBot="1" x14ac:dyDescent="0.3">
      <c r="A182" s="55">
        <f>5000+10000+2650+75</f>
        <v>17725</v>
      </c>
      <c r="B182" s="56" t="s">
        <v>315</v>
      </c>
      <c r="C182" s="94">
        <v>51</v>
      </c>
    </row>
    <row r="183" spans="1:5" ht="24" thickBot="1" x14ac:dyDescent="0.3">
      <c r="A183" s="69">
        <f>SUM(A182:A182)</f>
        <v>17725</v>
      </c>
      <c r="C183" s="69">
        <f>SUM(C182:C182)</f>
        <v>51</v>
      </c>
      <c r="D183" s="134" t="s">
        <v>43</v>
      </c>
      <c r="E183" s="99">
        <f>E188-E184</f>
        <v>9</v>
      </c>
    </row>
    <row r="184" spans="1:5" ht="21.75" thickBot="1" x14ac:dyDescent="0.3">
      <c r="A184" s="462" t="s">
        <v>139</v>
      </c>
      <c r="B184" s="463"/>
      <c r="C184" s="71" t="s">
        <v>75</v>
      </c>
      <c r="D184" s="135" t="s">
        <v>94</v>
      </c>
      <c r="E184" s="85">
        <f>-2480+309--2529-241</f>
        <v>117</v>
      </c>
    </row>
    <row r="185" spans="1:5" ht="24" thickBot="1" x14ac:dyDescent="0.3">
      <c r="A185" s="464">
        <f>C183+A183</f>
        <v>17776</v>
      </c>
      <c r="B185" s="465"/>
      <c r="C185" s="81">
        <f>90+207+205</f>
        <v>502</v>
      </c>
      <c r="D185" s="136" t="s">
        <v>65</v>
      </c>
      <c r="E185" s="83">
        <v>126</v>
      </c>
    </row>
    <row r="186" spans="1:5" ht="21.75" customHeight="1" thickBot="1" x14ac:dyDescent="0.3">
      <c r="A186" s="466" t="s">
        <v>99</v>
      </c>
      <c r="B186" s="467"/>
      <c r="C186" s="78">
        <f>A187-C187</f>
        <v>147</v>
      </c>
      <c r="D186" s="82"/>
      <c r="E186" s="83"/>
    </row>
    <row r="187" spans="1:5" ht="24" thickBot="1" x14ac:dyDescent="0.3">
      <c r="A187" s="468">
        <f>C185+A185</f>
        <v>18278</v>
      </c>
      <c r="B187" s="469"/>
      <c r="C187" s="121">
        <v>18131</v>
      </c>
      <c r="D187" s="82"/>
      <c r="E187" s="83"/>
    </row>
    <row r="188" spans="1:5" ht="24" thickBot="1" x14ac:dyDescent="0.3">
      <c r="A188"/>
      <c r="B188"/>
      <c r="C188" s="314" t="str">
        <f>IF(C186&gt;0,"زيادة","عجز")</f>
        <v>زيادة</v>
      </c>
      <c r="D188" s="82" t="s">
        <v>164</v>
      </c>
      <c r="E188" s="83">
        <f>SUM(E185:E187)</f>
        <v>126</v>
      </c>
    </row>
    <row r="189" spans="1:5" ht="15.75" thickBot="1" x14ac:dyDescent="0.3">
      <c r="A189"/>
      <c r="B189"/>
    </row>
    <row r="190" spans="1:5" ht="24" thickBot="1" x14ac:dyDescent="0.3">
      <c r="A190" s="76" t="s">
        <v>88</v>
      </c>
      <c r="B190" s="460">
        <v>45115</v>
      </c>
      <c r="C190" s="474"/>
    </row>
    <row r="191" spans="1:5" ht="21" thickBot="1" x14ac:dyDescent="0.3">
      <c r="A191" s="53" t="s">
        <v>137</v>
      </c>
      <c r="B191" s="53" t="s">
        <v>138</v>
      </c>
      <c r="C191" s="54" t="s">
        <v>3</v>
      </c>
    </row>
    <row r="192" spans="1:5" ht="18" x14ac:dyDescent="0.25">
      <c r="A192" s="55">
        <f>10000+4200+47</f>
        <v>14247</v>
      </c>
      <c r="B192" s="56" t="s">
        <v>510</v>
      </c>
      <c r="C192" s="94">
        <v>90</v>
      </c>
    </row>
    <row r="193" spans="1:5" ht="18" x14ac:dyDescent="0.25">
      <c r="A193" s="154"/>
      <c r="B193" s="56" t="s">
        <v>210</v>
      </c>
      <c r="C193" s="155">
        <v>180</v>
      </c>
    </row>
    <row r="194" spans="1:5" ht="18" x14ac:dyDescent="0.25">
      <c r="A194" s="154"/>
      <c r="B194" s="56" t="s">
        <v>255</v>
      </c>
      <c r="C194" s="155">
        <v>45</v>
      </c>
    </row>
    <row r="195" spans="1:5" ht="18" x14ac:dyDescent="0.25">
      <c r="A195" s="154"/>
      <c r="B195" s="56" t="s">
        <v>32</v>
      </c>
      <c r="C195" s="155">
        <v>120</v>
      </c>
    </row>
    <row r="196" spans="1:5" ht="18" x14ac:dyDescent="0.25">
      <c r="A196" s="154"/>
      <c r="B196" s="56" t="s">
        <v>552</v>
      </c>
      <c r="C196" s="155">
        <v>140</v>
      </c>
    </row>
    <row r="197" spans="1:5" ht="18" x14ac:dyDescent="0.25">
      <c r="A197" s="154"/>
      <c r="B197" s="56" t="s">
        <v>86</v>
      </c>
      <c r="C197" s="155">
        <v>45</v>
      </c>
    </row>
    <row r="198" spans="1:5" ht="18" x14ac:dyDescent="0.25">
      <c r="A198" s="154"/>
      <c r="B198" s="56" t="s">
        <v>9</v>
      </c>
      <c r="C198" s="155">
        <v>100</v>
      </c>
    </row>
    <row r="199" spans="1:5" ht="18" x14ac:dyDescent="0.25">
      <c r="A199" s="154"/>
      <c r="B199" s="56" t="s">
        <v>11</v>
      </c>
      <c r="C199" s="94">
        <v>210</v>
      </c>
    </row>
    <row r="200" spans="1:5" ht="18" x14ac:dyDescent="0.25">
      <c r="A200" s="154"/>
      <c r="B200" s="56" t="s">
        <v>8</v>
      </c>
      <c r="C200" s="94">
        <v>305</v>
      </c>
    </row>
    <row r="201" spans="1:5" ht="18" x14ac:dyDescent="0.25">
      <c r="A201" s="154"/>
      <c r="B201" s="56" t="s">
        <v>265</v>
      </c>
      <c r="C201" s="94">
        <v>210</v>
      </c>
    </row>
    <row r="202" spans="1:5" ht="18" x14ac:dyDescent="0.25">
      <c r="A202" s="56"/>
      <c r="B202" s="56" t="s">
        <v>104</v>
      </c>
      <c r="C202" s="94">
        <v>15</v>
      </c>
    </row>
    <row r="203" spans="1:5" ht="18" x14ac:dyDescent="0.25">
      <c r="A203" s="56"/>
      <c r="B203" s="56" t="s">
        <v>313</v>
      </c>
      <c r="C203" s="94">
        <v>475</v>
      </c>
    </row>
    <row r="204" spans="1:5" ht="18" x14ac:dyDescent="0.25">
      <c r="A204" s="56"/>
      <c r="B204" s="56" t="s">
        <v>553</v>
      </c>
      <c r="C204" s="94">
        <v>100</v>
      </c>
    </row>
    <row r="205" spans="1:5" ht="23.25" customHeight="1" x14ac:dyDescent="0.25">
      <c r="A205" s="56"/>
      <c r="B205" s="56" t="s">
        <v>554</v>
      </c>
      <c r="C205" s="94">
        <v>608</v>
      </c>
      <c r="E205" s="22">
        <v>18720</v>
      </c>
    </row>
    <row r="206" spans="1:5" ht="21.75" customHeight="1" x14ac:dyDescent="0.25">
      <c r="A206" s="56"/>
      <c r="B206" s="56" t="s">
        <v>555</v>
      </c>
      <c r="C206" s="94">
        <v>10</v>
      </c>
      <c r="E206" s="191">
        <v>202</v>
      </c>
    </row>
    <row r="207" spans="1:5" ht="18" customHeight="1" x14ac:dyDescent="0.25">
      <c r="A207" s="56"/>
      <c r="B207" s="56" t="s">
        <v>58</v>
      </c>
      <c r="C207" s="152">
        <v>1385</v>
      </c>
    </row>
    <row r="208" spans="1:5" ht="18" x14ac:dyDescent="0.25">
      <c r="A208" s="56"/>
      <c r="B208" s="56" t="s">
        <v>212</v>
      </c>
      <c r="C208" s="156">
        <v>25</v>
      </c>
    </row>
    <row r="209" spans="1:5" ht="18" x14ac:dyDescent="0.25">
      <c r="A209" s="56"/>
      <c r="B209" s="56" t="s">
        <v>341</v>
      </c>
      <c r="C209" s="156">
        <v>140</v>
      </c>
    </row>
    <row r="210" spans="1:5" ht="18" x14ac:dyDescent="0.25">
      <c r="A210" s="56"/>
      <c r="B210" s="56" t="s">
        <v>255</v>
      </c>
      <c r="C210" s="156">
        <v>150</v>
      </c>
    </row>
    <row r="211" spans="1:5" ht="18.75" thickBot="1" x14ac:dyDescent="0.3">
      <c r="A211" s="56"/>
      <c r="B211" s="56" t="s">
        <v>39</v>
      </c>
      <c r="C211" s="156">
        <v>120</v>
      </c>
    </row>
    <row r="212" spans="1:5" ht="24" thickBot="1" x14ac:dyDescent="0.3">
      <c r="A212" s="157">
        <f>SUM(A192:A211)</f>
        <v>14247</v>
      </c>
      <c r="C212" s="69">
        <f>SUM(C192:C211)</f>
        <v>4473</v>
      </c>
      <c r="D212" s="134" t="s">
        <v>43</v>
      </c>
      <c r="E212" s="99">
        <f>E216-E213</f>
        <v>19</v>
      </c>
    </row>
    <row r="213" spans="1:5" ht="21.75" thickBot="1" x14ac:dyDescent="0.3">
      <c r="A213" s="462" t="s">
        <v>139</v>
      </c>
      <c r="B213" s="463"/>
      <c r="C213" s="71" t="s">
        <v>75</v>
      </c>
      <c r="D213" s="135" t="s">
        <v>94</v>
      </c>
      <c r="E213" s="85">
        <f>-2332+344--2480-309</f>
        <v>183</v>
      </c>
    </row>
    <row r="214" spans="1:5" ht="24" thickBot="1" x14ac:dyDescent="0.3">
      <c r="A214" s="490">
        <f>C212+A212</f>
        <v>18720</v>
      </c>
      <c r="B214" s="486"/>
      <c r="C214" s="81">
        <f>13+17+467</f>
        <v>497</v>
      </c>
      <c r="D214" s="136" t="s">
        <v>65</v>
      </c>
      <c r="E214" s="83">
        <f>2+200</f>
        <v>202</v>
      </c>
    </row>
    <row r="215" spans="1:5" ht="24" thickBot="1" x14ac:dyDescent="0.3">
      <c r="A215" s="466" t="s">
        <v>99</v>
      </c>
      <c r="B215" s="467"/>
      <c r="C215" s="78">
        <f>A216-C216</f>
        <v>95</v>
      </c>
      <c r="D215" s="82"/>
      <c r="E215" s="83"/>
    </row>
    <row r="216" spans="1:5" ht="24" thickBot="1" x14ac:dyDescent="0.3">
      <c r="A216" s="468">
        <f>C214+A214</f>
        <v>19217</v>
      </c>
      <c r="B216" s="469"/>
      <c r="C216" s="121">
        <v>19122</v>
      </c>
      <c r="D216" s="82" t="s">
        <v>164</v>
      </c>
      <c r="E216" s="83">
        <f>SUM(E214:E215)</f>
        <v>202</v>
      </c>
    </row>
    <row r="217" spans="1:5" ht="24" thickBot="1" x14ac:dyDescent="0.3">
      <c r="A217"/>
      <c r="B217"/>
      <c r="C217" s="314" t="str">
        <f>IF(C215&gt;0,"زيادة","عجز")</f>
        <v>زيادة</v>
      </c>
    </row>
    <row r="218" spans="1:5" ht="24" thickBot="1" x14ac:dyDescent="0.3">
      <c r="A218" s="76" t="s">
        <v>60</v>
      </c>
      <c r="B218" s="460">
        <v>45116</v>
      </c>
      <c r="C218" s="474"/>
    </row>
    <row r="219" spans="1:5" ht="21" thickBot="1" x14ac:dyDescent="0.3">
      <c r="A219" s="53" t="s">
        <v>137</v>
      </c>
      <c r="B219" s="53" t="s">
        <v>138</v>
      </c>
      <c r="C219" s="54" t="s">
        <v>3</v>
      </c>
    </row>
    <row r="220" spans="1:5" ht="18" x14ac:dyDescent="0.25">
      <c r="A220" s="55">
        <f>5000+1400-350</f>
        <v>6050</v>
      </c>
      <c r="B220" s="56" t="s">
        <v>558</v>
      </c>
      <c r="C220" s="94">
        <f>410+155</f>
        <v>565</v>
      </c>
    </row>
    <row r="221" spans="1:5" ht="18" x14ac:dyDescent="0.25">
      <c r="A221" s="154">
        <v>3</v>
      </c>
      <c r="B221" s="56" t="s">
        <v>52</v>
      </c>
      <c r="C221" s="155">
        <v>185</v>
      </c>
      <c r="E221" s="22">
        <v>6803</v>
      </c>
    </row>
    <row r="222" spans="1:5" ht="18" x14ac:dyDescent="0.25">
      <c r="A222" s="56"/>
      <c r="B222" s="56"/>
      <c r="C222" s="94"/>
    </row>
    <row r="223" spans="1:5" ht="18" x14ac:dyDescent="0.25">
      <c r="A223" s="56"/>
      <c r="B223" s="56"/>
      <c r="C223" s="156"/>
    </row>
    <row r="224" spans="1:5" ht="18" x14ac:dyDescent="0.25">
      <c r="A224" s="56"/>
      <c r="B224" s="56"/>
      <c r="C224" s="156"/>
    </row>
    <row r="225" spans="1:5" ht="18.75" thickBot="1" x14ac:dyDescent="0.3">
      <c r="A225" s="56"/>
      <c r="B225" s="56"/>
      <c r="C225" s="156"/>
    </row>
    <row r="226" spans="1:5" ht="24" thickBot="1" x14ac:dyDescent="0.3">
      <c r="A226" s="157">
        <f>SUM(A220:A225)</f>
        <v>6053</v>
      </c>
      <c r="C226" s="69">
        <f>SUM(C220:C225)</f>
        <v>750</v>
      </c>
      <c r="D226" s="134" t="s">
        <v>43</v>
      </c>
      <c r="E226" s="99">
        <f>E230-E227</f>
        <v>0</v>
      </c>
    </row>
    <row r="227" spans="1:5" ht="21.75" thickBot="1" x14ac:dyDescent="0.3">
      <c r="A227" s="462" t="s">
        <v>139</v>
      </c>
      <c r="B227" s="463"/>
      <c r="C227" s="71" t="s">
        <v>75</v>
      </c>
      <c r="D227" s="135" t="s">
        <v>94</v>
      </c>
      <c r="E227" s="85"/>
    </row>
    <row r="228" spans="1:5" ht="24" thickBot="1" x14ac:dyDescent="0.3">
      <c r="A228" s="490">
        <f>C226+A226</f>
        <v>6803</v>
      </c>
      <c r="B228" s="486"/>
      <c r="C228" s="81"/>
      <c r="D228" s="136" t="s">
        <v>65</v>
      </c>
      <c r="E228" s="83"/>
    </row>
    <row r="229" spans="1:5" ht="21.75" customHeight="1" thickBot="1" x14ac:dyDescent="0.3">
      <c r="A229" s="466" t="s">
        <v>99</v>
      </c>
      <c r="B229" s="467"/>
      <c r="C229" s="78">
        <f>A230-C230</f>
        <v>-63</v>
      </c>
      <c r="D229" s="82"/>
      <c r="E229" s="83"/>
    </row>
    <row r="230" spans="1:5" ht="21" customHeight="1" thickBot="1" x14ac:dyDescent="0.3">
      <c r="A230" s="468">
        <f>C228+A228</f>
        <v>6803</v>
      </c>
      <c r="B230" s="469"/>
      <c r="C230" s="121">
        <v>6866</v>
      </c>
      <c r="D230" s="82" t="s">
        <v>164</v>
      </c>
      <c r="E230" s="83">
        <f>SUM(E228:E229)</f>
        <v>0</v>
      </c>
    </row>
    <row r="231" spans="1:5" ht="21" customHeight="1" thickBot="1" x14ac:dyDescent="0.3">
      <c r="A231"/>
      <c r="B231"/>
      <c r="C231" s="314" t="str">
        <f>IF(C229&gt;0,"زيادة","عجز")</f>
        <v>عجز</v>
      </c>
    </row>
    <row r="232" spans="1:5" ht="21" customHeight="1" thickBot="1" x14ac:dyDescent="0.3">
      <c r="A232" s="76" t="s">
        <v>85</v>
      </c>
      <c r="B232" s="460">
        <v>45116</v>
      </c>
      <c r="C232" s="491"/>
      <c r="D232" s="159" t="s">
        <v>560</v>
      </c>
    </row>
    <row r="233" spans="1:5" ht="21" customHeight="1" thickBot="1" x14ac:dyDescent="0.3">
      <c r="A233" s="53" t="s">
        <v>137</v>
      </c>
      <c r="B233" s="53" t="s">
        <v>138</v>
      </c>
      <c r="C233" s="54" t="s">
        <v>3</v>
      </c>
    </row>
    <row r="234" spans="1:5" ht="21" customHeight="1" x14ac:dyDescent="0.25">
      <c r="A234" s="55">
        <f>5000+4100+500+265</f>
        <v>9865</v>
      </c>
      <c r="B234" s="56" t="s">
        <v>67</v>
      </c>
      <c r="C234" s="94">
        <v>40</v>
      </c>
    </row>
    <row r="235" spans="1:5" ht="21" customHeight="1" x14ac:dyDescent="0.25">
      <c r="A235" s="154"/>
      <c r="B235" s="56" t="s">
        <v>339</v>
      </c>
      <c r="C235" s="155">
        <v>45</v>
      </c>
    </row>
    <row r="236" spans="1:5" ht="21" customHeight="1" x14ac:dyDescent="0.25">
      <c r="A236" s="158"/>
      <c r="B236" s="56" t="s">
        <v>494</v>
      </c>
      <c r="C236" s="155">
        <v>100</v>
      </c>
    </row>
    <row r="237" spans="1:5" ht="18" x14ac:dyDescent="0.25">
      <c r="A237" s="158"/>
      <c r="B237" s="56" t="s">
        <v>32</v>
      </c>
      <c r="C237" s="155">
        <v>130</v>
      </c>
    </row>
    <row r="238" spans="1:5" ht="19.5" customHeight="1" x14ac:dyDescent="0.25">
      <c r="A238" s="158"/>
      <c r="B238" s="56" t="s">
        <v>552</v>
      </c>
      <c r="C238" s="155">
        <v>100</v>
      </c>
      <c r="E238" s="191">
        <v>11930</v>
      </c>
    </row>
    <row r="239" spans="1:5" ht="19.5" customHeight="1" x14ac:dyDescent="0.25">
      <c r="A239" s="158"/>
      <c r="B239" s="56" t="s">
        <v>559</v>
      </c>
      <c r="C239" s="155">
        <v>80</v>
      </c>
      <c r="E239" s="22">
        <v>230</v>
      </c>
    </row>
    <row r="240" spans="1:5" ht="18" x14ac:dyDescent="0.25">
      <c r="A240" s="158"/>
      <c r="B240" s="56" t="s">
        <v>353</v>
      </c>
      <c r="C240" s="155">
        <v>200</v>
      </c>
    </row>
    <row r="241" spans="1:5" ht="18" x14ac:dyDescent="0.25">
      <c r="A241" s="158"/>
      <c r="B241" s="56" t="s">
        <v>498</v>
      </c>
      <c r="C241" s="155">
        <v>145</v>
      </c>
    </row>
    <row r="242" spans="1:5" ht="18" x14ac:dyDescent="0.25">
      <c r="A242" s="56"/>
      <c r="B242" s="56" t="s">
        <v>27</v>
      </c>
      <c r="C242" s="94">
        <v>1225</v>
      </c>
    </row>
    <row r="243" spans="1:5" ht="18" x14ac:dyDescent="0.25">
      <c r="A243" s="56"/>
      <c r="B243" s="56"/>
      <c r="C243" s="156"/>
    </row>
    <row r="244" spans="1:5" ht="18" x14ac:dyDescent="0.25">
      <c r="A244" s="56"/>
      <c r="B244" s="56"/>
      <c r="C244" s="156"/>
    </row>
    <row r="245" spans="1:5" ht="18.75" thickBot="1" x14ac:dyDescent="0.3">
      <c r="A245" s="56"/>
      <c r="B245" s="56"/>
      <c r="C245" s="156"/>
    </row>
    <row r="246" spans="1:5" ht="24" thickBot="1" x14ac:dyDescent="0.3">
      <c r="A246" s="157">
        <f>SUM(A234:A245)</f>
        <v>9865</v>
      </c>
      <c r="C246" s="69">
        <f>SUM(C234:C245)</f>
        <v>2065</v>
      </c>
      <c r="D246" s="134" t="s">
        <v>43</v>
      </c>
      <c r="E246" s="99">
        <f>E250-E247</f>
        <v>230</v>
      </c>
    </row>
    <row r="247" spans="1:5" ht="21.75" thickBot="1" x14ac:dyDescent="0.3">
      <c r="A247" s="462" t="s">
        <v>139</v>
      </c>
      <c r="B247" s="463"/>
      <c r="C247" s="71" t="s">
        <v>75</v>
      </c>
      <c r="D247" s="135" t="s">
        <v>94</v>
      </c>
      <c r="E247" s="85"/>
    </row>
    <row r="248" spans="1:5" ht="24" thickBot="1" x14ac:dyDescent="0.3">
      <c r="A248" s="490">
        <f>C246+A246</f>
        <v>11930</v>
      </c>
      <c r="B248" s="486"/>
      <c r="C248" s="81">
        <f>204+25+26+30+150</f>
        <v>435</v>
      </c>
      <c r="D248" s="136" t="s">
        <v>65</v>
      </c>
      <c r="E248" s="83">
        <f>5+225</f>
        <v>230</v>
      </c>
    </row>
    <row r="249" spans="1:5" ht="24" thickBot="1" x14ac:dyDescent="0.3">
      <c r="A249" s="466" t="s">
        <v>99</v>
      </c>
      <c r="B249" s="467"/>
      <c r="C249" s="78">
        <f>A250-C250</f>
        <v>-25</v>
      </c>
      <c r="D249" s="82"/>
      <c r="E249" s="83"/>
    </row>
    <row r="250" spans="1:5" ht="24" thickBot="1" x14ac:dyDescent="0.3">
      <c r="A250" s="468">
        <f>C248+A248</f>
        <v>12365</v>
      </c>
      <c r="B250" s="469"/>
      <c r="C250" s="121">
        <v>12390</v>
      </c>
      <c r="D250" s="82" t="s">
        <v>164</v>
      </c>
      <c r="E250" s="83">
        <f>SUM(E248:E249)</f>
        <v>230</v>
      </c>
    </row>
    <row r="251" spans="1:5" ht="24" thickBot="1" x14ac:dyDescent="0.3">
      <c r="A251"/>
      <c r="B251"/>
      <c r="C251" s="314" t="str">
        <f>IF(C249&gt;0,"زيادة","عجز")</f>
        <v>عجز</v>
      </c>
    </row>
    <row r="252" spans="1:5" x14ac:dyDescent="0.25">
      <c r="A252"/>
      <c r="B252"/>
    </row>
    <row r="253" spans="1:5" x14ac:dyDescent="0.25">
      <c r="A253"/>
      <c r="B253"/>
    </row>
    <row r="254" spans="1:5" x14ac:dyDescent="0.25">
      <c r="A254"/>
      <c r="B254"/>
    </row>
    <row r="255" spans="1:5" x14ac:dyDescent="0.25">
      <c r="A255"/>
      <c r="B255"/>
    </row>
    <row r="256" spans="1:5" x14ac:dyDescent="0.25">
      <c r="A256"/>
      <c r="B256"/>
    </row>
    <row r="257" spans="1:2" x14ac:dyDescent="0.25">
      <c r="A257"/>
      <c r="B257"/>
    </row>
    <row r="258" spans="1:2" x14ac:dyDescent="0.25">
      <c r="A258"/>
      <c r="B258" t="s">
        <v>569</v>
      </c>
    </row>
    <row r="259" spans="1:2" x14ac:dyDescent="0.25">
      <c r="A259"/>
      <c r="B259" t="s">
        <v>350</v>
      </c>
    </row>
    <row r="260" spans="1:2" x14ac:dyDescent="0.25">
      <c r="A260"/>
      <c r="B260" t="s">
        <v>357</v>
      </c>
    </row>
    <row r="261" spans="1:2" x14ac:dyDescent="0.25">
      <c r="A261"/>
      <c r="B261" t="s">
        <v>50</v>
      </c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6" x14ac:dyDescent="0.25">
      <c r="A353"/>
      <c r="B353"/>
    </row>
    <row r="354" spans="1:6" x14ac:dyDescent="0.25">
      <c r="A354"/>
      <c r="B354"/>
    </row>
    <row r="355" spans="1:6" x14ac:dyDescent="0.25">
      <c r="A355"/>
      <c r="B355"/>
    </row>
    <row r="356" spans="1:6" x14ac:dyDescent="0.25">
      <c r="A356"/>
      <c r="B356"/>
    </row>
    <row r="357" spans="1:6" x14ac:dyDescent="0.25">
      <c r="A357"/>
      <c r="B357"/>
      <c r="F357">
        <f>2778+2841-2043-2544</f>
        <v>1032</v>
      </c>
    </row>
    <row r="358" spans="1:6" x14ac:dyDescent="0.25">
      <c r="A358"/>
      <c r="B358"/>
      <c r="F358">
        <v>920</v>
      </c>
    </row>
    <row r="359" spans="1:6" x14ac:dyDescent="0.25">
      <c r="A359"/>
      <c r="B359"/>
    </row>
    <row r="360" spans="1:6" x14ac:dyDescent="0.25">
      <c r="A360"/>
      <c r="B360"/>
    </row>
    <row r="361" spans="1:6" x14ac:dyDescent="0.25">
      <c r="A361"/>
      <c r="B361"/>
    </row>
    <row r="362" spans="1:6" x14ac:dyDescent="0.25">
      <c r="A362"/>
      <c r="B362"/>
    </row>
    <row r="363" spans="1:6" x14ac:dyDescent="0.25">
      <c r="A363"/>
      <c r="B363"/>
    </row>
    <row r="364" spans="1:6" x14ac:dyDescent="0.25">
      <c r="A364"/>
      <c r="B364"/>
    </row>
    <row r="365" spans="1:6" x14ac:dyDescent="0.25">
      <c r="A365"/>
      <c r="B365"/>
    </row>
    <row r="366" spans="1:6" x14ac:dyDescent="0.25">
      <c r="A366"/>
      <c r="B366"/>
    </row>
    <row r="367" spans="1:6" x14ac:dyDescent="0.25">
      <c r="A367"/>
      <c r="B367"/>
    </row>
    <row r="368" spans="1:6" x14ac:dyDescent="0.25">
      <c r="A368"/>
      <c r="B368"/>
    </row>
    <row r="369" spans="1:7" x14ac:dyDescent="0.25">
      <c r="A369"/>
      <c r="B369"/>
    </row>
    <row r="370" spans="1:7" x14ac:dyDescent="0.25">
      <c r="A370"/>
      <c r="B370"/>
    </row>
    <row r="371" spans="1:7" x14ac:dyDescent="0.25">
      <c r="A371"/>
      <c r="B371"/>
    </row>
    <row r="372" spans="1:7" x14ac:dyDescent="0.25">
      <c r="A372"/>
      <c r="B372"/>
    </row>
    <row r="373" spans="1:7" x14ac:dyDescent="0.25">
      <c r="A373"/>
      <c r="B373"/>
    </row>
    <row r="374" spans="1:7" x14ac:dyDescent="0.25">
      <c r="A374"/>
      <c r="B374"/>
    </row>
    <row r="375" spans="1:7" x14ac:dyDescent="0.25">
      <c r="A375"/>
      <c r="B375"/>
    </row>
    <row r="376" spans="1:7" x14ac:dyDescent="0.25">
      <c r="A376"/>
      <c r="B376"/>
    </row>
    <row r="377" spans="1:7" x14ac:dyDescent="0.25">
      <c r="A377"/>
      <c r="B377"/>
      <c r="G377" t="e">
        <f>#REF!-#REF!</f>
        <v>#REF!</v>
      </c>
    </row>
    <row r="378" spans="1:7" x14ac:dyDescent="0.25">
      <c r="A378"/>
      <c r="B378"/>
    </row>
    <row r="379" spans="1:7" x14ac:dyDescent="0.25">
      <c r="A379"/>
      <c r="B379"/>
    </row>
    <row r="380" spans="1:7" x14ac:dyDescent="0.25">
      <c r="A380"/>
      <c r="B380"/>
    </row>
    <row r="381" spans="1:7" x14ac:dyDescent="0.25">
      <c r="A381"/>
      <c r="B381"/>
    </row>
    <row r="382" spans="1:7" x14ac:dyDescent="0.25">
      <c r="A382"/>
      <c r="B382"/>
    </row>
    <row r="383" spans="1:7" x14ac:dyDescent="0.25">
      <c r="A383"/>
      <c r="B383"/>
    </row>
    <row r="384" spans="1:7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</sheetData>
  <mergeCells count="40">
    <mergeCell ref="B232:C232"/>
    <mergeCell ref="A247:B247"/>
    <mergeCell ref="A248:B248"/>
    <mergeCell ref="A249:B249"/>
    <mergeCell ref="A250:B250"/>
    <mergeCell ref="B218:C218"/>
    <mergeCell ref="A227:B227"/>
    <mergeCell ref="A228:B228"/>
    <mergeCell ref="A229:B229"/>
    <mergeCell ref="A230:B230"/>
    <mergeCell ref="B190:C190"/>
    <mergeCell ref="A213:B213"/>
    <mergeCell ref="A214:B214"/>
    <mergeCell ref="A215:B215"/>
    <mergeCell ref="A216:B216"/>
    <mergeCell ref="B180:C180"/>
    <mergeCell ref="A184:B184"/>
    <mergeCell ref="A185:B185"/>
    <mergeCell ref="A186:B186"/>
    <mergeCell ref="A187:B187"/>
    <mergeCell ref="B160:C160"/>
    <mergeCell ref="A174:B174"/>
    <mergeCell ref="A175:B175"/>
    <mergeCell ref="A176:B176"/>
    <mergeCell ref="A177:B177"/>
    <mergeCell ref="B146:C146"/>
    <mergeCell ref="A153:B153"/>
    <mergeCell ref="A154:B154"/>
    <mergeCell ref="A155:B155"/>
    <mergeCell ref="A156:B156"/>
    <mergeCell ref="B123:C123"/>
    <mergeCell ref="A140:B140"/>
    <mergeCell ref="A141:B141"/>
    <mergeCell ref="A142:B142"/>
    <mergeCell ref="A143:B143"/>
    <mergeCell ref="B105:C105"/>
    <mergeCell ref="A117:B117"/>
    <mergeCell ref="A118:B118"/>
    <mergeCell ref="A119:B119"/>
    <mergeCell ref="A120:B120"/>
  </mergeCells>
  <conditionalFormatting sqref="C121">
    <cfRule type="expression" dxfId="97" priority="15">
      <formula>C121="عجز"</formula>
    </cfRule>
    <cfRule type="expression" dxfId="96" priority="16">
      <formula>C121="زيادة"</formula>
    </cfRule>
  </conditionalFormatting>
  <conditionalFormatting sqref="C144">
    <cfRule type="expression" dxfId="95" priority="13">
      <formula>C144="عجز"</formula>
    </cfRule>
    <cfRule type="expression" dxfId="94" priority="14">
      <formula>C144="زيادة"</formula>
    </cfRule>
  </conditionalFormatting>
  <conditionalFormatting sqref="C157">
    <cfRule type="expression" dxfId="93" priority="11">
      <formula>C157="عجز"</formula>
    </cfRule>
    <cfRule type="expression" dxfId="92" priority="12">
      <formula>C157="زيادة"</formula>
    </cfRule>
  </conditionalFormatting>
  <conditionalFormatting sqref="C178">
    <cfRule type="expression" dxfId="91" priority="9">
      <formula>C178="عجز"</formula>
    </cfRule>
    <cfRule type="expression" dxfId="90" priority="10">
      <formula>C178="زيادة"</formula>
    </cfRule>
  </conditionalFormatting>
  <conditionalFormatting sqref="C188">
    <cfRule type="expression" dxfId="89" priority="7">
      <formula>C188="عجز"</formula>
    </cfRule>
    <cfRule type="expression" dxfId="88" priority="8">
      <formula>C188="زيادة"</formula>
    </cfRule>
  </conditionalFormatting>
  <conditionalFormatting sqref="C217">
    <cfRule type="expression" dxfId="87" priority="5">
      <formula>C217="عجز"</formula>
    </cfRule>
    <cfRule type="expression" dxfId="86" priority="6">
      <formula>C217="زيادة"</formula>
    </cfRule>
  </conditionalFormatting>
  <conditionalFormatting sqref="C231">
    <cfRule type="expression" dxfId="85" priority="3">
      <formula>C231="عجز"</formula>
    </cfRule>
    <cfRule type="expression" dxfId="84" priority="4">
      <formula>C231="زيادة"</formula>
    </cfRule>
  </conditionalFormatting>
  <conditionalFormatting sqref="C251">
    <cfRule type="expression" dxfId="83" priority="1">
      <formula>C251="عجز"</formula>
    </cfRule>
    <cfRule type="expression" dxfId="82" priority="2">
      <formula>C251="زيادة"</formula>
    </cfRule>
  </conditionalFormatting>
  <hyperlinks>
    <hyperlink ref="D232" location="'9-7-2023'!A1" display="'9-7-2023'!A1" xr:uid="{C48CFB9F-B5A8-46AC-BE18-8E9872A198E7}"/>
  </hyperlinks>
  <pageMargins left="0.7" right="0.7" top="0.75" bottom="0.75" header="0.3" footer="0.3"/>
  <pageSetup paperSize="260" orientation="portrait" horizontalDpi="203" verticalDpi="20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07EA1C-B104-4481-8F88-F705C4CE0D87}">
          <x14:formula1>
            <xm:f>'12-7-2023'!$D$113:$D$124</xm:f>
          </x14:formula1>
          <xm:sqref>B258:B263</xm:sqref>
        </x14:dataValidation>
        <x14:dataValidation type="list" allowBlank="1" showInputMessage="1" showErrorMessage="1" xr:uid="{D2998DE0-ABED-4CA9-AFA4-90B9E8946E8D}">
          <x14:formula1>
            <xm:f>data!$A$57:$A$70</xm:f>
          </x14:formula1>
          <xm:sqref>C95:C101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59BD-DE3A-4EE5-BC70-C4D96863143E}">
  <sheetPr codeName="Sheet22"/>
  <dimension ref="A1:G444"/>
  <sheetViews>
    <sheetView rightToLeft="1" topLeftCell="A181" zoomScale="115" zoomScaleNormal="115" workbookViewId="0">
      <selection activeCell="B203" sqref="B203"/>
    </sheetView>
  </sheetViews>
  <sheetFormatPr defaultRowHeight="15" x14ac:dyDescent="0.25"/>
  <cols>
    <col min="1" max="1" width="32.85546875" style="9" bestFit="1" customWidth="1"/>
    <col min="2" max="2" width="23.42578125" style="10" customWidth="1"/>
    <col min="3" max="3" width="33.85546875" bestFit="1" customWidth="1"/>
    <col min="4" max="4" width="21" customWidth="1"/>
    <col min="5" max="5" width="24.140625" customWidth="1"/>
    <col min="6" max="6" width="6.7109375" bestFit="1" customWidth="1"/>
    <col min="7" max="7" width="45.85546875" customWidth="1"/>
    <col min="8" max="8" width="14.5703125" customWidth="1"/>
    <col min="9" max="9" width="10.7109375" customWidth="1"/>
  </cols>
  <sheetData>
    <row r="1" spans="1:5" ht="18.75" x14ac:dyDescent="0.3">
      <c r="A1" s="1" t="s">
        <v>0</v>
      </c>
      <c r="B1" s="2">
        <v>45117</v>
      </c>
      <c r="C1" s="3"/>
      <c r="D1" s="3"/>
    </row>
    <row r="2" spans="1:5" x14ac:dyDescent="0.25">
      <c r="A2" s="4" t="s">
        <v>1</v>
      </c>
      <c r="B2" s="5" t="s">
        <v>2</v>
      </c>
      <c r="C2" s="5" t="s">
        <v>3</v>
      </c>
      <c r="D2" s="6" t="s">
        <v>4</v>
      </c>
      <c r="E2" s="5" t="s">
        <v>5</v>
      </c>
    </row>
    <row r="3" spans="1:5" x14ac:dyDescent="0.25">
      <c r="A3" s="19" t="s">
        <v>48</v>
      </c>
      <c r="B3" s="31">
        <f>15000+6000+3000+2000+5000+2500</f>
        <v>33500</v>
      </c>
      <c r="C3" s="20" t="s">
        <v>565</v>
      </c>
      <c r="D3" s="21">
        <v>6115</v>
      </c>
      <c r="E3" s="122"/>
    </row>
    <row r="4" spans="1:5" x14ac:dyDescent="0.25">
      <c r="A4" s="192" t="s">
        <v>9</v>
      </c>
      <c r="B4" s="22">
        <v>14145</v>
      </c>
      <c r="C4" s="20" t="s">
        <v>570</v>
      </c>
      <c r="D4" s="21">
        <v>8374</v>
      </c>
      <c r="E4" s="123"/>
    </row>
    <row r="5" spans="1:5" x14ac:dyDescent="0.25">
      <c r="A5" s="20" t="s">
        <v>28</v>
      </c>
      <c r="B5" s="22">
        <v>1542</v>
      </c>
      <c r="C5" s="90" t="s">
        <v>33</v>
      </c>
      <c r="D5" s="21">
        <v>35</v>
      </c>
      <c r="E5" s="123"/>
    </row>
    <row r="6" spans="1:5" x14ac:dyDescent="0.25">
      <c r="A6" s="20" t="s">
        <v>80</v>
      </c>
      <c r="B6" s="22">
        <v>16960</v>
      </c>
      <c r="C6" s="90" t="s">
        <v>73</v>
      </c>
      <c r="D6" s="21">
        <v>45</v>
      </c>
      <c r="E6" s="123"/>
    </row>
    <row r="7" spans="1:5" x14ac:dyDescent="0.25">
      <c r="A7" s="20" t="s">
        <v>81</v>
      </c>
      <c r="B7" s="22">
        <v>764</v>
      </c>
      <c r="C7" s="20" t="s">
        <v>10</v>
      </c>
      <c r="D7" s="21">
        <v>80</v>
      </c>
      <c r="E7" s="123"/>
    </row>
    <row r="8" spans="1:5" x14ac:dyDescent="0.25">
      <c r="A8" s="20" t="s">
        <v>566</v>
      </c>
      <c r="B8" s="96">
        <v>500</v>
      </c>
      <c r="C8" s="20" t="s">
        <v>568</v>
      </c>
      <c r="D8" s="91">
        <v>2575</v>
      </c>
      <c r="E8" s="123"/>
    </row>
    <row r="9" spans="1:5" x14ac:dyDescent="0.25">
      <c r="A9" s="20" t="s">
        <v>399</v>
      </c>
      <c r="B9" s="96">
        <v>25</v>
      </c>
      <c r="C9" s="90" t="s">
        <v>57</v>
      </c>
      <c r="D9" s="96">
        <v>1068</v>
      </c>
      <c r="E9" s="124"/>
    </row>
    <row r="10" spans="1:5" x14ac:dyDescent="0.25">
      <c r="A10" s="20" t="s">
        <v>541</v>
      </c>
      <c r="B10" s="21">
        <v>85</v>
      </c>
      <c r="C10" s="90" t="s">
        <v>567</v>
      </c>
      <c r="D10" s="96">
        <v>8567</v>
      </c>
      <c r="E10" s="124"/>
    </row>
    <row r="11" spans="1:5" x14ac:dyDescent="0.25">
      <c r="A11" s="20" t="s">
        <v>573</v>
      </c>
      <c r="B11" s="21">
        <v>200</v>
      </c>
      <c r="C11" s="20" t="s">
        <v>571</v>
      </c>
      <c r="D11" s="32">
        <v>833</v>
      </c>
      <c r="E11" s="124"/>
    </row>
    <row r="12" spans="1:5" ht="19.5" customHeight="1" x14ac:dyDescent="0.25">
      <c r="A12" s="20" t="s">
        <v>27</v>
      </c>
      <c r="B12" s="21">
        <f>605</f>
        <v>605</v>
      </c>
      <c r="C12" s="20" t="s">
        <v>44</v>
      </c>
      <c r="D12" s="32">
        <v>4087</v>
      </c>
      <c r="E12" s="125"/>
    </row>
    <row r="13" spans="1:5" ht="18" x14ac:dyDescent="0.25">
      <c r="A13" s="20" t="s">
        <v>6</v>
      </c>
      <c r="B13" s="47">
        <v>5210</v>
      </c>
      <c r="C13" s="20" t="s">
        <v>34</v>
      </c>
      <c r="D13" s="96">
        <v>290</v>
      </c>
      <c r="E13" s="56"/>
    </row>
    <row r="14" spans="1:5" ht="18" x14ac:dyDescent="0.25">
      <c r="A14" s="20" t="s">
        <v>88</v>
      </c>
      <c r="B14" s="47">
        <v>19562</v>
      </c>
      <c r="C14" s="20" t="s">
        <v>331</v>
      </c>
      <c r="D14" s="117">
        <v>770</v>
      </c>
      <c r="E14" s="56"/>
    </row>
    <row r="15" spans="1:5" ht="18" x14ac:dyDescent="0.25">
      <c r="A15" s="20" t="s">
        <v>216</v>
      </c>
      <c r="B15" s="96">
        <v>10</v>
      </c>
      <c r="C15" s="90" t="s">
        <v>7</v>
      </c>
      <c r="D15" s="117">
        <v>280</v>
      </c>
      <c r="E15" s="56"/>
    </row>
    <row r="16" spans="1:5" ht="18" x14ac:dyDescent="0.25">
      <c r="A16" s="20" t="s">
        <v>27</v>
      </c>
      <c r="B16" s="96">
        <v>505</v>
      </c>
      <c r="C16" s="90" t="s">
        <v>66</v>
      </c>
      <c r="D16" s="117">
        <v>265</v>
      </c>
      <c r="E16" s="56"/>
    </row>
    <row r="17" spans="1:7" x14ac:dyDescent="0.25">
      <c r="A17" s="20" t="s">
        <v>15</v>
      </c>
      <c r="B17" s="96">
        <v>19283</v>
      </c>
      <c r="C17" s="90" t="s">
        <v>399</v>
      </c>
      <c r="D17" s="117">
        <v>240</v>
      </c>
      <c r="E17" s="195"/>
    </row>
    <row r="18" spans="1:7" x14ac:dyDescent="0.25">
      <c r="A18" s="20" t="s">
        <v>90</v>
      </c>
      <c r="B18" s="96">
        <v>570</v>
      </c>
      <c r="C18" s="90" t="s">
        <v>12</v>
      </c>
      <c r="D18" s="117">
        <v>3225</v>
      </c>
      <c r="E18" s="124"/>
      <c r="G18" s="97"/>
    </row>
    <row r="19" spans="1:7" x14ac:dyDescent="0.25">
      <c r="A19" s="20" t="s">
        <v>595</v>
      </c>
      <c r="B19" s="96">
        <v>21</v>
      </c>
      <c r="C19" s="20" t="s">
        <v>572</v>
      </c>
      <c r="D19" s="117">
        <v>665</v>
      </c>
      <c r="E19" s="124"/>
      <c r="G19" s="97"/>
    </row>
    <row r="20" spans="1:7" x14ac:dyDescent="0.25">
      <c r="A20" s="20" t="s">
        <v>363</v>
      </c>
      <c r="B20" s="20">
        <v>22020</v>
      </c>
      <c r="C20" s="20" t="s">
        <v>13</v>
      </c>
      <c r="D20" s="91">
        <v>50</v>
      </c>
      <c r="E20" s="124"/>
      <c r="G20" s="97"/>
    </row>
    <row r="21" spans="1:7" x14ac:dyDescent="0.25">
      <c r="A21" s="20" t="s">
        <v>601</v>
      </c>
      <c r="B21" s="117">
        <v>923</v>
      </c>
      <c r="C21" s="20" t="s">
        <v>38</v>
      </c>
      <c r="D21" s="96">
        <v>120</v>
      </c>
      <c r="E21" s="128"/>
      <c r="G21" s="97"/>
    </row>
    <row r="22" spans="1:7" ht="15.75" x14ac:dyDescent="0.25">
      <c r="A22" s="20" t="s">
        <v>85</v>
      </c>
      <c r="B22" s="117">
        <v>11189</v>
      </c>
      <c r="C22" s="20" t="s">
        <v>301</v>
      </c>
      <c r="D22" s="96">
        <v>100</v>
      </c>
      <c r="E22" s="124"/>
      <c r="F22" s="15"/>
      <c r="G22" s="97"/>
    </row>
    <row r="23" spans="1:7" ht="15.75" x14ac:dyDescent="0.25">
      <c r="A23" s="20" t="s">
        <v>60</v>
      </c>
      <c r="B23" s="117">
        <v>6620</v>
      </c>
      <c r="C23" s="20" t="s">
        <v>51</v>
      </c>
      <c r="D23" s="96">
        <v>1130</v>
      </c>
      <c r="E23" s="124"/>
      <c r="F23" s="15"/>
      <c r="G23" s="97"/>
    </row>
    <row r="24" spans="1:7" ht="15.75" x14ac:dyDescent="0.25">
      <c r="A24" s="20"/>
      <c r="B24" s="117"/>
      <c r="C24" s="20" t="s">
        <v>574</v>
      </c>
      <c r="D24" s="96">
        <v>4950</v>
      </c>
      <c r="E24" s="124"/>
      <c r="F24" s="15"/>
    </row>
    <row r="25" spans="1:7" ht="15.75" x14ac:dyDescent="0.25">
      <c r="A25" s="20"/>
      <c r="B25" s="117"/>
      <c r="C25" s="20" t="s">
        <v>86</v>
      </c>
      <c r="D25" s="32">
        <v>182</v>
      </c>
      <c r="E25" s="124"/>
      <c r="F25" s="15"/>
      <c r="G25" s="97"/>
    </row>
    <row r="26" spans="1:7" ht="15.75" x14ac:dyDescent="0.25">
      <c r="A26" s="20"/>
      <c r="B26" s="117"/>
      <c r="C26" s="20" t="s">
        <v>510</v>
      </c>
      <c r="D26" s="32">
        <v>85</v>
      </c>
      <c r="E26" s="124"/>
      <c r="F26" s="15"/>
      <c r="G26" s="97"/>
    </row>
    <row r="27" spans="1:7" ht="15.75" x14ac:dyDescent="0.25">
      <c r="A27" s="20"/>
      <c r="B27" s="117"/>
      <c r="C27" s="20" t="s">
        <v>497</v>
      </c>
      <c r="D27" s="32">
        <v>120</v>
      </c>
      <c r="E27" s="124"/>
      <c r="F27" s="15"/>
      <c r="G27" s="97"/>
    </row>
    <row r="28" spans="1:7" ht="15.75" x14ac:dyDescent="0.25">
      <c r="A28" s="20"/>
      <c r="B28" s="117"/>
      <c r="C28" s="20" t="s">
        <v>9</v>
      </c>
      <c r="D28" s="32">
        <v>100</v>
      </c>
      <c r="E28" s="124"/>
      <c r="F28" s="15"/>
      <c r="G28" s="97"/>
    </row>
    <row r="29" spans="1:7" ht="15.75" x14ac:dyDescent="0.25">
      <c r="A29" s="20"/>
      <c r="B29" s="117"/>
      <c r="C29" s="20" t="s">
        <v>39</v>
      </c>
      <c r="D29" s="32">
        <v>120</v>
      </c>
      <c r="E29" s="124"/>
      <c r="F29" s="15"/>
      <c r="G29" s="97"/>
    </row>
    <row r="30" spans="1:7" ht="15.75" x14ac:dyDescent="0.25">
      <c r="A30" s="20"/>
      <c r="B30" s="117"/>
      <c r="C30" s="20" t="s">
        <v>34</v>
      </c>
      <c r="D30" s="32">
        <v>135</v>
      </c>
      <c r="E30" s="124"/>
      <c r="F30" s="15"/>
      <c r="G30" s="97"/>
    </row>
    <row r="31" spans="1:7" ht="15.75" x14ac:dyDescent="0.25">
      <c r="A31" s="20"/>
      <c r="B31" s="117"/>
      <c r="C31" s="20" t="s">
        <v>8</v>
      </c>
      <c r="D31" s="32">
        <v>305</v>
      </c>
      <c r="E31" s="124"/>
      <c r="F31" s="15"/>
      <c r="G31" s="97"/>
    </row>
    <row r="32" spans="1:7" ht="15.75" x14ac:dyDescent="0.25">
      <c r="A32" s="20"/>
      <c r="B32" s="117"/>
      <c r="C32" s="20" t="s">
        <v>575</v>
      </c>
      <c r="D32" s="32">
        <v>1600</v>
      </c>
      <c r="E32" s="124"/>
      <c r="F32" s="15"/>
      <c r="G32" s="97"/>
    </row>
    <row r="33" spans="1:7" ht="15.75" x14ac:dyDescent="0.25">
      <c r="A33" s="20"/>
      <c r="B33" s="117"/>
      <c r="C33" s="20" t="s">
        <v>576</v>
      </c>
      <c r="D33" s="32">
        <v>3685</v>
      </c>
      <c r="E33" s="124"/>
      <c r="F33" s="15"/>
      <c r="G33" s="97"/>
    </row>
    <row r="34" spans="1:7" ht="15.75" x14ac:dyDescent="0.25">
      <c r="A34" s="20"/>
      <c r="B34" s="117"/>
      <c r="C34" s="20" t="s">
        <v>577</v>
      </c>
      <c r="D34" s="32">
        <v>135</v>
      </c>
      <c r="E34" s="124"/>
      <c r="F34" s="15"/>
      <c r="G34" s="97"/>
    </row>
    <row r="35" spans="1:7" ht="15.75" x14ac:dyDescent="0.25">
      <c r="A35" s="20"/>
      <c r="B35" s="117"/>
      <c r="C35" s="20" t="s">
        <v>56</v>
      </c>
      <c r="D35" s="32">
        <v>1135</v>
      </c>
      <c r="E35" s="124"/>
      <c r="F35" s="15"/>
    </row>
    <row r="36" spans="1:7" ht="15.75" x14ac:dyDescent="0.25">
      <c r="A36" s="20"/>
      <c r="B36" s="117"/>
      <c r="C36" s="20" t="s">
        <v>341</v>
      </c>
      <c r="D36" s="32">
        <v>130</v>
      </c>
      <c r="E36" s="124"/>
      <c r="F36" s="15"/>
    </row>
    <row r="37" spans="1:7" ht="15.75" x14ac:dyDescent="0.25">
      <c r="A37" s="20"/>
      <c r="B37" s="117"/>
      <c r="C37" s="20" t="s">
        <v>578</v>
      </c>
      <c r="D37" s="32">
        <v>425</v>
      </c>
      <c r="E37" s="124"/>
      <c r="F37" s="15"/>
    </row>
    <row r="38" spans="1:7" ht="15.75" x14ac:dyDescent="0.25">
      <c r="A38" s="20"/>
      <c r="B38" s="117"/>
      <c r="C38" s="20" t="s">
        <v>255</v>
      </c>
      <c r="D38" s="32">
        <v>195</v>
      </c>
      <c r="E38" s="124"/>
      <c r="F38" s="15"/>
    </row>
    <row r="39" spans="1:7" ht="15.75" x14ac:dyDescent="0.25">
      <c r="A39" s="20"/>
      <c r="B39" s="117"/>
      <c r="C39" s="20" t="s">
        <v>252</v>
      </c>
      <c r="D39" s="32">
        <v>579</v>
      </c>
      <c r="E39" s="124"/>
      <c r="F39" s="15"/>
    </row>
    <row r="40" spans="1:7" ht="15.75" x14ac:dyDescent="0.25">
      <c r="A40" s="20"/>
      <c r="B40" s="117"/>
      <c r="C40" s="20" t="s">
        <v>579</v>
      </c>
      <c r="D40" s="32">
        <v>2000</v>
      </c>
      <c r="E40" s="124"/>
      <c r="F40" s="15"/>
    </row>
    <row r="41" spans="1:7" ht="15.75" x14ac:dyDescent="0.25">
      <c r="A41" s="20"/>
      <c r="B41" s="117"/>
      <c r="C41" s="20" t="s">
        <v>580</v>
      </c>
      <c r="D41" s="32">
        <v>2145</v>
      </c>
      <c r="E41" s="124"/>
      <c r="F41" s="15"/>
    </row>
    <row r="42" spans="1:7" ht="15.75" x14ac:dyDescent="0.25">
      <c r="A42" s="20"/>
      <c r="B42" s="117"/>
      <c r="C42" s="20" t="s">
        <v>581</v>
      </c>
      <c r="D42" s="32">
        <v>1000</v>
      </c>
      <c r="E42" s="124"/>
      <c r="F42" s="15"/>
    </row>
    <row r="43" spans="1:7" ht="15.75" x14ac:dyDescent="0.25">
      <c r="A43" s="20"/>
      <c r="B43" s="117"/>
      <c r="C43" s="20" t="s">
        <v>582</v>
      </c>
      <c r="D43" s="32">
        <v>105</v>
      </c>
      <c r="E43" s="124"/>
      <c r="F43" s="15"/>
    </row>
    <row r="44" spans="1:7" ht="15.75" x14ac:dyDescent="0.25">
      <c r="A44" s="20"/>
      <c r="B44" s="117"/>
      <c r="C44" s="20" t="s">
        <v>585</v>
      </c>
      <c r="D44" s="32">
        <v>5245</v>
      </c>
      <c r="E44" s="124"/>
      <c r="F44" s="15"/>
    </row>
    <row r="45" spans="1:7" ht="15.75" x14ac:dyDescent="0.25">
      <c r="A45" s="20"/>
      <c r="B45" s="117"/>
      <c r="C45" s="20" t="s">
        <v>182</v>
      </c>
      <c r="D45" s="32">
        <v>3000</v>
      </c>
      <c r="E45" s="124"/>
      <c r="F45" s="15"/>
    </row>
    <row r="46" spans="1:7" ht="15.75" x14ac:dyDescent="0.25">
      <c r="A46" s="20"/>
      <c r="B46" s="117"/>
      <c r="C46" s="20" t="s">
        <v>584</v>
      </c>
      <c r="D46" s="32">
        <v>11000</v>
      </c>
      <c r="E46" s="124"/>
      <c r="F46" s="15"/>
    </row>
    <row r="47" spans="1:7" ht="15.75" x14ac:dyDescent="0.25">
      <c r="A47" s="20"/>
      <c r="B47" s="117"/>
      <c r="C47" s="20" t="s">
        <v>583</v>
      </c>
      <c r="D47" s="32">
        <v>1000</v>
      </c>
      <c r="E47" s="124"/>
      <c r="F47" s="15"/>
    </row>
    <row r="48" spans="1:7" ht="15.75" x14ac:dyDescent="0.25">
      <c r="A48" s="20"/>
      <c r="B48" s="117"/>
      <c r="C48" s="20" t="s">
        <v>339</v>
      </c>
      <c r="D48" s="32">
        <v>43</v>
      </c>
      <c r="E48" s="124"/>
      <c r="F48" s="15"/>
    </row>
    <row r="49" spans="1:6" ht="15.75" x14ac:dyDescent="0.25">
      <c r="A49" s="20"/>
      <c r="B49" s="117"/>
      <c r="C49" s="20" t="s">
        <v>586</v>
      </c>
      <c r="D49" s="32">
        <v>850</v>
      </c>
      <c r="E49" s="124"/>
      <c r="F49" s="15"/>
    </row>
    <row r="50" spans="1:6" ht="15.75" x14ac:dyDescent="0.25">
      <c r="A50" s="20"/>
      <c r="B50" s="117"/>
      <c r="C50" s="20" t="s">
        <v>494</v>
      </c>
      <c r="D50" s="32">
        <v>100</v>
      </c>
      <c r="E50" s="124"/>
      <c r="F50" s="15"/>
    </row>
    <row r="51" spans="1:6" ht="15.75" x14ac:dyDescent="0.25">
      <c r="A51" s="20"/>
      <c r="B51" s="117"/>
      <c r="C51" s="20" t="s">
        <v>439</v>
      </c>
      <c r="D51" s="32">
        <v>615</v>
      </c>
      <c r="E51" s="124"/>
      <c r="F51" s="15"/>
    </row>
    <row r="52" spans="1:6" ht="15.75" x14ac:dyDescent="0.25">
      <c r="A52" s="20"/>
      <c r="B52" s="117"/>
      <c r="C52" s="20" t="s">
        <v>587</v>
      </c>
      <c r="D52" s="32">
        <v>3690</v>
      </c>
      <c r="E52" s="124"/>
      <c r="F52" s="15"/>
    </row>
    <row r="53" spans="1:6" x14ac:dyDescent="0.25">
      <c r="A53" s="20"/>
      <c r="B53" s="117"/>
      <c r="C53" s="20" t="s">
        <v>498</v>
      </c>
      <c r="D53" s="32">
        <v>170</v>
      </c>
      <c r="E53" s="124"/>
    </row>
    <row r="54" spans="1:6" x14ac:dyDescent="0.25">
      <c r="A54" s="20"/>
      <c r="B54" s="117"/>
      <c r="C54" s="20" t="s">
        <v>588</v>
      </c>
      <c r="D54" s="32">
        <v>100</v>
      </c>
      <c r="E54" s="124"/>
    </row>
    <row r="55" spans="1:6" x14ac:dyDescent="0.25">
      <c r="A55" s="20"/>
      <c r="B55" s="117"/>
      <c r="C55" s="20" t="s">
        <v>458</v>
      </c>
      <c r="D55" s="32">
        <v>5</v>
      </c>
      <c r="E55" s="124"/>
    </row>
    <row r="56" spans="1:6" x14ac:dyDescent="0.25">
      <c r="A56" s="20"/>
      <c r="B56" s="117"/>
      <c r="C56" s="20" t="s">
        <v>589</v>
      </c>
      <c r="D56" s="32">
        <v>1695</v>
      </c>
      <c r="E56" s="124"/>
    </row>
    <row r="57" spans="1:6" x14ac:dyDescent="0.25">
      <c r="A57" s="20"/>
      <c r="B57" s="117"/>
      <c r="C57" s="20" t="s">
        <v>15</v>
      </c>
      <c r="D57" s="32">
        <v>160</v>
      </c>
      <c r="E57" s="124"/>
    </row>
    <row r="58" spans="1:6" ht="21" x14ac:dyDescent="0.35">
      <c r="A58" s="20"/>
      <c r="B58" s="117"/>
      <c r="C58" s="20" t="s">
        <v>590</v>
      </c>
      <c r="D58" s="32">
        <v>7350</v>
      </c>
      <c r="E58" s="124"/>
      <c r="F58" s="133"/>
    </row>
    <row r="59" spans="1:6" x14ac:dyDescent="0.25">
      <c r="A59" s="20"/>
      <c r="B59" s="117"/>
      <c r="C59" s="20" t="s">
        <v>223</v>
      </c>
      <c r="D59" s="32">
        <v>90</v>
      </c>
      <c r="E59" s="124"/>
    </row>
    <row r="60" spans="1:6" x14ac:dyDescent="0.25">
      <c r="A60" s="20"/>
      <c r="B60" s="117"/>
      <c r="C60" s="20" t="s">
        <v>594</v>
      </c>
      <c r="D60" s="32">
        <v>5000</v>
      </c>
      <c r="E60" s="124"/>
    </row>
    <row r="61" spans="1:6" x14ac:dyDescent="0.25">
      <c r="A61" s="20"/>
      <c r="B61" s="117"/>
      <c r="C61" s="20" t="s">
        <v>45</v>
      </c>
      <c r="D61" s="32">
        <v>2145</v>
      </c>
      <c r="E61" s="124"/>
    </row>
    <row r="62" spans="1:6" x14ac:dyDescent="0.25">
      <c r="A62" s="20"/>
      <c r="B62" s="117"/>
      <c r="C62" s="20" t="s">
        <v>596</v>
      </c>
      <c r="D62" s="32">
        <v>4800</v>
      </c>
      <c r="E62" s="124"/>
    </row>
    <row r="63" spans="1:6" x14ac:dyDescent="0.25">
      <c r="A63" s="20"/>
      <c r="B63" s="117"/>
      <c r="C63" s="20" t="s">
        <v>600</v>
      </c>
      <c r="D63" s="32">
        <v>200</v>
      </c>
      <c r="E63" s="124"/>
    </row>
    <row r="64" spans="1:6" x14ac:dyDescent="0.25">
      <c r="A64" s="20"/>
      <c r="B64" s="117"/>
      <c r="C64" s="20" t="s">
        <v>597</v>
      </c>
      <c r="D64" s="32">
        <v>10000</v>
      </c>
      <c r="E64" s="124"/>
    </row>
    <row r="65" spans="1:5" x14ac:dyDescent="0.25">
      <c r="A65" s="20"/>
      <c r="B65" s="117"/>
      <c r="C65" s="20" t="s">
        <v>14</v>
      </c>
      <c r="D65" s="32">
        <v>1780</v>
      </c>
      <c r="E65" s="124"/>
    </row>
    <row r="66" spans="1:5" x14ac:dyDescent="0.25">
      <c r="A66" s="20"/>
      <c r="B66" s="117"/>
      <c r="C66" s="20" t="s">
        <v>598</v>
      </c>
      <c r="D66" s="32">
        <v>25</v>
      </c>
      <c r="E66" s="124"/>
    </row>
    <row r="67" spans="1:5" x14ac:dyDescent="0.25">
      <c r="A67" s="20"/>
      <c r="B67" s="117"/>
      <c r="C67" s="20" t="s">
        <v>599</v>
      </c>
      <c r="D67" s="32">
        <v>20</v>
      </c>
      <c r="E67" s="124"/>
    </row>
    <row r="68" spans="1:5" x14ac:dyDescent="0.25">
      <c r="A68" s="20"/>
      <c r="B68" s="117"/>
      <c r="C68" s="20" t="s">
        <v>26</v>
      </c>
      <c r="D68" s="150">
        <v>75</v>
      </c>
      <c r="E68" s="124"/>
    </row>
    <row r="69" spans="1:5" x14ac:dyDescent="0.25">
      <c r="A69" s="20"/>
      <c r="B69" s="117"/>
      <c r="C69" s="20" t="s">
        <v>580</v>
      </c>
      <c r="D69" s="32">
        <v>1363</v>
      </c>
      <c r="E69" s="124"/>
    </row>
    <row r="70" spans="1:5" x14ac:dyDescent="0.25">
      <c r="A70" s="20"/>
      <c r="B70" s="117"/>
      <c r="C70" s="20" t="s">
        <v>602</v>
      </c>
      <c r="D70" s="32">
        <v>160</v>
      </c>
      <c r="E70" s="124"/>
    </row>
    <row r="71" spans="1:5" x14ac:dyDescent="0.25">
      <c r="A71" s="20"/>
      <c r="B71" s="117"/>
      <c r="C71" s="20" t="s">
        <v>552</v>
      </c>
      <c r="D71" s="32">
        <v>110</v>
      </c>
      <c r="E71" s="124"/>
    </row>
    <row r="72" spans="1:5" x14ac:dyDescent="0.25">
      <c r="A72" s="20"/>
      <c r="B72" s="117"/>
      <c r="C72" s="20" t="s">
        <v>603</v>
      </c>
      <c r="D72" s="32">
        <v>260</v>
      </c>
      <c r="E72" s="124"/>
    </row>
    <row r="73" spans="1:5" x14ac:dyDescent="0.25">
      <c r="A73" s="20"/>
      <c r="B73" s="117"/>
      <c r="C73" s="20" t="s">
        <v>32</v>
      </c>
      <c r="D73" s="32">
        <v>135</v>
      </c>
      <c r="E73" s="124"/>
    </row>
    <row r="74" spans="1:5" x14ac:dyDescent="0.25">
      <c r="A74" s="20"/>
      <c r="B74" s="117"/>
      <c r="C74" s="20" t="s">
        <v>27</v>
      </c>
      <c r="D74" s="32">
        <v>390</v>
      </c>
      <c r="E74" s="124"/>
    </row>
    <row r="75" spans="1:5" x14ac:dyDescent="0.25">
      <c r="A75" s="20"/>
      <c r="B75" s="117"/>
      <c r="C75" s="20" t="s">
        <v>27</v>
      </c>
      <c r="D75" s="32">
        <v>495</v>
      </c>
      <c r="E75" s="124"/>
    </row>
    <row r="76" spans="1:5" x14ac:dyDescent="0.25">
      <c r="A76" s="20"/>
      <c r="B76" s="117"/>
      <c r="C76" s="20" t="s">
        <v>604</v>
      </c>
      <c r="D76" s="32">
        <v>6</v>
      </c>
      <c r="E76" s="124"/>
    </row>
    <row r="77" spans="1:5" x14ac:dyDescent="0.25">
      <c r="A77" s="20"/>
      <c r="B77" s="117"/>
      <c r="C77" s="20" t="s">
        <v>54</v>
      </c>
      <c r="D77" s="32">
        <v>147</v>
      </c>
      <c r="E77" s="124"/>
    </row>
    <row r="78" spans="1:5" x14ac:dyDescent="0.25">
      <c r="A78" s="20"/>
      <c r="B78" s="117"/>
      <c r="C78" s="20" t="s">
        <v>41</v>
      </c>
      <c r="D78" s="124">
        <v>2500</v>
      </c>
      <c r="E78" s="124"/>
    </row>
    <row r="79" spans="1:5" x14ac:dyDescent="0.25">
      <c r="A79" s="20"/>
      <c r="B79" s="117"/>
      <c r="C79" s="20" t="s">
        <v>593</v>
      </c>
      <c r="D79" s="21">
        <v>500</v>
      </c>
      <c r="E79" s="124"/>
    </row>
    <row r="80" spans="1:5" x14ac:dyDescent="0.25">
      <c r="A80" s="20"/>
      <c r="B80" s="117"/>
      <c r="C80" s="20" t="s">
        <v>592</v>
      </c>
      <c r="D80" s="21">
        <v>3400</v>
      </c>
      <c r="E80" s="124"/>
    </row>
    <row r="81" spans="1:5" x14ac:dyDescent="0.25">
      <c r="A81" s="20"/>
      <c r="B81" s="117"/>
      <c r="C81" s="20" t="s">
        <v>471</v>
      </c>
      <c r="D81" s="32">
        <v>20</v>
      </c>
      <c r="E81" s="124"/>
    </row>
    <row r="82" spans="1:5" x14ac:dyDescent="0.25">
      <c r="A82" s="20"/>
      <c r="B82" s="117"/>
      <c r="C82" s="20" t="s">
        <v>408</v>
      </c>
      <c r="D82" s="96">
        <v>10</v>
      </c>
      <c r="E82" s="124"/>
    </row>
    <row r="83" spans="1:5" x14ac:dyDescent="0.25">
      <c r="A83" s="20"/>
      <c r="B83" s="117"/>
      <c r="C83" s="148" t="s">
        <v>451</v>
      </c>
      <c r="D83" s="150">
        <v>28</v>
      </c>
      <c r="E83" s="124"/>
    </row>
    <row r="84" spans="1:5" x14ac:dyDescent="0.25">
      <c r="A84" s="20"/>
      <c r="B84" s="117"/>
      <c r="C84" s="148"/>
      <c r="D84" s="150"/>
      <c r="E84" s="124"/>
    </row>
    <row r="85" spans="1:5" x14ac:dyDescent="0.25">
      <c r="A85" s="20"/>
      <c r="B85" s="117"/>
      <c r="C85" s="148" t="s">
        <v>569</v>
      </c>
      <c r="D85" s="150">
        <v>500</v>
      </c>
      <c r="E85" s="124"/>
    </row>
    <row r="86" spans="1:5" x14ac:dyDescent="0.25">
      <c r="A86" s="20"/>
      <c r="B86" s="117"/>
      <c r="C86" s="148" t="s">
        <v>471</v>
      </c>
      <c r="D86" s="150">
        <v>48</v>
      </c>
      <c r="E86" s="124"/>
    </row>
    <row r="87" spans="1:5" x14ac:dyDescent="0.25">
      <c r="A87" s="20"/>
      <c r="B87" s="117"/>
      <c r="C87" s="148" t="s">
        <v>54</v>
      </c>
      <c r="D87" s="150">
        <v>470</v>
      </c>
      <c r="E87" s="126"/>
    </row>
    <row r="88" spans="1:5" x14ac:dyDescent="0.25">
      <c r="A88" s="20"/>
      <c r="B88" s="22"/>
      <c r="C88" s="148" t="s">
        <v>450</v>
      </c>
      <c r="D88" s="150">
        <v>100</v>
      </c>
      <c r="E88" s="124"/>
    </row>
    <row r="89" spans="1:5" x14ac:dyDescent="0.25">
      <c r="A89" s="20"/>
      <c r="B89" s="21"/>
      <c r="C89" s="203"/>
      <c r="D89" s="150"/>
      <c r="E89" s="124"/>
    </row>
    <row r="90" spans="1:5" x14ac:dyDescent="0.25">
      <c r="A90" s="20"/>
      <c r="B90" s="21"/>
      <c r="C90" s="203"/>
      <c r="D90" s="150"/>
      <c r="E90" s="126"/>
    </row>
    <row r="91" spans="1:5" x14ac:dyDescent="0.25">
      <c r="A91" s="20"/>
      <c r="B91" s="32"/>
      <c r="C91" s="212"/>
      <c r="D91" s="209"/>
      <c r="E91" s="126"/>
    </row>
    <row r="92" spans="1:5" x14ac:dyDescent="0.25">
      <c r="A92" s="20"/>
      <c r="B92" s="21"/>
      <c r="C92" s="212"/>
      <c r="D92" s="209"/>
      <c r="E92" s="124"/>
    </row>
    <row r="93" spans="1:5" x14ac:dyDescent="0.25">
      <c r="A93" s="20"/>
      <c r="B93" s="117"/>
      <c r="C93" s="212"/>
      <c r="D93" s="209"/>
      <c r="E93" s="124"/>
    </row>
    <row r="94" spans="1:5" x14ac:dyDescent="0.25">
      <c r="A94" s="20"/>
      <c r="B94" s="117"/>
      <c r="C94" s="212"/>
      <c r="D94" s="209"/>
      <c r="E94" s="124"/>
    </row>
    <row r="95" spans="1:5" x14ac:dyDescent="0.25">
      <c r="A95" s="20"/>
      <c r="B95" s="21"/>
      <c r="C95" s="212"/>
      <c r="D95" s="209"/>
      <c r="E95" s="126"/>
    </row>
    <row r="96" spans="1:5" x14ac:dyDescent="0.25">
      <c r="A96" s="20"/>
      <c r="B96" s="21"/>
      <c r="C96" s="212"/>
      <c r="D96" s="209"/>
      <c r="E96" s="126"/>
    </row>
    <row r="97" spans="1:5" x14ac:dyDescent="0.25">
      <c r="A97" s="20"/>
      <c r="B97" s="21"/>
      <c r="C97" s="205"/>
      <c r="D97" s="210"/>
      <c r="E97" s="126"/>
    </row>
    <row r="98" spans="1:5" ht="21.75" thickBot="1" x14ac:dyDescent="0.4">
      <c r="A98" s="130"/>
      <c r="B98" s="131">
        <f>SUBTOTAL(109,Table1072023[Column1])</f>
        <v>154239</v>
      </c>
      <c r="C98" s="132"/>
      <c r="D98" s="133">
        <f>SUBTOTAL(109,Table1072023[Column2])</f>
        <v>127845</v>
      </c>
      <c r="E98" s="133"/>
    </row>
    <row r="99" spans="1:5" ht="27" thickTop="1" x14ac:dyDescent="0.25">
      <c r="D99" s="16">
        <f>Table1072023[[#Totals],[Column1]]-Table1072023[[#Totals],[Column2]]</f>
        <v>26394</v>
      </c>
    </row>
    <row r="100" spans="1:5" ht="15.75" thickBot="1" x14ac:dyDescent="0.3"/>
    <row r="101" spans="1:5" ht="24" thickBot="1" x14ac:dyDescent="0.3">
      <c r="A101" s="76" t="s">
        <v>9</v>
      </c>
      <c r="B101" s="460">
        <v>45117</v>
      </c>
      <c r="C101" s="474"/>
      <c r="D101" s="194" t="s">
        <v>564</v>
      </c>
    </row>
    <row r="102" spans="1:5" ht="21" thickBot="1" x14ac:dyDescent="0.3">
      <c r="A102" s="53" t="s">
        <v>137</v>
      </c>
      <c r="B102" s="53" t="s">
        <v>138</v>
      </c>
      <c r="C102" s="53" t="s">
        <v>3</v>
      </c>
    </row>
    <row r="103" spans="1:5" ht="18" x14ac:dyDescent="0.25">
      <c r="A103" s="55">
        <f>5000+4100+500+240-8567+2</f>
        <v>1275</v>
      </c>
      <c r="B103" s="57" t="s">
        <v>33</v>
      </c>
      <c r="C103" s="196">
        <v>35</v>
      </c>
      <c r="D103" s="26"/>
      <c r="E103" s="197"/>
    </row>
    <row r="104" spans="1:5" ht="18" x14ac:dyDescent="0.25">
      <c r="A104" s="60"/>
      <c r="B104" s="94" t="s">
        <v>73</v>
      </c>
      <c r="C104" s="56">
        <v>45</v>
      </c>
    </row>
    <row r="105" spans="1:5" ht="18" x14ac:dyDescent="0.25">
      <c r="A105" s="60"/>
      <c r="B105" s="57" t="s">
        <v>10</v>
      </c>
      <c r="C105" s="77">
        <v>80</v>
      </c>
    </row>
    <row r="106" spans="1:5" ht="18" x14ac:dyDescent="0.25">
      <c r="A106" s="60"/>
      <c r="B106" s="57" t="s">
        <v>568</v>
      </c>
      <c r="C106" s="77">
        <v>2575</v>
      </c>
    </row>
    <row r="107" spans="1:5" ht="18" x14ac:dyDescent="0.25">
      <c r="A107" s="60"/>
      <c r="B107" s="94" t="s">
        <v>57</v>
      </c>
      <c r="C107" s="56">
        <v>1068</v>
      </c>
    </row>
    <row r="108" spans="1:5" ht="18" x14ac:dyDescent="0.25">
      <c r="A108" s="60"/>
      <c r="B108" s="94" t="s">
        <v>567</v>
      </c>
      <c r="C108" s="56">
        <v>8567</v>
      </c>
    </row>
    <row r="109" spans="1:5" ht="18.75" thickBot="1" x14ac:dyDescent="0.3">
      <c r="A109" s="60"/>
      <c r="B109" s="94" t="s">
        <v>569</v>
      </c>
      <c r="C109" s="56">
        <v>500</v>
      </c>
    </row>
    <row r="110" spans="1:5" ht="24" thickBot="1" x14ac:dyDescent="0.3">
      <c r="A110" s="60"/>
      <c r="B110" s="94"/>
      <c r="C110" s="56"/>
      <c r="D110" s="134" t="s">
        <v>43</v>
      </c>
      <c r="E110" s="99">
        <f>E116-E111</f>
        <v>85</v>
      </c>
    </row>
    <row r="111" spans="1:5" ht="24" customHeight="1" thickBot="1" x14ac:dyDescent="0.3">
      <c r="A111" s="66"/>
      <c r="B111" s="64"/>
      <c r="C111" s="67"/>
      <c r="D111" s="135" t="s">
        <v>94</v>
      </c>
      <c r="E111" s="85">
        <f>2587-4130+3000</f>
        <v>1457</v>
      </c>
    </row>
    <row r="112" spans="1:5" ht="21.75" thickBot="1" x14ac:dyDescent="0.3">
      <c r="A112" s="68">
        <f>SUM(A103:A111)</f>
        <v>1275</v>
      </c>
      <c r="C112" s="69">
        <f>SUM(C103:C111)</f>
        <v>12870</v>
      </c>
      <c r="D112" s="136" t="s">
        <v>65</v>
      </c>
      <c r="E112" s="83">
        <f>5+500+400+10+9</f>
        <v>924</v>
      </c>
    </row>
    <row r="113" spans="1:5" ht="19.5" thickBot="1" x14ac:dyDescent="0.3">
      <c r="A113" s="462" t="s">
        <v>139</v>
      </c>
      <c r="B113" s="463"/>
      <c r="C113" s="71" t="s">
        <v>75</v>
      </c>
      <c r="D113" s="82" t="s">
        <v>25</v>
      </c>
      <c r="E113" s="83">
        <f>28+20</f>
        <v>48</v>
      </c>
    </row>
    <row r="114" spans="1:5" ht="24" thickBot="1" x14ac:dyDescent="0.3">
      <c r="A114" s="464">
        <f>C112+A112</f>
        <v>14145</v>
      </c>
      <c r="B114" s="465"/>
      <c r="C114" s="81"/>
      <c r="D114" s="82" t="s">
        <v>54</v>
      </c>
      <c r="E114" s="83">
        <v>470</v>
      </c>
    </row>
    <row r="115" spans="1:5" ht="24" thickBot="1" x14ac:dyDescent="0.3">
      <c r="A115" s="466" t="s">
        <v>99</v>
      </c>
      <c r="B115" s="467"/>
      <c r="C115" s="78">
        <f>A116-C116</f>
        <v>224</v>
      </c>
      <c r="D115" s="82" t="s">
        <v>450</v>
      </c>
      <c r="E115" s="83">
        <v>100</v>
      </c>
    </row>
    <row r="116" spans="1:5" ht="24" thickBot="1" x14ac:dyDescent="0.3">
      <c r="A116" s="468">
        <f>C114+A114</f>
        <v>14145</v>
      </c>
      <c r="B116" s="469"/>
      <c r="C116" s="121">
        <v>13921</v>
      </c>
      <c r="D116" s="82" t="s">
        <v>164</v>
      </c>
      <c r="E116" s="83">
        <f>SUM(E112:E115)</f>
        <v>1542</v>
      </c>
    </row>
    <row r="117" spans="1:5" ht="24" thickBot="1" x14ac:dyDescent="0.3">
      <c r="A117"/>
      <c r="B117"/>
      <c r="C117" s="314" t="str">
        <f>IF(C115&gt;0,"زيادة","عجز")</f>
        <v>زيادة</v>
      </c>
    </row>
    <row r="118" spans="1:5" ht="15.75" thickBot="1" x14ac:dyDescent="0.3">
      <c r="A118"/>
      <c r="B118"/>
    </row>
    <row r="119" spans="1:5" ht="24" thickBot="1" x14ac:dyDescent="0.3">
      <c r="A119" s="76" t="s">
        <v>80</v>
      </c>
      <c r="B119" s="460">
        <v>45117</v>
      </c>
      <c r="C119" s="474"/>
      <c r="D119" s="194" t="s">
        <v>564</v>
      </c>
      <c r="E119" t="e">
        <f ca="1">INDIRECT("ممكن")</f>
        <v>#REF!</v>
      </c>
    </row>
    <row r="120" spans="1:5" ht="21" thickBot="1" x14ac:dyDescent="0.3">
      <c r="A120" s="53" t="s">
        <v>137</v>
      </c>
      <c r="B120" s="53" t="s">
        <v>138</v>
      </c>
      <c r="C120" s="53" t="s">
        <v>3</v>
      </c>
    </row>
    <row r="121" spans="1:5" ht="18" x14ac:dyDescent="0.25">
      <c r="A121" s="55">
        <f>225+500</f>
        <v>725</v>
      </c>
      <c r="B121" s="57" t="s">
        <v>368</v>
      </c>
      <c r="C121" s="193">
        <v>10000</v>
      </c>
    </row>
    <row r="122" spans="1:5" ht="18" x14ac:dyDescent="0.25">
      <c r="A122" s="60"/>
      <c r="B122" s="94" t="s">
        <v>60</v>
      </c>
      <c r="C122" s="63">
        <v>500</v>
      </c>
    </row>
    <row r="123" spans="1:5" ht="18" x14ac:dyDescent="0.25">
      <c r="A123" s="60"/>
      <c r="B123" s="94" t="s">
        <v>34</v>
      </c>
      <c r="C123" s="63">
        <v>290</v>
      </c>
    </row>
    <row r="124" spans="1:5" ht="18" x14ac:dyDescent="0.25">
      <c r="A124" s="60"/>
      <c r="B124" s="94" t="s">
        <v>331</v>
      </c>
      <c r="C124" s="63">
        <v>770</v>
      </c>
    </row>
    <row r="125" spans="1:5" ht="18" x14ac:dyDescent="0.25">
      <c r="A125" s="60"/>
      <c r="B125" s="94" t="s">
        <v>7</v>
      </c>
      <c r="C125" s="63">
        <v>280</v>
      </c>
    </row>
    <row r="126" spans="1:5" ht="18" x14ac:dyDescent="0.25">
      <c r="A126" s="60"/>
      <c r="B126" s="94" t="s">
        <v>66</v>
      </c>
      <c r="C126" s="63">
        <v>265</v>
      </c>
    </row>
    <row r="127" spans="1:5" ht="18" x14ac:dyDescent="0.25">
      <c r="A127" s="60"/>
      <c r="B127" s="94" t="s">
        <v>399</v>
      </c>
      <c r="C127" s="63">
        <v>240</v>
      </c>
    </row>
    <row r="128" spans="1:5" ht="18" x14ac:dyDescent="0.25">
      <c r="A128" s="60"/>
      <c r="B128" s="94" t="s">
        <v>12</v>
      </c>
      <c r="C128" s="63">
        <f>1590+1635</f>
        <v>3225</v>
      </c>
    </row>
    <row r="129" spans="1:5" ht="18.75" thickBot="1" x14ac:dyDescent="0.3">
      <c r="A129" s="60"/>
      <c r="B129" s="145" t="s">
        <v>572</v>
      </c>
      <c r="C129" s="63">
        <v>665</v>
      </c>
    </row>
    <row r="130" spans="1:5" ht="24" thickBot="1" x14ac:dyDescent="0.3">
      <c r="A130" s="60"/>
      <c r="B130" s="94"/>
      <c r="C130" s="56"/>
      <c r="D130" s="134" t="s">
        <v>43</v>
      </c>
      <c r="E130" s="99">
        <f>E136-E131</f>
        <v>32</v>
      </c>
    </row>
    <row r="131" spans="1:5" ht="21.75" thickBot="1" x14ac:dyDescent="0.3">
      <c r="A131" s="66"/>
      <c r="B131" s="64"/>
      <c r="C131" s="67"/>
      <c r="D131" s="135" t="s">
        <v>94</v>
      </c>
      <c r="E131" s="85">
        <f>4130-3398</f>
        <v>732</v>
      </c>
    </row>
    <row r="132" spans="1:5" ht="21.75" thickBot="1" x14ac:dyDescent="0.3">
      <c r="A132" s="68">
        <f>SUM(A121:A131)</f>
        <v>725</v>
      </c>
      <c r="C132" s="69">
        <f>SUM(C121:C131)</f>
        <v>16235</v>
      </c>
      <c r="D132" s="136" t="s">
        <v>65</v>
      </c>
      <c r="E132" s="83">
        <f>600+100+35+1</f>
        <v>736</v>
      </c>
    </row>
    <row r="133" spans="1:5" ht="19.5" thickBot="1" x14ac:dyDescent="0.3">
      <c r="A133" s="462" t="s">
        <v>139</v>
      </c>
      <c r="B133" s="463"/>
      <c r="C133" s="71" t="s">
        <v>75</v>
      </c>
      <c r="D133" s="82" t="s">
        <v>451</v>
      </c>
      <c r="E133" s="83">
        <f>28</f>
        <v>28</v>
      </c>
    </row>
    <row r="134" spans="1:5" ht="24" thickBot="1" x14ac:dyDescent="0.3">
      <c r="A134" s="464">
        <f>C132+A132</f>
        <v>16960</v>
      </c>
      <c r="B134" s="465"/>
      <c r="C134" s="81"/>
      <c r="D134" s="82"/>
      <c r="E134" s="83"/>
    </row>
    <row r="135" spans="1:5" ht="24" thickBot="1" x14ac:dyDescent="0.3">
      <c r="A135" s="466" t="s">
        <v>99</v>
      </c>
      <c r="B135" s="467"/>
      <c r="C135" s="78">
        <f>A136-C136</f>
        <v>123</v>
      </c>
      <c r="D135" s="82"/>
      <c r="E135" s="83"/>
    </row>
    <row r="136" spans="1:5" ht="24" thickBot="1" x14ac:dyDescent="0.3">
      <c r="A136" s="468">
        <f>C134+A134</f>
        <v>16960</v>
      </c>
      <c r="B136" s="469"/>
      <c r="C136" s="121">
        <v>16837</v>
      </c>
      <c r="D136" s="82" t="s">
        <v>164</v>
      </c>
      <c r="E136" s="83">
        <f>SUM(E132:E135)</f>
        <v>764</v>
      </c>
    </row>
    <row r="137" spans="1:5" ht="24" thickBot="1" x14ac:dyDescent="0.3">
      <c r="A137"/>
      <c r="B137"/>
      <c r="C137" s="314" t="str">
        <f>IF(C135&gt;0,"زيادة","عجز")</f>
        <v>زيادة</v>
      </c>
    </row>
    <row r="138" spans="1:5" ht="15.75" thickBot="1" x14ac:dyDescent="0.3">
      <c r="A138"/>
      <c r="B138"/>
    </row>
    <row r="139" spans="1:5" ht="24" customHeight="1" thickBot="1" x14ac:dyDescent="0.3">
      <c r="A139" s="76" t="s">
        <v>6</v>
      </c>
      <c r="B139" s="460">
        <v>45117</v>
      </c>
      <c r="C139" s="474"/>
      <c r="D139" s="194" t="s">
        <v>564</v>
      </c>
    </row>
    <row r="140" spans="1:5" ht="21" thickBot="1" x14ac:dyDescent="0.3">
      <c r="A140" s="53" t="s">
        <v>137</v>
      </c>
      <c r="B140" s="53" t="s">
        <v>138</v>
      </c>
      <c r="C140" s="53" t="s">
        <v>3</v>
      </c>
    </row>
    <row r="141" spans="1:5" ht="18.75" thickBot="1" x14ac:dyDescent="0.3">
      <c r="A141" s="55">
        <v>260</v>
      </c>
      <c r="B141" s="57" t="s">
        <v>574</v>
      </c>
      <c r="C141" s="193">
        <v>4950</v>
      </c>
    </row>
    <row r="142" spans="1:5" ht="24" thickBot="1" x14ac:dyDescent="0.3">
      <c r="A142" s="60"/>
      <c r="B142" s="94"/>
      <c r="C142" s="56"/>
      <c r="D142" s="134" t="s">
        <v>43</v>
      </c>
      <c r="E142" s="99">
        <f>E148-E143</f>
        <v>0</v>
      </c>
    </row>
    <row r="143" spans="1:5" ht="21.75" thickBot="1" x14ac:dyDescent="0.3">
      <c r="A143" s="66"/>
      <c r="B143" s="64"/>
      <c r="C143" s="67"/>
      <c r="D143" s="135" t="s">
        <v>94</v>
      </c>
      <c r="E143" s="85"/>
    </row>
    <row r="144" spans="1:5" ht="18" customHeight="1" thickBot="1" x14ac:dyDescent="0.3">
      <c r="A144" s="68">
        <f>SUM(A141:A143)</f>
        <v>260</v>
      </c>
      <c r="C144" s="69">
        <f>SUM(C141:C143)</f>
        <v>4950</v>
      </c>
      <c r="D144" s="136" t="s">
        <v>65</v>
      </c>
      <c r="E144" s="83"/>
    </row>
    <row r="145" spans="1:5" ht="18" customHeight="1" thickBot="1" x14ac:dyDescent="0.3">
      <c r="A145" s="462" t="s">
        <v>139</v>
      </c>
      <c r="B145" s="463"/>
      <c r="C145" s="71" t="s">
        <v>75</v>
      </c>
      <c r="D145" s="82" t="s">
        <v>451</v>
      </c>
      <c r="E145" s="83"/>
    </row>
    <row r="146" spans="1:5" ht="24" thickBot="1" x14ac:dyDescent="0.3">
      <c r="A146" s="464">
        <f>C144+A144</f>
        <v>5210</v>
      </c>
      <c r="B146" s="465"/>
      <c r="C146" s="81"/>
      <c r="D146" s="82"/>
      <c r="E146" s="83"/>
    </row>
    <row r="147" spans="1:5" ht="24" thickBot="1" x14ac:dyDescent="0.3">
      <c r="A147" s="466" t="s">
        <v>99</v>
      </c>
      <c r="B147" s="467"/>
      <c r="C147" s="78">
        <f>A148-C148</f>
        <v>21</v>
      </c>
      <c r="D147" s="82"/>
      <c r="E147" s="83"/>
    </row>
    <row r="148" spans="1:5" ht="24" thickBot="1" x14ac:dyDescent="0.3">
      <c r="A148" s="468">
        <f>C146+A146</f>
        <v>5210</v>
      </c>
      <c r="B148" s="469"/>
      <c r="C148" s="121">
        <v>5189</v>
      </c>
      <c r="D148" s="82" t="s">
        <v>164</v>
      </c>
      <c r="E148" s="83">
        <f>SUM(E144:E147)</f>
        <v>0</v>
      </c>
    </row>
    <row r="149" spans="1:5" ht="18" customHeight="1" thickBot="1" x14ac:dyDescent="0.3">
      <c r="A149"/>
      <c r="B149"/>
      <c r="C149" s="314" t="str">
        <f>IF(C147&gt;0,"زيادة","عجز")</f>
        <v>زيادة</v>
      </c>
    </row>
    <row r="150" spans="1:5" ht="15.75" thickBot="1" x14ac:dyDescent="0.3">
      <c r="A150"/>
      <c r="B150"/>
    </row>
    <row r="151" spans="1:5" ht="18" customHeight="1" thickBot="1" x14ac:dyDescent="0.3">
      <c r="A151" s="76" t="s">
        <v>88</v>
      </c>
      <c r="B151" s="460">
        <v>45116</v>
      </c>
      <c r="C151" s="474"/>
      <c r="D151" s="194" t="s">
        <v>564</v>
      </c>
    </row>
    <row r="152" spans="1:5" ht="18" customHeight="1" thickBot="1" x14ac:dyDescent="0.3">
      <c r="A152" s="53" t="s">
        <v>137</v>
      </c>
      <c r="B152" s="53" t="s">
        <v>138</v>
      </c>
      <c r="C152" s="53" t="s">
        <v>3</v>
      </c>
    </row>
    <row r="153" spans="1:5" ht="18" x14ac:dyDescent="0.25">
      <c r="A153" s="55">
        <f>10000+400+221</f>
        <v>10621</v>
      </c>
      <c r="B153" s="57" t="s">
        <v>86</v>
      </c>
      <c r="C153" s="193">
        <v>182</v>
      </c>
    </row>
    <row r="154" spans="1:5" ht="18" x14ac:dyDescent="0.25">
      <c r="A154" s="60"/>
      <c r="B154" s="94" t="s">
        <v>510</v>
      </c>
      <c r="C154" s="63">
        <v>85</v>
      </c>
    </row>
    <row r="155" spans="1:5" ht="18" x14ac:dyDescent="0.25">
      <c r="A155" s="60"/>
      <c r="B155" s="94" t="s">
        <v>408</v>
      </c>
      <c r="C155" s="63">
        <v>10</v>
      </c>
    </row>
    <row r="156" spans="1:5" ht="18" x14ac:dyDescent="0.25">
      <c r="A156" s="60"/>
      <c r="B156" s="94" t="s">
        <v>497</v>
      </c>
      <c r="C156" s="63">
        <v>120</v>
      </c>
    </row>
    <row r="157" spans="1:5" ht="18" x14ac:dyDescent="0.25">
      <c r="A157" s="60"/>
      <c r="B157" s="94" t="s">
        <v>9</v>
      </c>
      <c r="C157" s="63">
        <v>100</v>
      </c>
    </row>
    <row r="158" spans="1:5" ht="18" x14ac:dyDescent="0.25">
      <c r="A158" s="60"/>
      <c r="B158" s="94" t="s">
        <v>39</v>
      </c>
      <c r="C158" s="63">
        <v>120</v>
      </c>
    </row>
    <row r="159" spans="1:5" ht="18" x14ac:dyDescent="0.25">
      <c r="A159" s="60"/>
      <c r="B159" s="94" t="s">
        <v>34</v>
      </c>
      <c r="C159" s="63">
        <v>135</v>
      </c>
    </row>
    <row r="160" spans="1:5" ht="18" x14ac:dyDescent="0.25">
      <c r="A160" s="60"/>
      <c r="B160" s="94" t="s">
        <v>8</v>
      </c>
      <c r="C160" s="63">
        <v>305</v>
      </c>
    </row>
    <row r="161" spans="1:5" ht="18" x14ac:dyDescent="0.25">
      <c r="A161" s="60"/>
      <c r="B161" s="94" t="s">
        <v>575</v>
      </c>
      <c r="C161" s="63">
        <v>1600</v>
      </c>
    </row>
    <row r="162" spans="1:5" ht="23.25" customHeight="1" x14ac:dyDescent="0.25">
      <c r="A162" s="60"/>
      <c r="B162" s="94" t="s">
        <v>576</v>
      </c>
      <c r="C162" s="63">
        <v>3685</v>
      </c>
    </row>
    <row r="163" spans="1:5" ht="21.75" customHeight="1" x14ac:dyDescent="0.25">
      <c r="A163" s="60"/>
      <c r="B163" s="94" t="s">
        <v>577</v>
      </c>
      <c r="C163" s="63">
        <v>135</v>
      </c>
    </row>
    <row r="164" spans="1:5" ht="18" customHeight="1" x14ac:dyDescent="0.25">
      <c r="A164" s="60"/>
      <c r="B164" s="94" t="s">
        <v>56</v>
      </c>
      <c r="C164" s="63">
        <v>1135</v>
      </c>
    </row>
    <row r="165" spans="1:5" ht="18" x14ac:dyDescent="0.25">
      <c r="A165" s="60"/>
      <c r="B165" s="94" t="s">
        <v>341</v>
      </c>
      <c r="C165" s="63">
        <v>130</v>
      </c>
    </row>
    <row r="166" spans="1:5" ht="18" x14ac:dyDescent="0.25">
      <c r="A166" s="60"/>
      <c r="B166" s="94" t="s">
        <v>578</v>
      </c>
      <c r="C166" s="63">
        <v>425</v>
      </c>
    </row>
    <row r="167" spans="1:5" ht="18" x14ac:dyDescent="0.25">
      <c r="A167" s="60"/>
      <c r="B167" s="94" t="s">
        <v>255</v>
      </c>
      <c r="C167" s="63">
        <v>195</v>
      </c>
    </row>
    <row r="168" spans="1:5" ht="18.75" thickBot="1" x14ac:dyDescent="0.3">
      <c r="A168" s="60"/>
      <c r="B168" s="94" t="s">
        <v>252</v>
      </c>
      <c r="C168" s="63">
        <v>579</v>
      </c>
    </row>
    <row r="169" spans="1:5" ht="24" thickBot="1" x14ac:dyDescent="0.3">
      <c r="A169" s="60"/>
      <c r="B169" s="94"/>
      <c r="C169" s="56"/>
      <c r="D169" s="134" t="s">
        <v>43</v>
      </c>
      <c r="E169" s="99">
        <f>E175-E170</f>
        <v>0</v>
      </c>
    </row>
    <row r="170" spans="1:5" ht="21.75" thickBot="1" x14ac:dyDescent="0.3">
      <c r="A170" s="66"/>
      <c r="B170" s="64"/>
      <c r="C170" s="67"/>
      <c r="D170" s="135" t="s">
        <v>94</v>
      </c>
      <c r="E170" s="85"/>
    </row>
    <row r="171" spans="1:5" ht="21.75" thickBot="1" x14ac:dyDescent="0.3">
      <c r="A171" s="68">
        <f>SUM(A153:A170)</f>
        <v>10621</v>
      </c>
      <c r="C171" s="69">
        <f>SUM(C153:C170)</f>
        <v>8941</v>
      </c>
      <c r="D171" s="136" t="s">
        <v>65</v>
      </c>
      <c r="E171" s="83"/>
    </row>
    <row r="172" spans="1:5" ht="19.5" thickBot="1" x14ac:dyDescent="0.3">
      <c r="A172" s="462" t="s">
        <v>139</v>
      </c>
      <c r="B172" s="463"/>
      <c r="C172" s="71" t="s">
        <v>75</v>
      </c>
      <c r="D172" s="82" t="s">
        <v>451</v>
      </c>
      <c r="E172" s="83"/>
    </row>
    <row r="173" spans="1:5" ht="24" thickBot="1" x14ac:dyDescent="0.3">
      <c r="A173" s="464">
        <f>C171+A171</f>
        <v>19562</v>
      </c>
      <c r="B173" s="465"/>
      <c r="C173" s="81">
        <v>120</v>
      </c>
      <c r="D173" s="82"/>
      <c r="E173" s="83"/>
    </row>
    <row r="174" spans="1:5" ht="24" thickBot="1" x14ac:dyDescent="0.3">
      <c r="A174" s="466" t="s">
        <v>99</v>
      </c>
      <c r="B174" s="467"/>
      <c r="C174" s="78">
        <f>A175-C175</f>
        <v>19682</v>
      </c>
      <c r="D174" s="82"/>
      <c r="E174" s="83"/>
    </row>
    <row r="175" spans="1:5" ht="24" thickBot="1" x14ac:dyDescent="0.3">
      <c r="A175" s="468">
        <f>C173+A173</f>
        <v>19682</v>
      </c>
      <c r="B175" s="469"/>
      <c r="C175" s="121"/>
      <c r="D175" s="82" t="s">
        <v>164</v>
      </c>
      <c r="E175" s="83">
        <f>SUM(E171:E174)</f>
        <v>0</v>
      </c>
    </row>
    <row r="176" spans="1:5" ht="24" thickBot="1" x14ac:dyDescent="0.3">
      <c r="A176"/>
      <c r="B176"/>
      <c r="C176" s="314" t="str">
        <f>IF(C174&gt;0,"زيادة","عجز")</f>
        <v>زيادة</v>
      </c>
    </row>
    <row r="177" spans="1:5" ht="24" thickBot="1" x14ac:dyDescent="0.3">
      <c r="A177" s="76" t="s">
        <v>15</v>
      </c>
      <c r="B177" s="460">
        <v>45117</v>
      </c>
      <c r="C177" s="474"/>
      <c r="D177" s="194" t="s">
        <v>564</v>
      </c>
    </row>
    <row r="178" spans="1:5" ht="21" thickBot="1" x14ac:dyDescent="0.3">
      <c r="A178" s="53" t="s">
        <v>137</v>
      </c>
      <c r="B178" s="53" t="s">
        <v>138</v>
      </c>
      <c r="C178" s="53" t="s">
        <v>3</v>
      </c>
    </row>
    <row r="179" spans="1:5" ht="18" x14ac:dyDescent="0.25">
      <c r="A179" s="55">
        <f>10000+1800+55</f>
        <v>11855</v>
      </c>
      <c r="B179" s="57" t="s">
        <v>339</v>
      </c>
      <c r="C179" s="193">
        <v>43</v>
      </c>
    </row>
    <row r="180" spans="1:5" ht="18" x14ac:dyDescent="0.25">
      <c r="A180" s="60"/>
      <c r="B180" s="94" t="s">
        <v>586</v>
      </c>
      <c r="C180" s="63">
        <v>850</v>
      </c>
    </row>
    <row r="181" spans="1:5" ht="18" x14ac:dyDescent="0.25">
      <c r="A181" s="60"/>
      <c r="B181" s="94" t="s">
        <v>494</v>
      </c>
      <c r="C181" s="63">
        <v>100</v>
      </c>
    </row>
    <row r="182" spans="1:5" ht="18" x14ac:dyDescent="0.25">
      <c r="A182" s="60"/>
      <c r="B182" s="94" t="s">
        <v>439</v>
      </c>
      <c r="C182" s="63">
        <v>615</v>
      </c>
    </row>
    <row r="183" spans="1:5" ht="18" x14ac:dyDescent="0.25">
      <c r="A183" s="60"/>
      <c r="B183" s="94" t="s">
        <v>587</v>
      </c>
      <c r="C183" s="63">
        <v>3690</v>
      </c>
    </row>
    <row r="184" spans="1:5" ht="18" x14ac:dyDescent="0.25">
      <c r="A184" s="60"/>
      <c r="B184" s="94" t="s">
        <v>498</v>
      </c>
      <c r="C184" s="63">
        <v>170</v>
      </c>
    </row>
    <row r="185" spans="1:5" ht="18" x14ac:dyDescent="0.25">
      <c r="A185" s="60"/>
      <c r="B185" s="94" t="s">
        <v>588</v>
      </c>
      <c r="C185" s="63">
        <v>100</v>
      </c>
    </row>
    <row r="186" spans="1:5" ht="23.25" customHeight="1" x14ac:dyDescent="0.25">
      <c r="A186" s="60"/>
      <c r="B186" s="94" t="s">
        <v>458</v>
      </c>
      <c r="C186" s="63">
        <v>5</v>
      </c>
    </row>
    <row r="187" spans="1:5" ht="18" x14ac:dyDescent="0.25">
      <c r="A187" s="60"/>
      <c r="B187" s="94" t="s">
        <v>589</v>
      </c>
      <c r="C187" s="63">
        <v>1695</v>
      </c>
    </row>
    <row r="188" spans="1:5" ht="18" x14ac:dyDescent="0.25">
      <c r="A188" s="60"/>
      <c r="B188" s="94" t="s">
        <v>15</v>
      </c>
      <c r="C188" s="63">
        <v>160</v>
      </c>
    </row>
    <row r="189" spans="1:5" ht="18.75" thickBot="1" x14ac:dyDescent="0.3">
      <c r="A189" s="60"/>
      <c r="B189" s="94"/>
      <c r="C189" s="63"/>
    </row>
    <row r="190" spans="1:5" ht="24" thickBot="1" x14ac:dyDescent="0.3">
      <c r="A190" s="60"/>
      <c r="B190" s="94"/>
      <c r="C190" s="56"/>
      <c r="D190" s="134" t="s">
        <v>43</v>
      </c>
      <c r="E190" s="99">
        <f>E196-E191</f>
        <v>570</v>
      </c>
    </row>
    <row r="191" spans="1:5" ht="21.75" thickBot="1" x14ac:dyDescent="0.3">
      <c r="A191" s="66"/>
      <c r="B191" s="64"/>
      <c r="C191" s="67"/>
      <c r="D191" s="135" t="s">
        <v>94</v>
      </c>
      <c r="E191" s="85"/>
    </row>
    <row r="192" spans="1:5" ht="21.75" thickBot="1" x14ac:dyDescent="0.3">
      <c r="A192" s="68">
        <f>SUM(A179:A191)</f>
        <v>11855</v>
      </c>
      <c r="C192" s="69">
        <f>SUM(C179:C191)</f>
        <v>7428</v>
      </c>
      <c r="D192" s="136" t="s">
        <v>65</v>
      </c>
      <c r="E192" s="83">
        <f>5+500+45</f>
        <v>550</v>
      </c>
    </row>
    <row r="193" spans="1:5" ht="19.5" thickBot="1" x14ac:dyDescent="0.3">
      <c r="A193" s="462" t="s">
        <v>139</v>
      </c>
      <c r="B193" s="463"/>
      <c r="C193" s="71" t="s">
        <v>75</v>
      </c>
      <c r="D193" s="82" t="s">
        <v>25</v>
      </c>
      <c r="E193" s="83">
        <v>20</v>
      </c>
    </row>
    <row r="194" spans="1:5" ht="24" thickBot="1" x14ac:dyDescent="0.3">
      <c r="A194" s="464">
        <f>C192+A192</f>
        <v>19283</v>
      </c>
      <c r="B194" s="465"/>
      <c r="C194" s="81">
        <f>75+669</f>
        <v>744</v>
      </c>
      <c r="D194" s="82"/>
      <c r="E194" s="83"/>
    </row>
    <row r="195" spans="1:5" ht="24" thickBot="1" x14ac:dyDescent="0.3">
      <c r="A195" s="466" t="s">
        <v>99</v>
      </c>
      <c r="B195" s="467"/>
      <c r="C195" s="78">
        <f>A196-C196</f>
        <v>10</v>
      </c>
      <c r="D195" s="82"/>
      <c r="E195" s="83"/>
    </row>
    <row r="196" spans="1:5" ht="21" customHeight="1" thickBot="1" x14ac:dyDescent="0.3">
      <c r="A196" s="468">
        <f>C194+A194</f>
        <v>20027</v>
      </c>
      <c r="B196" s="469"/>
      <c r="C196" s="121">
        <v>20017</v>
      </c>
      <c r="D196" s="82" t="s">
        <v>164</v>
      </c>
      <c r="E196" s="83">
        <f>SUM(E192:E195)</f>
        <v>570</v>
      </c>
    </row>
    <row r="197" spans="1:5" ht="24" thickBot="1" x14ac:dyDescent="0.3">
      <c r="A197"/>
      <c r="B197"/>
      <c r="C197" s="314" t="str">
        <f>IF(C195&gt;0,"زيادة","عجز")</f>
        <v>زيادة</v>
      </c>
    </row>
    <row r="198" spans="1:5" ht="19.5" customHeight="1" thickBot="1" x14ac:dyDescent="0.3">
      <c r="A198" s="76" t="s">
        <v>29</v>
      </c>
      <c r="B198" s="460">
        <v>45117</v>
      </c>
      <c r="C198" s="474"/>
      <c r="D198" s="194" t="s">
        <v>564</v>
      </c>
    </row>
    <row r="199" spans="1:5" ht="19.5" customHeight="1" thickBot="1" x14ac:dyDescent="0.3">
      <c r="A199" s="53" t="s">
        <v>137</v>
      </c>
      <c r="B199" s="53" t="s">
        <v>138</v>
      </c>
      <c r="C199" s="53" t="s">
        <v>3</v>
      </c>
    </row>
    <row r="200" spans="1:5" ht="18" x14ac:dyDescent="0.25">
      <c r="A200" s="55">
        <f>5000+3300+1100+500+295</f>
        <v>10195</v>
      </c>
      <c r="B200" s="57" t="s">
        <v>597</v>
      </c>
      <c r="C200" s="193">
        <v>10000</v>
      </c>
    </row>
    <row r="201" spans="1:5" ht="18" x14ac:dyDescent="0.25">
      <c r="A201" s="60"/>
      <c r="B201" s="94" t="s">
        <v>14</v>
      </c>
      <c r="C201" s="63">
        <v>1780</v>
      </c>
    </row>
    <row r="202" spans="1:5" ht="18" x14ac:dyDescent="0.25">
      <c r="A202" s="60"/>
      <c r="B202" s="94" t="s">
        <v>598</v>
      </c>
      <c r="C202" s="63">
        <v>25</v>
      </c>
    </row>
    <row r="203" spans="1:5" ht="18" x14ac:dyDescent="0.25">
      <c r="A203" s="60"/>
      <c r="B203" s="94" t="s">
        <v>599</v>
      </c>
      <c r="C203" s="63">
        <v>20</v>
      </c>
    </row>
    <row r="204" spans="1:5" ht="18" x14ac:dyDescent="0.25">
      <c r="A204" s="60"/>
      <c r="B204" s="94"/>
      <c r="C204" s="63"/>
    </row>
    <row r="205" spans="1:5" ht="18.75" thickBot="1" x14ac:dyDescent="0.3">
      <c r="A205" s="60"/>
      <c r="B205" s="94"/>
      <c r="C205" s="63"/>
    </row>
    <row r="206" spans="1:5" ht="24" thickBot="1" x14ac:dyDescent="0.3">
      <c r="A206" s="60"/>
      <c r="B206" s="94"/>
      <c r="C206" s="56"/>
      <c r="D206" s="134" t="s">
        <v>43</v>
      </c>
      <c r="E206" s="99">
        <f>E212-E207</f>
        <v>-50</v>
      </c>
    </row>
    <row r="207" spans="1:5" ht="21.75" thickBot="1" x14ac:dyDescent="0.3">
      <c r="A207" s="66"/>
      <c r="B207" s="64"/>
      <c r="C207" s="67"/>
      <c r="D207" s="135" t="s">
        <v>94</v>
      </c>
      <c r="E207" s="85">
        <f>3398-7425+5000</f>
        <v>973</v>
      </c>
    </row>
    <row r="208" spans="1:5" ht="21.75" thickBot="1" x14ac:dyDescent="0.3">
      <c r="A208" s="68">
        <f>SUM(A200:A207)</f>
        <v>10195</v>
      </c>
      <c r="C208" s="69">
        <f>SUM(C200:C207)</f>
        <v>11825</v>
      </c>
      <c r="D208" s="136" t="s">
        <v>65</v>
      </c>
      <c r="E208" s="83">
        <f>400+300+75+1</f>
        <v>776</v>
      </c>
    </row>
    <row r="209" spans="1:5" ht="19.5" thickBot="1" x14ac:dyDescent="0.3">
      <c r="A209" s="462" t="s">
        <v>139</v>
      </c>
      <c r="B209" s="463"/>
      <c r="C209" s="71" t="s">
        <v>75</v>
      </c>
      <c r="D209" s="82" t="s">
        <v>54</v>
      </c>
      <c r="E209" s="83">
        <v>147</v>
      </c>
    </row>
    <row r="210" spans="1:5" ht="24" thickBot="1" x14ac:dyDescent="0.3">
      <c r="A210" s="464">
        <f>C208+A208</f>
        <v>22020</v>
      </c>
      <c r="B210" s="465"/>
      <c r="C210" s="81"/>
      <c r="D210" s="82"/>
      <c r="E210" s="83"/>
    </row>
    <row r="211" spans="1:5" ht="24" thickBot="1" x14ac:dyDescent="0.3">
      <c r="A211" s="466" t="s">
        <v>99</v>
      </c>
      <c r="B211" s="467"/>
      <c r="C211" s="78">
        <f>A212-C212</f>
        <v>190</v>
      </c>
      <c r="D211" s="82"/>
      <c r="E211" s="83"/>
    </row>
    <row r="212" spans="1:5" ht="24" thickBot="1" x14ac:dyDescent="0.3">
      <c r="A212" s="468">
        <f>C210+A210</f>
        <v>22020</v>
      </c>
      <c r="B212" s="469"/>
      <c r="C212" s="121">
        <v>21830</v>
      </c>
      <c r="D212" s="82" t="s">
        <v>164</v>
      </c>
      <c r="E212" s="83">
        <f>SUM(E208:E211)</f>
        <v>923</v>
      </c>
    </row>
    <row r="213" spans="1:5" ht="24" thickBot="1" x14ac:dyDescent="0.3">
      <c r="A213"/>
      <c r="B213"/>
      <c r="C213" s="314" t="str">
        <f>IF(C211&gt;0,"زيادة","عجز")</f>
        <v>زيادة</v>
      </c>
    </row>
    <row r="214" spans="1:5" ht="15.75" thickBot="1" x14ac:dyDescent="0.3">
      <c r="A214"/>
      <c r="B214"/>
    </row>
    <row r="215" spans="1:5" ht="24" thickBot="1" x14ac:dyDescent="0.3">
      <c r="A215" s="76" t="s">
        <v>85</v>
      </c>
      <c r="B215" s="460">
        <v>45117</v>
      </c>
      <c r="C215" s="474"/>
      <c r="D215" s="194" t="s">
        <v>564</v>
      </c>
    </row>
    <row r="216" spans="1:5" ht="21" thickBot="1" x14ac:dyDescent="0.3">
      <c r="A216" s="53" t="s">
        <v>137</v>
      </c>
      <c r="B216" s="53" t="s">
        <v>138</v>
      </c>
      <c r="C216" s="53" t="s">
        <v>3</v>
      </c>
    </row>
    <row r="217" spans="1:5" ht="18" x14ac:dyDescent="0.25">
      <c r="A217" s="55">
        <f>5000+3950+205</f>
        <v>9155</v>
      </c>
      <c r="B217" s="57" t="s">
        <v>580</v>
      </c>
      <c r="C217" s="193">
        <v>1363</v>
      </c>
    </row>
    <row r="218" spans="1:5" ht="18" x14ac:dyDescent="0.25">
      <c r="A218" s="60"/>
      <c r="B218" s="94" t="s">
        <v>602</v>
      </c>
      <c r="C218" s="63">
        <v>160</v>
      </c>
    </row>
    <row r="219" spans="1:5" ht="18" x14ac:dyDescent="0.25">
      <c r="A219" s="60"/>
      <c r="B219" s="94" t="s">
        <v>552</v>
      </c>
      <c r="C219" s="63">
        <v>110</v>
      </c>
    </row>
    <row r="220" spans="1:5" ht="18" x14ac:dyDescent="0.25">
      <c r="A220" s="60"/>
      <c r="B220" s="94" t="s">
        <v>603</v>
      </c>
      <c r="C220" s="63">
        <v>260</v>
      </c>
    </row>
    <row r="221" spans="1:5" ht="18" x14ac:dyDescent="0.25">
      <c r="A221" s="60"/>
      <c r="B221" s="94" t="s">
        <v>32</v>
      </c>
      <c r="C221" s="63">
        <v>135</v>
      </c>
    </row>
    <row r="222" spans="1:5" ht="18.75" thickBot="1" x14ac:dyDescent="0.3">
      <c r="A222" s="60"/>
      <c r="B222" s="94" t="s">
        <v>604</v>
      </c>
      <c r="C222" s="63">
        <v>6</v>
      </c>
    </row>
    <row r="223" spans="1:5" ht="24" thickBot="1" x14ac:dyDescent="0.3">
      <c r="A223" s="60"/>
      <c r="B223" s="94"/>
      <c r="C223" s="56"/>
      <c r="D223" s="134" t="s">
        <v>43</v>
      </c>
      <c r="E223" s="99">
        <f>E229-E224</f>
        <v>0</v>
      </c>
    </row>
    <row r="224" spans="1:5" ht="21.75" thickBot="1" x14ac:dyDescent="0.3">
      <c r="A224" s="66"/>
      <c r="B224" s="64"/>
      <c r="C224" s="67"/>
      <c r="D224" s="135" t="s">
        <v>94</v>
      </c>
      <c r="E224" s="85"/>
    </row>
    <row r="225" spans="1:5" ht="21.75" thickBot="1" x14ac:dyDescent="0.3">
      <c r="A225" s="68">
        <f>SUM(A217:A224)</f>
        <v>9155</v>
      </c>
      <c r="C225" s="69">
        <f>SUM(C217:C224)</f>
        <v>2034</v>
      </c>
      <c r="D225" s="136" t="s">
        <v>65</v>
      </c>
      <c r="E225" s="83"/>
    </row>
    <row r="226" spans="1:5" ht="19.5" thickBot="1" x14ac:dyDescent="0.3">
      <c r="A226" s="462" t="s">
        <v>139</v>
      </c>
      <c r="B226" s="463"/>
      <c r="C226" s="71" t="s">
        <v>75</v>
      </c>
      <c r="D226" s="82" t="s">
        <v>54</v>
      </c>
      <c r="E226" s="83"/>
    </row>
    <row r="227" spans="1:5" ht="24" thickBot="1" x14ac:dyDescent="0.3">
      <c r="A227" s="464">
        <f>C225+A225</f>
        <v>11189</v>
      </c>
      <c r="B227" s="465"/>
      <c r="C227" s="81">
        <f>590+16</f>
        <v>606</v>
      </c>
      <c r="D227" s="82"/>
      <c r="E227" s="83"/>
    </row>
    <row r="228" spans="1:5" ht="24" thickBot="1" x14ac:dyDescent="0.3">
      <c r="A228" s="466" t="s">
        <v>99</v>
      </c>
      <c r="B228" s="467"/>
      <c r="C228" s="78">
        <f>A229-C229</f>
        <v>139</v>
      </c>
      <c r="D228" s="82"/>
      <c r="E228" s="83"/>
    </row>
    <row r="229" spans="1:5" ht="24" thickBot="1" x14ac:dyDescent="0.3">
      <c r="A229" s="468">
        <f>C227+A227</f>
        <v>11795</v>
      </c>
      <c r="B229" s="469"/>
      <c r="C229" s="121">
        <v>11656</v>
      </c>
      <c r="D229" s="82" t="s">
        <v>164</v>
      </c>
      <c r="E229" s="83">
        <f>SUM(E225:E228)</f>
        <v>0</v>
      </c>
    </row>
    <row r="230" spans="1:5" ht="24" thickBot="1" x14ac:dyDescent="0.3">
      <c r="A230"/>
      <c r="B230"/>
      <c r="C230" s="314" t="str">
        <f>IF(C228&gt;0,"زيادة","عجز")</f>
        <v>زيادة</v>
      </c>
    </row>
    <row r="231" spans="1:5" ht="15.75" thickBot="1" x14ac:dyDescent="0.3">
      <c r="A231"/>
      <c r="B231"/>
    </row>
    <row r="232" spans="1:5" ht="24" thickBot="1" x14ac:dyDescent="0.3">
      <c r="A232" s="76" t="s">
        <v>60</v>
      </c>
      <c r="B232" s="460">
        <v>45117</v>
      </c>
      <c r="C232" s="474"/>
      <c r="D232" s="194" t="s">
        <v>564</v>
      </c>
    </row>
    <row r="233" spans="1:5" ht="21" thickBot="1" x14ac:dyDescent="0.3">
      <c r="A233" s="53" t="s">
        <v>137</v>
      </c>
      <c r="B233" s="53" t="s">
        <v>138</v>
      </c>
      <c r="C233" s="53" t="s">
        <v>3</v>
      </c>
    </row>
    <row r="234" spans="1:5" ht="18" x14ac:dyDescent="0.25">
      <c r="A234" s="55">
        <f>5000+1100+135-500</f>
        <v>5735</v>
      </c>
      <c r="B234" s="57" t="s">
        <v>27</v>
      </c>
      <c r="C234" s="193">
        <v>390</v>
      </c>
    </row>
    <row r="235" spans="1:5" ht="18" x14ac:dyDescent="0.25">
      <c r="A235" s="60"/>
      <c r="B235" s="57" t="s">
        <v>27</v>
      </c>
      <c r="C235" s="63">
        <v>495</v>
      </c>
    </row>
    <row r="236" spans="1:5" ht="18" x14ac:dyDescent="0.25">
      <c r="A236" s="60"/>
      <c r="B236" s="94"/>
      <c r="C236" s="63"/>
    </row>
    <row r="237" spans="1:5" ht="18" x14ac:dyDescent="0.25">
      <c r="A237" s="60"/>
      <c r="B237" s="94"/>
      <c r="C237" s="63"/>
    </row>
    <row r="238" spans="1:5" ht="18" x14ac:dyDescent="0.25">
      <c r="A238" s="60"/>
      <c r="B238" s="94"/>
      <c r="C238" s="63"/>
    </row>
    <row r="239" spans="1:5" ht="18.75" thickBot="1" x14ac:dyDescent="0.3">
      <c r="A239" s="60"/>
      <c r="B239" s="94"/>
      <c r="C239" s="63"/>
    </row>
    <row r="240" spans="1:5" ht="24" thickBot="1" x14ac:dyDescent="0.3">
      <c r="A240" s="60"/>
      <c r="B240" s="94"/>
      <c r="C240" s="56"/>
      <c r="D240" s="134" t="s">
        <v>43</v>
      </c>
      <c r="E240" s="99">
        <f>E246-E241</f>
        <v>0</v>
      </c>
    </row>
    <row r="241" spans="1:5" ht="21.75" thickBot="1" x14ac:dyDescent="0.3">
      <c r="A241" s="66"/>
      <c r="B241" s="64"/>
      <c r="C241" s="67"/>
      <c r="D241" s="135" t="s">
        <v>94</v>
      </c>
      <c r="E241" s="85"/>
    </row>
    <row r="242" spans="1:5" ht="21.75" thickBot="1" x14ac:dyDescent="0.3">
      <c r="A242" s="68">
        <f>SUM(A234:A241)</f>
        <v>5735</v>
      </c>
      <c r="C242" s="69">
        <f>SUM(C234:C241)</f>
        <v>885</v>
      </c>
      <c r="D242" s="136" t="s">
        <v>65</v>
      </c>
      <c r="E242" s="83"/>
    </row>
    <row r="243" spans="1:5" ht="19.5" thickBot="1" x14ac:dyDescent="0.3">
      <c r="A243" s="462" t="s">
        <v>139</v>
      </c>
      <c r="B243" s="463"/>
      <c r="C243" s="71" t="s">
        <v>75</v>
      </c>
      <c r="D243" s="82" t="s">
        <v>54</v>
      </c>
      <c r="E243" s="83"/>
    </row>
    <row r="244" spans="1:5" ht="24" thickBot="1" x14ac:dyDescent="0.3">
      <c r="A244" s="464">
        <f>C242+A242</f>
        <v>6620</v>
      </c>
      <c r="B244" s="465"/>
      <c r="C244" s="81"/>
      <c r="D244" s="82"/>
      <c r="E244" s="83"/>
    </row>
    <row r="245" spans="1:5" ht="24" thickBot="1" x14ac:dyDescent="0.3">
      <c r="A245" s="466" t="s">
        <v>99</v>
      </c>
      <c r="B245" s="467"/>
      <c r="C245" s="78">
        <f>A246-C246</f>
        <v>9</v>
      </c>
      <c r="D245" s="82"/>
      <c r="E245" s="83"/>
    </row>
    <row r="246" spans="1:5" ht="24" thickBot="1" x14ac:dyDescent="0.3">
      <c r="A246" s="468">
        <f>C244+A244</f>
        <v>6620</v>
      </c>
      <c r="B246" s="469"/>
      <c r="C246" s="121">
        <v>6611</v>
      </c>
      <c r="D246" s="82" t="s">
        <v>164</v>
      </c>
      <c r="E246" s="83">
        <f>SUM(E242:E245)</f>
        <v>0</v>
      </c>
    </row>
    <row r="247" spans="1:5" ht="24" thickBot="1" x14ac:dyDescent="0.3">
      <c r="A247"/>
      <c r="B247"/>
      <c r="C247" s="314" t="str">
        <f>IF(C245&gt;0,"زيادة","عجز")</f>
        <v>زيادة</v>
      </c>
    </row>
    <row r="248" spans="1:5" x14ac:dyDescent="0.25">
      <c r="A248"/>
      <c r="B248"/>
    </row>
    <row r="249" spans="1:5" x14ac:dyDescent="0.25">
      <c r="A249"/>
      <c r="B249"/>
    </row>
    <row r="250" spans="1:5" x14ac:dyDescent="0.25">
      <c r="A250"/>
      <c r="B250"/>
    </row>
    <row r="251" spans="1:5" x14ac:dyDescent="0.25">
      <c r="A251"/>
      <c r="B251"/>
    </row>
    <row r="252" spans="1:5" x14ac:dyDescent="0.25">
      <c r="A252"/>
    </row>
    <row r="253" spans="1:5" x14ac:dyDescent="0.25">
      <c r="A253"/>
    </row>
    <row r="254" spans="1:5" x14ac:dyDescent="0.25">
      <c r="A254"/>
      <c r="B254" t="s">
        <v>569</v>
      </c>
    </row>
    <row r="255" spans="1:5" x14ac:dyDescent="0.25">
      <c r="A255"/>
      <c r="B255" t="s">
        <v>31</v>
      </c>
      <c r="C255">
        <v>5</v>
      </c>
    </row>
    <row r="256" spans="1:5" x14ac:dyDescent="0.25">
      <c r="A256"/>
      <c r="B256" t="s">
        <v>357</v>
      </c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6" x14ac:dyDescent="0.25">
      <c r="A305"/>
      <c r="B305"/>
    </row>
    <row r="306" spans="1:6" x14ac:dyDescent="0.25">
      <c r="A306"/>
      <c r="B306"/>
    </row>
    <row r="307" spans="1:6" x14ac:dyDescent="0.25">
      <c r="A307"/>
      <c r="B307"/>
    </row>
    <row r="308" spans="1:6" x14ac:dyDescent="0.25">
      <c r="A308"/>
      <c r="B308"/>
    </row>
    <row r="309" spans="1:6" x14ac:dyDescent="0.25">
      <c r="A309"/>
      <c r="B309"/>
    </row>
    <row r="310" spans="1:6" x14ac:dyDescent="0.25">
      <c r="A310"/>
      <c r="B310"/>
    </row>
    <row r="311" spans="1:6" x14ac:dyDescent="0.25">
      <c r="A311"/>
      <c r="B311"/>
    </row>
    <row r="312" spans="1:6" x14ac:dyDescent="0.25">
      <c r="A312"/>
      <c r="B312"/>
    </row>
    <row r="313" spans="1:6" x14ac:dyDescent="0.25">
      <c r="A313"/>
      <c r="B313"/>
    </row>
    <row r="314" spans="1:6" x14ac:dyDescent="0.25">
      <c r="A314"/>
      <c r="B314"/>
    </row>
    <row r="315" spans="1:6" x14ac:dyDescent="0.25">
      <c r="A315"/>
      <c r="B315"/>
    </row>
    <row r="316" spans="1:6" x14ac:dyDescent="0.25">
      <c r="A316"/>
      <c r="B316"/>
    </row>
    <row r="317" spans="1:6" x14ac:dyDescent="0.25">
      <c r="A317"/>
      <c r="B317"/>
      <c r="F317">
        <f>2778+2841-2043-2544</f>
        <v>1032</v>
      </c>
    </row>
    <row r="318" spans="1:6" x14ac:dyDescent="0.25">
      <c r="A318"/>
      <c r="B318"/>
      <c r="F318">
        <v>920</v>
      </c>
    </row>
    <row r="319" spans="1:6" x14ac:dyDescent="0.25">
      <c r="A319"/>
      <c r="B319"/>
    </row>
    <row r="320" spans="1:6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7" x14ac:dyDescent="0.25">
      <c r="A337"/>
      <c r="B337"/>
      <c r="G337" t="e">
        <f>#REF!-#REF!</f>
        <v>#REF!</v>
      </c>
    </row>
    <row r="338" spans="1:7" x14ac:dyDescent="0.25">
      <c r="A338"/>
      <c r="B338"/>
    </row>
    <row r="339" spans="1:7" x14ac:dyDescent="0.25">
      <c r="A339"/>
      <c r="B339"/>
    </row>
    <row r="340" spans="1:7" x14ac:dyDescent="0.25">
      <c r="A340"/>
      <c r="B340"/>
    </row>
    <row r="341" spans="1:7" x14ac:dyDescent="0.25">
      <c r="A341"/>
      <c r="B341"/>
    </row>
    <row r="342" spans="1:7" x14ac:dyDescent="0.25">
      <c r="A342"/>
      <c r="B342"/>
    </row>
    <row r="343" spans="1:7" x14ac:dyDescent="0.25">
      <c r="A343"/>
      <c r="B343"/>
    </row>
    <row r="344" spans="1:7" x14ac:dyDescent="0.25">
      <c r="A344"/>
      <c r="B344"/>
    </row>
    <row r="345" spans="1:7" x14ac:dyDescent="0.25">
      <c r="A345"/>
      <c r="B345"/>
    </row>
    <row r="346" spans="1:7" x14ac:dyDescent="0.25">
      <c r="A346"/>
      <c r="B346"/>
    </row>
    <row r="347" spans="1:7" x14ac:dyDescent="0.25">
      <c r="A347"/>
      <c r="B347"/>
    </row>
    <row r="348" spans="1:7" x14ac:dyDescent="0.25">
      <c r="A348"/>
      <c r="B348"/>
    </row>
    <row r="349" spans="1:7" x14ac:dyDescent="0.25">
      <c r="A349"/>
      <c r="B349"/>
    </row>
    <row r="350" spans="1:7" x14ac:dyDescent="0.25">
      <c r="A350"/>
      <c r="B350"/>
    </row>
    <row r="351" spans="1:7" x14ac:dyDescent="0.25">
      <c r="A351"/>
      <c r="B351"/>
    </row>
    <row r="352" spans="1:7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</sheetData>
  <mergeCells count="40">
    <mergeCell ref="B101:C101"/>
    <mergeCell ref="A113:B113"/>
    <mergeCell ref="A114:B114"/>
    <mergeCell ref="A115:B115"/>
    <mergeCell ref="A116:B116"/>
    <mergeCell ref="B119:C119"/>
    <mergeCell ref="A133:B133"/>
    <mergeCell ref="A134:B134"/>
    <mergeCell ref="A135:B135"/>
    <mergeCell ref="A136:B136"/>
    <mergeCell ref="B139:C139"/>
    <mergeCell ref="A145:B145"/>
    <mergeCell ref="A146:B146"/>
    <mergeCell ref="A147:B147"/>
    <mergeCell ref="A148:B148"/>
    <mergeCell ref="B151:C151"/>
    <mergeCell ref="A172:B172"/>
    <mergeCell ref="A173:B173"/>
    <mergeCell ref="A174:B174"/>
    <mergeCell ref="A175:B175"/>
    <mergeCell ref="B177:C177"/>
    <mergeCell ref="A193:B193"/>
    <mergeCell ref="A194:B194"/>
    <mergeCell ref="A195:B195"/>
    <mergeCell ref="A196:B196"/>
    <mergeCell ref="B198:C198"/>
    <mergeCell ref="A209:B209"/>
    <mergeCell ref="A210:B210"/>
    <mergeCell ref="A211:B211"/>
    <mergeCell ref="A212:B212"/>
    <mergeCell ref="B215:C215"/>
    <mergeCell ref="A226:B226"/>
    <mergeCell ref="A227:B227"/>
    <mergeCell ref="A228:B228"/>
    <mergeCell ref="A229:B229"/>
    <mergeCell ref="B232:C232"/>
    <mergeCell ref="A243:B243"/>
    <mergeCell ref="A244:B244"/>
    <mergeCell ref="A245:B245"/>
    <mergeCell ref="A246:B246"/>
  </mergeCells>
  <conditionalFormatting sqref="C117 C137">
    <cfRule type="expression" dxfId="81" priority="13">
      <formula>C117="عجز"</formula>
    </cfRule>
    <cfRule type="expression" dxfId="80" priority="14">
      <formula>C117="زيادة"</formula>
    </cfRule>
  </conditionalFormatting>
  <conditionalFormatting sqref="C149">
    <cfRule type="expression" dxfId="79" priority="11">
      <formula>C149="عجز"</formula>
    </cfRule>
    <cfRule type="expression" dxfId="78" priority="12">
      <formula>C149="زيادة"</formula>
    </cfRule>
  </conditionalFormatting>
  <conditionalFormatting sqref="C176">
    <cfRule type="expression" dxfId="77" priority="9">
      <formula>C176="عجز"</formula>
    </cfRule>
    <cfRule type="expression" dxfId="76" priority="10">
      <formula>C176="زيادة"</formula>
    </cfRule>
  </conditionalFormatting>
  <conditionalFormatting sqref="C197">
    <cfRule type="expression" dxfId="75" priority="7">
      <formula>C197="عجز"</formula>
    </cfRule>
    <cfRule type="expression" dxfId="74" priority="8">
      <formula>C197="زيادة"</formula>
    </cfRule>
  </conditionalFormatting>
  <conditionalFormatting sqref="C213">
    <cfRule type="expression" dxfId="73" priority="5">
      <formula>C213="عجز"</formula>
    </cfRule>
    <cfRule type="expression" dxfId="72" priority="6">
      <formula>C213="زيادة"</formula>
    </cfRule>
  </conditionalFormatting>
  <conditionalFormatting sqref="C230">
    <cfRule type="expression" dxfId="71" priority="3">
      <formula>C230="عجز"</formula>
    </cfRule>
    <cfRule type="expression" dxfId="70" priority="4">
      <formula>C230="زيادة"</formula>
    </cfRule>
  </conditionalFormatting>
  <conditionalFormatting sqref="C247">
    <cfRule type="expression" dxfId="69" priority="1">
      <formula>C247="عجز"</formula>
    </cfRule>
    <cfRule type="expression" dxfId="68" priority="2">
      <formula>C247="زيادة"</formula>
    </cfRule>
  </conditionalFormatting>
  <hyperlinks>
    <hyperlink ref="D101" location="'10-7-2023'!A5" display="UP" xr:uid="{50DA6D5B-2441-4866-BF7B-E3B33B1385AF}"/>
    <hyperlink ref="A4" location="'10-7-2023'!A76" display="عمر" xr:uid="{6878FAAD-6F37-4099-8D6E-13743F79B723}"/>
    <hyperlink ref="D119" location="'10-7-2023'!A6" display="UP" xr:uid="{7ECDD5B5-AE0B-4696-BE25-1E9E34E8E4EF}"/>
    <hyperlink ref="A6" location="'10-7-2023'!A76" display="العدوي" xr:uid="{1484F802-713B-465D-9B8D-A82A1EDD21E5}"/>
    <hyperlink ref="D139" location="'10-7-2023'!A13" display="UP" xr:uid="{5514E4A5-CE03-4D70-A88B-9C198B2F32F6}"/>
    <hyperlink ref="A13" location="'10-7-2023'!A95" display="محمود" xr:uid="{BCF68419-7141-4A3D-8B80-7B19D4FEC286}"/>
    <hyperlink ref="D151" location="'10-7-2023'!A14" display="UP" xr:uid="{F2A6D92D-2ABF-4FDF-A640-AB7D8F434827}"/>
    <hyperlink ref="A14" location="'10-7-2023'!A115" display="'10-7-2023'!A115" xr:uid="{C302BB66-61C8-415D-B794-5BA8FFE4CB94}"/>
    <hyperlink ref="D177" location="'10-7-2023'!A14" display="UP" xr:uid="{D8F6F53D-9397-4971-AD96-C78D9B981F2A}"/>
    <hyperlink ref="A17" location="'10-7-2023'!A176" display="عادل" xr:uid="{C319FA6A-EB54-4D12-803F-42A9744BABC3}"/>
    <hyperlink ref="D198" location="'10-7-2023'!A14" display="UP" xr:uid="{853808BE-6E27-43DF-B887-3F3ADA0BC671}"/>
    <hyperlink ref="A20" location="'10-7-2023'!A198" display="'10-7-2023'!A198" xr:uid="{02B56676-B575-4E92-9CF6-3D9EC13C4343}"/>
    <hyperlink ref="D215" location="'10-7-2023'!A14" display="UP" xr:uid="{D4D0DE67-2393-4129-9DD6-5B1E43808487}"/>
    <hyperlink ref="D232" location="'10-7-2023'!A14" display="UP" xr:uid="{BB1FA842-91AB-4E9D-8208-6A0D884C841E}"/>
  </hyperlinks>
  <pageMargins left="0.7" right="0.7" top="0.75" bottom="0.75" header="0.3" footer="0.3"/>
  <pageSetup paperSize="260" orientation="portrait" horizontalDpi="203" verticalDpi="20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7D6BDD-8557-460A-A156-77647BDF6820}">
          <x14:formula1>
            <xm:f>'12-7-2023'!$D$113:$D$124</xm:f>
          </x14:formula1>
          <xm:sqref>B254:B259</xm:sqref>
        </x14:dataValidation>
        <x14:dataValidation type="list" allowBlank="1" showInputMessage="1" showErrorMessage="1" xr:uid="{E8C121ED-75C0-4011-9ED9-7F4C6AA52945}">
          <x14:formula1>
            <xm:f>data!$A$57:$A$70</xm:f>
          </x14:formula1>
          <xm:sqref>C91:C97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1ACF1-525D-42D5-8E44-9F752F205CAC}">
  <sheetPr codeName="Sheet23"/>
  <dimension ref="A1:H487"/>
  <sheetViews>
    <sheetView rightToLeft="1" topLeftCell="A101" zoomScale="115" zoomScaleNormal="115" workbookViewId="0">
      <selection activeCell="C259" sqref="C259"/>
    </sheetView>
  </sheetViews>
  <sheetFormatPr defaultRowHeight="15" x14ac:dyDescent="0.25"/>
  <cols>
    <col min="1" max="1" width="32.85546875" style="9" bestFit="1" customWidth="1"/>
    <col min="2" max="2" width="23.42578125" style="10" customWidth="1"/>
    <col min="3" max="3" width="50" bestFit="1" customWidth="1"/>
    <col min="4" max="4" width="21" customWidth="1"/>
    <col min="5" max="5" width="24.140625" customWidth="1"/>
    <col min="6" max="6" width="6.7109375" bestFit="1" customWidth="1"/>
    <col min="7" max="7" width="45.85546875" customWidth="1"/>
    <col min="8" max="8" width="14.5703125" customWidth="1"/>
    <col min="9" max="9" width="10.7109375" customWidth="1"/>
  </cols>
  <sheetData>
    <row r="1" spans="1:5" ht="18.75" x14ac:dyDescent="0.3">
      <c r="A1" s="1" t="s">
        <v>0</v>
      </c>
      <c r="B1" s="2">
        <v>45118</v>
      </c>
      <c r="C1" s="3"/>
      <c r="D1" s="3"/>
    </row>
    <row r="2" spans="1:5" x14ac:dyDescent="0.25">
      <c r="A2" s="4" t="s">
        <v>1</v>
      </c>
      <c r="B2" s="5" t="s">
        <v>2</v>
      </c>
      <c r="C2" s="5" t="s">
        <v>3</v>
      </c>
      <c r="D2" s="6" t="s">
        <v>4</v>
      </c>
      <c r="E2" s="5" t="s">
        <v>5</v>
      </c>
    </row>
    <row r="3" spans="1:5" x14ac:dyDescent="0.25">
      <c r="A3" s="19" t="s">
        <v>48</v>
      </c>
      <c r="B3" s="31">
        <f>5000+500+6000+5000+5000+500+5000+1500+5000</f>
        <v>33500</v>
      </c>
      <c r="C3" s="90" t="s">
        <v>57</v>
      </c>
      <c r="D3" s="21">
        <v>3175</v>
      </c>
      <c r="E3" s="122"/>
    </row>
    <row r="4" spans="1:5" x14ac:dyDescent="0.25">
      <c r="A4" s="20" t="s">
        <v>9</v>
      </c>
      <c r="B4" s="22">
        <v>13330</v>
      </c>
      <c r="C4" s="90" t="s">
        <v>605</v>
      </c>
      <c r="D4" s="21">
        <v>710</v>
      </c>
      <c r="E4" s="123"/>
    </row>
    <row r="5" spans="1:5" x14ac:dyDescent="0.25">
      <c r="A5" s="20" t="s">
        <v>28</v>
      </c>
      <c r="B5" s="22">
        <v>396</v>
      </c>
      <c r="C5" s="90" t="s">
        <v>33</v>
      </c>
      <c r="D5" s="21">
        <v>55</v>
      </c>
      <c r="E5" s="123"/>
    </row>
    <row r="6" spans="1:5" x14ac:dyDescent="0.25">
      <c r="A6" s="20" t="s">
        <v>609</v>
      </c>
      <c r="B6" s="22">
        <v>5</v>
      </c>
      <c r="C6" s="90" t="s">
        <v>27</v>
      </c>
      <c r="D6" s="21">
        <v>2000</v>
      </c>
      <c r="E6" s="123"/>
    </row>
    <row r="7" spans="1:5" x14ac:dyDescent="0.25">
      <c r="A7" s="20" t="s">
        <v>610</v>
      </c>
      <c r="B7" s="22">
        <v>760</v>
      </c>
      <c r="C7" s="20" t="s">
        <v>33</v>
      </c>
      <c r="D7" s="21">
        <v>50</v>
      </c>
      <c r="E7" s="123"/>
    </row>
    <row r="8" spans="1:5" x14ac:dyDescent="0.25">
      <c r="A8" s="20" t="s">
        <v>80</v>
      </c>
      <c r="B8" s="21">
        <v>12640</v>
      </c>
      <c r="C8" s="20" t="s">
        <v>8</v>
      </c>
      <c r="D8" s="91">
        <v>270</v>
      </c>
      <c r="E8" s="123"/>
    </row>
    <row r="9" spans="1:5" x14ac:dyDescent="0.25">
      <c r="A9" s="20" t="s">
        <v>615</v>
      </c>
      <c r="B9" s="21">
        <v>477</v>
      </c>
      <c r="C9" s="90" t="s">
        <v>10</v>
      </c>
      <c r="D9" s="96">
        <v>100</v>
      </c>
      <c r="E9" s="124"/>
    </row>
    <row r="10" spans="1:5" x14ac:dyDescent="0.25">
      <c r="A10" s="20" t="s">
        <v>610</v>
      </c>
      <c r="B10" s="21">
        <v>170</v>
      </c>
      <c r="C10" s="20" t="s">
        <v>56</v>
      </c>
      <c r="D10" s="96">
        <v>3990</v>
      </c>
      <c r="E10" s="124"/>
    </row>
    <row r="11" spans="1:5" x14ac:dyDescent="0.25">
      <c r="A11" s="20" t="s">
        <v>610</v>
      </c>
      <c r="B11" s="21">
        <v>110</v>
      </c>
      <c r="C11" s="20" t="s">
        <v>606</v>
      </c>
      <c r="D11" s="96">
        <v>1145</v>
      </c>
      <c r="E11" s="124"/>
    </row>
    <row r="12" spans="1:5" x14ac:dyDescent="0.25">
      <c r="A12" s="20"/>
      <c r="B12" s="22"/>
      <c r="C12" s="20" t="s">
        <v>37</v>
      </c>
      <c r="D12" s="96">
        <v>585</v>
      </c>
      <c r="E12" s="125"/>
    </row>
    <row r="13" spans="1:5" ht="18" x14ac:dyDescent="0.25">
      <c r="A13" s="20" t="s">
        <v>625</v>
      </c>
      <c r="B13" s="96">
        <v>2065</v>
      </c>
      <c r="C13" s="20" t="s">
        <v>608</v>
      </c>
      <c r="D13" s="96">
        <v>6300</v>
      </c>
      <c r="E13" s="77"/>
    </row>
    <row r="14" spans="1:5" ht="18" x14ac:dyDescent="0.25">
      <c r="A14" s="20" t="s">
        <v>363</v>
      </c>
      <c r="B14" s="96">
        <v>21345</v>
      </c>
      <c r="C14" s="20" t="s">
        <v>393</v>
      </c>
      <c r="D14" s="96">
        <v>120</v>
      </c>
      <c r="E14" s="77"/>
    </row>
    <row r="15" spans="1:5" ht="18" x14ac:dyDescent="0.25">
      <c r="A15" s="20" t="s">
        <v>601</v>
      </c>
      <c r="B15" s="96">
        <v>1625</v>
      </c>
      <c r="C15" s="41" t="s">
        <v>34</v>
      </c>
      <c r="D15" s="32">
        <v>360</v>
      </c>
      <c r="E15" s="56"/>
    </row>
    <row r="16" spans="1:5" ht="18" x14ac:dyDescent="0.25">
      <c r="A16" s="20" t="s">
        <v>300</v>
      </c>
      <c r="B16" s="20">
        <v>5135</v>
      </c>
      <c r="C16" s="41" t="s">
        <v>611</v>
      </c>
      <c r="D16" s="32">
        <v>500</v>
      </c>
      <c r="E16" s="56"/>
    </row>
    <row r="17" spans="1:8" ht="18" x14ac:dyDescent="0.25">
      <c r="A17" s="20" t="s">
        <v>636</v>
      </c>
      <c r="B17" s="96">
        <v>72</v>
      </c>
      <c r="C17" s="41" t="s">
        <v>614</v>
      </c>
      <c r="D17" s="32">
        <v>1440</v>
      </c>
      <c r="E17" s="56"/>
    </row>
    <row r="18" spans="1:8" ht="18" x14ac:dyDescent="0.25">
      <c r="A18" s="20" t="s">
        <v>639</v>
      </c>
      <c r="B18" s="96">
        <v>200</v>
      </c>
      <c r="C18" s="41" t="s">
        <v>399</v>
      </c>
      <c r="D18" s="32">
        <v>215</v>
      </c>
      <c r="E18" s="56"/>
      <c r="G18" s="97"/>
    </row>
    <row r="19" spans="1:8" x14ac:dyDescent="0.25">
      <c r="A19" s="20" t="s">
        <v>121</v>
      </c>
      <c r="B19" s="96">
        <f>5000+1230</f>
        <v>6230</v>
      </c>
      <c r="C19" s="41" t="s">
        <v>7</v>
      </c>
      <c r="D19" s="32">
        <v>250</v>
      </c>
      <c r="E19" s="124"/>
      <c r="G19" s="97"/>
    </row>
    <row r="20" spans="1:8" x14ac:dyDescent="0.25">
      <c r="A20" s="20" t="s">
        <v>88</v>
      </c>
      <c r="B20" s="96">
        <v>16198</v>
      </c>
      <c r="C20" s="41" t="s">
        <v>612</v>
      </c>
      <c r="D20" s="32">
        <v>70</v>
      </c>
      <c r="E20" s="124"/>
      <c r="G20" s="97"/>
    </row>
    <row r="21" spans="1:8" x14ac:dyDescent="0.25">
      <c r="A21" s="20" t="s">
        <v>216</v>
      </c>
      <c r="B21" s="96">
        <v>810</v>
      </c>
      <c r="C21" s="41" t="s">
        <v>613</v>
      </c>
      <c r="D21" s="32">
        <v>280</v>
      </c>
      <c r="E21" s="124"/>
      <c r="G21" s="97"/>
    </row>
    <row r="22" spans="1:8" ht="15.75" x14ac:dyDescent="0.25">
      <c r="A22" s="20" t="s">
        <v>85</v>
      </c>
      <c r="B22" s="20">
        <v>17395</v>
      </c>
      <c r="C22" s="41" t="s">
        <v>27</v>
      </c>
      <c r="D22" s="32">
        <v>400</v>
      </c>
      <c r="E22" s="124"/>
      <c r="F22" s="15"/>
      <c r="G22" s="97"/>
    </row>
    <row r="23" spans="1:8" ht="15.75" x14ac:dyDescent="0.25">
      <c r="A23" s="20" t="s">
        <v>15</v>
      </c>
      <c r="B23" s="117">
        <v>18107</v>
      </c>
      <c r="C23" s="41" t="s">
        <v>63</v>
      </c>
      <c r="D23" s="32">
        <v>2025</v>
      </c>
      <c r="E23" s="128"/>
      <c r="F23" s="15"/>
      <c r="G23" s="97"/>
    </row>
    <row r="24" spans="1:8" ht="15.75" x14ac:dyDescent="0.25">
      <c r="A24" s="20" t="s">
        <v>90</v>
      </c>
      <c r="B24" s="117">
        <v>272</v>
      </c>
      <c r="C24" s="20" t="s">
        <v>616</v>
      </c>
      <c r="D24" s="32">
        <v>1000</v>
      </c>
      <c r="E24" s="128"/>
      <c r="F24" s="15"/>
      <c r="H24">
        <f>1000*23.5</f>
        <v>23500</v>
      </c>
    </row>
    <row r="25" spans="1:8" ht="15.75" x14ac:dyDescent="0.25">
      <c r="A25" s="20"/>
      <c r="B25" s="117"/>
      <c r="C25" s="20" t="s">
        <v>38</v>
      </c>
      <c r="D25" s="96">
        <v>125</v>
      </c>
      <c r="E25" s="128"/>
      <c r="F25" s="15"/>
      <c r="G25" s="97" t="s">
        <v>620</v>
      </c>
      <c r="H25">
        <f>50*228</f>
        <v>11400</v>
      </c>
    </row>
    <row r="26" spans="1:8" ht="15.75" x14ac:dyDescent="0.25">
      <c r="A26" s="20"/>
      <c r="B26" s="22"/>
      <c r="C26" s="93" t="s">
        <v>617</v>
      </c>
      <c r="D26" s="32">
        <v>1000</v>
      </c>
      <c r="E26" s="128"/>
      <c r="F26" s="15"/>
      <c r="G26" s="97"/>
      <c r="H26">
        <f>20*245</f>
        <v>4900</v>
      </c>
    </row>
    <row r="27" spans="1:8" ht="15.75" x14ac:dyDescent="0.25">
      <c r="A27" s="20"/>
      <c r="B27" s="117"/>
      <c r="C27" s="201" t="s">
        <v>618</v>
      </c>
      <c r="D27" s="32">
        <v>5680</v>
      </c>
      <c r="E27" s="124"/>
      <c r="F27" s="15"/>
      <c r="G27" s="97"/>
      <c r="H27">
        <f>SUM(H24:H26)</f>
        <v>39800</v>
      </c>
    </row>
    <row r="28" spans="1:8" ht="15.75" x14ac:dyDescent="0.25">
      <c r="A28" s="20"/>
      <c r="B28" s="117"/>
      <c r="C28" s="93" t="s">
        <v>619</v>
      </c>
      <c r="D28" s="32">
        <v>50</v>
      </c>
      <c r="E28" s="124"/>
      <c r="F28" s="15"/>
      <c r="G28" s="97"/>
    </row>
    <row r="29" spans="1:8" ht="15.75" x14ac:dyDescent="0.25">
      <c r="A29" s="20"/>
      <c r="B29" s="117"/>
      <c r="C29" s="93" t="s">
        <v>16</v>
      </c>
      <c r="D29" s="32">
        <v>6065</v>
      </c>
      <c r="E29" s="124"/>
      <c r="F29" s="15"/>
      <c r="G29" s="97"/>
    </row>
    <row r="30" spans="1:8" ht="15.75" x14ac:dyDescent="0.25">
      <c r="A30" s="20"/>
      <c r="B30" s="22"/>
      <c r="C30" s="41" t="s">
        <v>621</v>
      </c>
      <c r="D30" s="32">
        <v>2275</v>
      </c>
      <c r="E30" s="124"/>
      <c r="F30" s="15"/>
      <c r="G30" s="97"/>
    </row>
    <row r="31" spans="1:8" ht="15.75" x14ac:dyDescent="0.25">
      <c r="A31" s="20"/>
      <c r="B31" s="22"/>
      <c r="C31" s="41" t="s">
        <v>622</v>
      </c>
      <c r="D31" s="32">
        <f>2000</f>
        <v>2000</v>
      </c>
      <c r="E31" s="124"/>
      <c r="F31" s="15"/>
      <c r="G31" s="97"/>
    </row>
    <row r="32" spans="1:8" ht="15.75" x14ac:dyDescent="0.25">
      <c r="A32" s="20"/>
      <c r="B32" s="22"/>
      <c r="C32" s="93" t="s">
        <v>300</v>
      </c>
      <c r="D32" s="32">
        <v>80</v>
      </c>
      <c r="E32" s="124"/>
      <c r="F32" s="15"/>
      <c r="G32" s="97"/>
    </row>
    <row r="33" spans="1:7" ht="15.75" x14ac:dyDescent="0.25">
      <c r="A33" s="20"/>
      <c r="B33" s="22"/>
      <c r="C33" s="93" t="s">
        <v>623</v>
      </c>
      <c r="D33" s="32">
        <v>5000</v>
      </c>
      <c r="E33" s="124"/>
      <c r="F33" s="15"/>
      <c r="G33" s="97"/>
    </row>
    <row r="34" spans="1:7" ht="15.75" x14ac:dyDescent="0.25">
      <c r="A34" s="20"/>
      <c r="B34" s="22"/>
      <c r="C34" s="41" t="s">
        <v>43</v>
      </c>
      <c r="D34" s="32">
        <v>5000</v>
      </c>
      <c r="E34" s="124"/>
      <c r="F34" s="15"/>
      <c r="G34" s="97"/>
    </row>
    <row r="35" spans="1:7" ht="15.75" x14ac:dyDescent="0.25">
      <c r="A35" s="20"/>
      <c r="B35" s="22"/>
      <c r="C35" s="20" t="s">
        <v>624</v>
      </c>
      <c r="D35" s="32">
        <v>1185</v>
      </c>
      <c r="E35" s="124"/>
      <c r="F35" s="15"/>
    </row>
    <row r="36" spans="1:7" ht="15.75" x14ac:dyDescent="0.25">
      <c r="A36" s="20"/>
      <c r="B36" s="22"/>
      <c r="C36" s="20" t="s">
        <v>603</v>
      </c>
      <c r="D36" s="21">
        <v>530</v>
      </c>
      <c r="E36" s="124"/>
      <c r="F36" s="15"/>
    </row>
    <row r="37" spans="1:7" ht="15.75" x14ac:dyDescent="0.25">
      <c r="A37" s="20"/>
      <c r="B37" s="22"/>
      <c r="C37" s="20" t="s">
        <v>223</v>
      </c>
      <c r="D37" s="22">
        <v>90</v>
      </c>
      <c r="E37" s="124"/>
      <c r="F37" s="15"/>
    </row>
    <row r="38" spans="1:7" ht="15.75" x14ac:dyDescent="0.25">
      <c r="A38" s="20"/>
      <c r="B38" s="22"/>
      <c r="C38" s="20" t="s">
        <v>626</v>
      </c>
      <c r="D38" s="22">
        <v>1310</v>
      </c>
      <c r="E38" s="124"/>
      <c r="F38" s="15"/>
    </row>
    <row r="39" spans="1:7" ht="15.75" x14ac:dyDescent="0.25">
      <c r="A39" s="20"/>
      <c r="B39" s="22"/>
      <c r="C39" s="20" t="s">
        <v>627</v>
      </c>
      <c r="D39" s="22">
        <v>4000</v>
      </c>
      <c r="E39" s="124"/>
      <c r="F39" s="15"/>
    </row>
    <row r="40" spans="1:7" ht="15.75" x14ac:dyDescent="0.25">
      <c r="A40" s="20"/>
      <c r="B40" s="22"/>
      <c r="C40" s="20" t="s">
        <v>628</v>
      </c>
      <c r="D40" s="22">
        <v>70</v>
      </c>
      <c r="E40" s="124"/>
      <c r="F40" s="15"/>
    </row>
    <row r="41" spans="1:7" ht="15.75" x14ac:dyDescent="0.25">
      <c r="A41" s="20"/>
      <c r="B41" s="22"/>
      <c r="C41" s="20" t="s">
        <v>14</v>
      </c>
      <c r="D41" s="117">
        <v>1605</v>
      </c>
      <c r="E41" s="124"/>
      <c r="F41" s="15"/>
    </row>
    <row r="42" spans="1:7" ht="15.75" x14ac:dyDescent="0.25">
      <c r="A42" s="20"/>
      <c r="B42" s="22"/>
      <c r="C42" s="20" t="s">
        <v>630</v>
      </c>
      <c r="D42" s="22">
        <v>600</v>
      </c>
      <c r="E42" s="124"/>
      <c r="F42" s="15"/>
    </row>
    <row r="43" spans="1:7" ht="15.75" x14ac:dyDescent="0.25">
      <c r="A43" s="20"/>
      <c r="B43" s="22"/>
      <c r="C43" s="20" t="s">
        <v>376</v>
      </c>
      <c r="D43" s="22">
        <v>105</v>
      </c>
      <c r="E43" s="124"/>
      <c r="F43" s="15"/>
    </row>
    <row r="44" spans="1:7" ht="15.75" x14ac:dyDescent="0.25">
      <c r="A44" s="20"/>
      <c r="B44" s="22"/>
      <c r="C44" s="20" t="s">
        <v>629</v>
      </c>
      <c r="D44" s="22">
        <v>105</v>
      </c>
      <c r="E44" s="124"/>
      <c r="F44" s="15"/>
    </row>
    <row r="45" spans="1:7" ht="15.75" x14ac:dyDescent="0.25">
      <c r="A45" s="20"/>
      <c r="B45" s="22"/>
      <c r="C45" s="20" t="s">
        <v>27</v>
      </c>
      <c r="D45" s="22">
        <v>1980</v>
      </c>
      <c r="E45" s="124"/>
      <c r="F45" s="15"/>
    </row>
    <row r="46" spans="1:7" ht="15.75" x14ac:dyDescent="0.25">
      <c r="A46" s="20"/>
      <c r="B46" s="22"/>
      <c r="C46" s="20" t="s">
        <v>632</v>
      </c>
      <c r="D46" s="32">
        <v>10000</v>
      </c>
      <c r="E46" s="124"/>
      <c r="F46" s="15"/>
    </row>
    <row r="47" spans="1:7" ht="15.75" x14ac:dyDescent="0.25">
      <c r="A47" s="20"/>
      <c r="B47" s="22"/>
      <c r="C47" s="20" t="s">
        <v>228</v>
      </c>
      <c r="D47" s="22">
        <v>6950</v>
      </c>
      <c r="E47" s="124"/>
      <c r="F47" s="15"/>
    </row>
    <row r="48" spans="1:7" ht="15.75" x14ac:dyDescent="0.25">
      <c r="A48" s="20"/>
      <c r="B48" s="22"/>
      <c r="C48" s="20" t="s">
        <v>26</v>
      </c>
      <c r="D48" s="22">
        <v>70</v>
      </c>
      <c r="E48" s="124"/>
      <c r="F48" s="15"/>
    </row>
    <row r="49" spans="1:6" ht="15.75" x14ac:dyDescent="0.25">
      <c r="A49" s="20"/>
      <c r="B49" s="22"/>
      <c r="C49" s="20" t="s">
        <v>510</v>
      </c>
      <c r="D49" s="22">
        <v>80</v>
      </c>
      <c r="E49" s="124"/>
      <c r="F49" s="15"/>
    </row>
    <row r="50" spans="1:6" ht="15.75" x14ac:dyDescent="0.25">
      <c r="A50" s="20"/>
      <c r="B50" s="22"/>
      <c r="C50" s="20" t="s">
        <v>640</v>
      </c>
      <c r="D50" s="22">
        <v>210</v>
      </c>
      <c r="E50" s="124"/>
      <c r="F50" s="15"/>
    </row>
    <row r="51" spans="1:6" ht="15.75" x14ac:dyDescent="0.25">
      <c r="A51" s="20"/>
      <c r="B51" s="22"/>
      <c r="C51" s="20" t="s">
        <v>86</v>
      </c>
      <c r="D51" s="22">
        <v>196</v>
      </c>
      <c r="E51" s="124"/>
      <c r="F51" s="15"/>
    </row>
    <row r="52" spans="1:6" ht="15.75" x14ac:dyDescent="0.25">
      <c r="A52" s="20"/>
      <c r="B52" s="22"/>
      <c r="C52" s="20" t="s">
        <v>9</v>
      </c>
      <c r="D52" s="22">
        <v>100</v>
      </c>
      <c r="E52" s="124"/>
      <c r="F52" s="15"/>
    </row>
    <row r="53" spans="1:6" x14ac:dyDescent="0.25">
      <c r="A53" s="20"/>
      <c r="B53" s="22"/>
      <c r="C53" s="20" t="s">
        <v>255</v>
      </c>
      <c r="D53" s="22">
        <v>180</v>
      </c>
      <c r="E53" s="124"/>
    </row>
    <row r="54" spans="1:6" x14ac:dyDescent="0.25">
      <c r="A54" s="20"/>
      <c r="B54" s="22"/>
      <c r="C54" s="20" t="s">
        <v>458</v>
      </c>
      <c r="D54" s="22">
        <v>7</v>
      </c>
      <c r="E54" s="124"/>
    </row>
    <row r="55" spans="1:6" x14ac:dyDescent="0.25">
      <c r="A55" s="20"/>
      <c r="B55" s="22"/>
      <c r="C55" s="20" t="s">
        <v>27</v>
      </c>
      <c r="D55" s="22">
        <v>2970</v>
      </c>
      <c r="E55" s="124"/>
    </row>
    <row r="56" spans="1:6" x14ac:dyDescent="0.25">
      <c r="A56" s="20"/>
      <c r="B56" s="22"/>
      <c r="C56" s="20" t="s">
        <v>641</v>
      </c>
      <c r="D56" s="22">
        <v>175</v>
      </c>
      <c r="E56" s="124"/>
    </row>
    <row r="57" spans="1:6" x14ac:dyDescent="0.25">
      <c r="A57" s="20"/>
      <c r="B57" s="22"/>
      <c r="C57" s="20" t="s">
        <v>34</v>
      </c>
      <c r="D57" s="22">
        <v>300</v>
      </c>
      <c r="E57" s="124"/>
    </row>
    <row r="58" spans="1:6" x14ac:dyDescent="0.25">
      <c r="A58" s="20"/>
      <c r="B58" s="22"/>
      <c r="C58" s="20" t="s">
        <v>66</v>
      </c>
      <c r="D58" s="22">
        <v>825</v>
      </c>
      <c r="E58" s="124"/>
    </row>
    <row r="59" spans="1:6" x14ac:dyDescent="0.25">
      <c r="A59" s="20"/>
      <c r="B59" s="22"/>
      <c r="C59" s="20" t="s">
        <v>278</v>
      </c>
      <c r="D59" s="22">
        <v>400</v>
      </c>
      <c r="E59" s="124"/>
    </row>
    <row r="60" spans="1:6" x14ac:dyDescent="0.25">
      <c r="A60" s="20"/>
      <c r="B60" s="22"/>
      <c r="C60" s="20" t="s">
        <v>642</v>
      </c>
      <c r="D60" s="22">
        <v>90</v>
      </c>
      <c r="E60" s="124"/>
    </row>
    <row r="61" spans="1:6" x14ac:dyDescent="0.25">
      <c r="A61" s="20"/>
      <c r="B61" s="22"/>
      <c r="C61" s="20" t="s">
        <v>331</v>
      </c>
      <c r="D61" s="22">
        <v>525</v>
      </c>
      <c r="E61" s="124"/>
    </row>
    <row r="62" spans="1:6" x14ac:dyDescent="0.25">
      <c r="A62" s="20"/>
      <c r="B62" s="22"/>
      <c r="C62" s="20" t="s">
        <v>645</v>
      </c>
      <c r="D62" s="22">
        <v>2400</v>
      </c>
      <c r="E62" s="124"/>
    </row>
    <row r="63" spans="1:6" x14ac:dyDescent="0.25">
      <c r="A63" s="20"/>
      <c r="B63" s="22"/>
      <c r="C63" s="20" t="s">
        <v>214</v>
      </c>
      <c r="D63" s="22">
        <v>804</v>
      </c>
      <c r="E63" s="124"/>
    </row>
    <row r="64" spans="1:6" x14ac:dyDescent="0.25">
      <c r="A64" s="20"/>
      <c r="B64" s="22"/>
      <c r="C64" s="20" t="s">
        <v>339</v>
      </c>
      <c r="D64" s="22">
        <v>90</v>
      </c>
      <c r="E64" s="124"/>
    </row>
    <row r="65" spans="1:5" x14ac:dyDescent="0.25">
      <c r="A65" s="20"/>
      <c r="B65" s="22"/>
      <c r="C65" s="20" t="s">
        <v>29</v>
      </c>
      <c r="D65" s="22">
        <v>100</v>
      </c>
      <c r="E65" s="124"/>
    </row>
    <row r="66" spans="1:5" x14ac:dyDescent="0.25">
      <c r="A66" s="20"/>
      <c r="B66" s="22"/>
      <c r="C66" s="20" t="s">
        <v>458</v>
      </c>
      <c r="D66" s="22">
        <v>16</v>
      </c>
      <c r="E66" s="124"/>
    </row>
    <row r="67" spans="1:5" x14ac:dyDescent="0.25">
      <c r="A67" s="20"/>
      <c r="B67" s="22"/>
      <c r="C67" s="20" t="s">
        <v>646</v>
      </c>
      <c r="D67" s="22">
        <v>1205</v>
      </c>
      <c r="E67" s="124"/>
    </row>
    <row r="68" spans="1:5" x14ac:dyDescent="0.25">
      <c r="A68" s="20"/>
      <c r="B68" s="22"/>
      <c r="C68" s="20" t="s">
        <v>647</v>
      </c>
      <c r="D68" s="22">
        <v>3520</v>
      </c>
      <c r="E68" s="124"/>
    </row>
    <row r="69" spans="1:5" x14ac:dyDescent="0.25">
      <c r="A69" s="20"/>
      <c r="B69" s="22"/>
      <c r="C69" s="20" t="s">
        <v>648</v>
      </c>
      <c r="D69" s="22">
        <v>305</v>
      </c>
      <c r="E69" s="124"/>
    </row>
    <row r="70" spans="1:5" x14ac:dyDescent="0.25">
      <c r="A70" s="20"/>
      <c r="B70" s="22"/>
      <c r="C70" s="20" t="s">
        <v>649</v>
      </c>
      <c r="D70" s="22">
        <v>830</v>
      </c>
      <c r="E70" s="124"/>
    </row>
    <row r="71" spans="1:5" x14ac:dyDescent="0.25">
      <c r="A71" s="20"/>
      <c r="B71" s="22"/>
      <c r="C71" s="20" t="s">
        <v>86</v>
      </c>
      <c r="D71" s="22">
        <v>168</v>
      </c>
      <c r="E71" s="124"/>
    </row>
    <row r="72" spans="1:5" x14ac:dyDescent="0.25">
      <c r="A72" s="20"/>
      <c r="B72" s="22"/>
      <c r="C72" s="20" t="s">
        <v>15</v>
      </c>
      <c r="D72" s="22">
        <v>160</v>
      </c>
      <c r="E72" s="124"/>
    </row>
    <row r="73" spans="1:5" x14ac:dyDescent="0.25">
      <c r="A73" s="20"/>
      <c r="B73" s="22"/>
      <c r="C73" s="20" t="s">
        <v>494</v>
      </c>
      <c r="D73" s="22">
        <v>100</v>
      </c>
      <c r="E73" s="124"/>
    </row>
    <row r="74" spans="1:5" x14ac:dyDescent="0.25">
      <c r="A74" s="20"/>
      <c r="B74" s="22"/>
      <c r="C74" s="20" t="s">
        <v>45</v>
      </c>
      <c r="D74" s="22">
        <v>824</v>
      </c>
      <c r="E74" s="124"/>
    </row>
    <row r="75" spans="1:5" x14ac:dyDescent="0.25">
      <c r="A75" s="20"/>
      <c r="B75" s="22"/>
      <c r="C75" s="20" t="s">
        <v>552</v>
      </c>
      <c r="D75" s="22">
        <v>100</v>
      </c>
      <c r="E75" s="124"/>
    </row>
    <row r="76" spans="1:5" x14ac:dyDescent="0.25">
      <c r="A76" s="20"/>
      <c r="B76" s="22"/>
      <c r="C76" s="20" t="s">
        <v>520</v>
      </c>
      <c r="D76" s="22">
        <v>4875</v>
      </c>
      <c r="E76" s="124"/>
    </row>
    <row r="77" spans="1:5" x14ac:dyDescent="0.25">
      <c r="A77" s="20"/>
      <c r="B77" s="22"/>
      <c r="C77" s="20" t="s">
        <v>498</v>
      </c>
      <c r="D77" s="22">
        <v>130</v>
      </c>
      <c r="E77" s="124"/>
    </row>
    <row r="78" spans="1:5" x14ac:dyDescent="0.25">
      <c r="A78" s="20"/>
      <c r="B78" s="22"/>
      <c r="C78" s="20" t="s">
        <v>72</v>
      </c>
      <c r="D78" s="22">
        <v>100</v>
      </c>
      <c r="E78" s="124"/>
    </row>
    <row r="79" spans="1:5" x14ac:dyDescent="0.25">
      <c r="A79" s="20"/>
      <c r="B79" s="22"/>
      <c r="C79" s="20" t="s">
        <v>458</v>
      </c>
      <c r="D79" s="22">
        <v>25</v>
      </c>
      <c r="E79" s="124"/>
    </row>
    <row r="80" spans="1:5" x14ac:dyDescent="0.25">
      <c r="A80" s="20"/>
      <c r="B80" s="22"/>
      <c r="C80" s="20" t="s">
        <v>643</v>
      </c>
      <c r="D80" s="22">
        <v>190</v>
      </c>
      <c r="E80" s="124"/>
    </row>
    <row r="81" spans="1:6" x14ac:dyDescent="0.25">
      <c r="A81" s="20"/>
      <c r="B81" s="22"/>
      <c r="C81" s="20" t="s">
        <v>32</v>
      </c>
      <c r="D81" s="22">
        <v>150</v>
      </c>
      <c r="E81" s="124"/>
    </row>
    <row r="82" spans="1:6" x14ac:dyDescent="0.25">
      <c r="A82" s="20"/>
      <c r="B82" s="22"/>
      <c r="C82" s="20" t="s">
        <v>644</v>
      </c>
      <c r="D82" s="22">
        <v>15</v>
      </c>
      <c r="E82" s="124"/>
    </row>
    <row r="83" spans="1:6" x14ac:dyDescent="0.25">
      <c r="A83" s="20"/>
      <c r="B83" s="22"/>
      <c r="C83" s="20" t="s">
        <v>643</v>
      </c>
      <c r="D83" s="22">
        <v>150</v>
      </c>
      <c r="E83" s="124"/>
    </row>
    <row r="84" spans="1:6" ht="21" x14ac:dyDescent="0.35">
      <c r="A84" s="20"/>
      <c r="B84" s="22"/>
      <c r="C84" s="20" t="s">
        <v>39</v>
      </c>
      <c r="D84" s="22">
        <v>115</v>
      </c>
      <c r="E84" s="124"/>
      <c r="F84" s="133"/>
    </row>
    <row r="85" spans="1:6" x14ac:dyDescent="0.25">
      <c r="A85" s="20"/>
      <c r="B85" s="22"/>
      <c r="C85" s="20"/>
      <c r="D85" s="22"/>
      <c r="E85" s="124"/>
    </row>
    <row r="86" spans="1:6" x14ac:dyDescent="0.25">
      <c r="A86" s="20"/>
      <c r="B86" s="22"/>
      <c r="C86" s="20"/>
      <c r="D86" s="22"/>
      <c r="E86" s="124"/>
    </row>
    <row r="87" spans="1:6" x14ac:dyDescent="0.25">
      <c r="A87" s="20"/>
      <c r="B87" s="22"/>
      <c r="C87" s="20"/>
      <c r="D87" s="22"/>
      <c r="E87" s="124"/>
    </row>
    <row r="88" spans="1:6" x14ac:dyDescent="0.25">
      <c r="A88" s="20"/>
      <c r="B88" s="22"/>
      <c r="C88" s="20"/>
      <c r="D88" s="22"/>
      <c r="E88" s="124"/>
    </row>
    <row r="89" spans="1:6" x14ac:dyDescent="0.25">
      <c r="A89" s="20"/>
      <c r="B89" s="22"/>
      <c r="C89" s="20" t="s">
        <v>638</v>
      </c>
      <c r="D89" s="96">
        <v>4500</v>
      </c>
      <c r="E89" s="124"/>
    </row>
    <row r="90" spans="1:6" x14ac:dyDescent="0.25">
      <c r="A90" s="20"/>
      <c r="B90" s="22"/>
      <c r="C90" s="116" t="s">
        <v>637</v>
      </c>
      <c r="D90" s="96">
        <v>5000</v>
      </c>
      <c r="E90" s="124"/>
    </row>
    <row r="91" spans="1:6" x14ac:dyDescent="0.25">
      <c r="A91" s="20"/>
      <c r="B91" s="22"/>
      <c r="C91" s="116" t="s">
        <v>631</v>
      </c>
      <c r="D91" s="96">
        <v>53</v>
      </c>
      <c r="E91" s="124"/>
    </row>
    <row r="92" spans="1:6" x14ac:dyDescent="0.25">
      <c r="A92" s="20"/>
      <c r="B92" s="22"/>
      <c r="C92" s="20" t="s">
        <v>358</v>
      </c>
      <c r="D92" s="22">
        <v>20</v>
      </c>
      <c r="E92" s="124"/>
    </row>
    <row r="93" spans="1:6" x14ac:dyDescent="0.25">
      <c r="A93" s="20"/>
      <c r="B93" s="22"/>
      <c r="C93" s="20"/>
      <c r="D93" s="22"/>
      <c r="E93" s="124">
        <f>34800-10000</f>
        <v>24800</v>
      </c>
    </row>
    <row r="94" spans="1:6" x14ac:dyDescent="0.25">
      <c r="A94" s="20"/>
      <c r="B94" s="22"/>
      <c r="C94" s="20"/>
      <c r="D94" s="22"/>
      <c r="E94" s="124"/>
    </row>
    <row r="95" spans="1:6" x14ac:dyDescent="0.25">
      <c r="A95" s="20"/>
      <c r="B95" s="22"/>
      <c r="C95" s="212"/>
      <c r="D95" s="209"/>
      <c r="E95" s="124"/>
    </row>
    <row r="96" spans="1:6" x14ac:dyDescent="0.25">
      <c r="A96" s="20"/>
      <c r="B96" s="21"/>
      <c r="C96" s="212"/>
      <c r="D96" s="209"/>
      <c r="E96" s="124"/>
    </row>
    <row r="97" spans="1:5" x14ac:dyDescent="0.25">
      <c r="A97" s="20"/>
      <c r="B97" s="117"/>
      <c r="C97" s="212"/>
      <c r="D97" s="209"/>
      <c r="E97" s="124"/>
    </row>
    <row r="98" spans="1:5" x14ac:dyDescent="0.25">
      <c r="A98" s="20"/>
      <c r="B98" s="117"/>
      <c r="C98" s="212"/>
      <c r="D98" s="209"/>
      <c r="E98" s="124"/>
    </row>
    <row r="99" spans="1:5" x14ac:dyDescent="0.25">
      <c r="A99" s="20"/>
      <c r="B99" s="21"/>
      <c r="C99" s="212"/>
      <c r="D99" s="209"/>
      <c r="E99" s="126"/>
    </row>
    <row r="100" spans="1:5" x14ac:dyDescent="0.25">
      <c r="A100" s="20"/>
      <c r="B100" s="21"/>
      <c r="C100" s="212"/>
      <c r="D100" s="209"/>
      <c r="E100" s="126"/>
    </row>
    <row r="101" spans="1:5" x14ac:dyDescent="0.25">
      <c r="A101" s="20"/>
      <c r="B101" s="21"/>
      <c r="C101" s="205"/>
      <c r="D101" s="210"/>
      <c r="E101" s="126"/>
    </row>
    <row r="102" spans="1:5" ht="21.75" thickBot="1" x14ac:dyDescent="0.4">
      <c r="A102" s="130"/>
      <c r="B102" s="131">
        <f>SUBTOTAL(109,Table1172023[Column1])</f>
        <v>150842</v>
      </c>
      <c r="C102" s="132"/>
      <c r="D102" s="133">
        <f>SUBTOTAL(109,Table1172023[Column2])</f>
        <v>112918</v>
      </c>
      <c r="E102" s="133"/>
    </row>
    <row r="103" spans="1:5" ht="27" thickTop="1" x14ac:dyDescent="0.25">
      <c r="D103" s="16">
        <f>Table1172023[[#Totals],[Column1]]-Table1172023[[#Totals],[Column2]]</f>
        <v>37924</v>
      </c>
    </row>
    <row r="106" spans="1:5" x14ac:dyDescent="0.25">
      <c r="B106" s="10">
        <v>1000</v>
      </c>
      <c r="C106">
        <v>9500</v>
      </c>
    </row>
    <row r="107" spans="1:5" x14ac:dyDescent="0.25">
      <c r="B107" s="10" t="s">
        <v>635</v>
      </c>
      <c r="C107" t="s">
        <v>633</v>
      </c>
    </row>
    <row r="108" spans="1:5" x14ac:dyDescent="0.25">
      <c r="C108" t="s">
        <v>634</v>
      </c>
    </row>
    <row r="111" spans="1:5" ht="15.75" thickBot="1" x14ac:dyDescent="0.3"/>
    <row r="112" spans="1:5" ht="27" thickBot="1" x14ac:dyDescent="0.3">
      <c r="A112" s="76" t="s">
        <v>9</v>
      </c>
      <c r="B112" s="460">
        <v>45118</v>
      </c>
      <c r="C112" s="461"/>
      <c r="D112" s="198" t="s">
        <v>607</v>
      </c>
    </row>
    <row r="113" spans="1:5" ht="24.75" customHeight="1" thickBot="1" x14ac:dyDescent="0.3">
      <c r="A113" s="53" t="s">
        <v>137</v>
      </c>
      <c r="B113" s="53" t="s">
        <v>138</v>
      </c>
      <c r="C113" s="53" t="s">
        <v>3</v>
      </c>
    </row>
    <row r="114" spans="1:5" ht="18" x14ac:dyDescent="0.25">
      <c r="A114" s="55">
        <f>5000+1350+500+120</f>
        <v>6970</v>
      </c>
      <c r="B114" s="57" t="s">
        <v>57</v>
      </c>
      <c r="C114" s="77">
        <v>3175</v>
      </c>
    </row>
    <row r="115" spans="1:5" ht="18" x14ac:dyDescent="0.25">
      <c r="A115" s="60"/>
      <c r="B115" s="94" t="s">
        <v>605</v>
      </c>
      <c r="C115" s="108">
        <v>710</v>
      </c>
    </row>
    <row r="116" spans="1:5" ht="18" x14ac:dyDescent="0.25">
      <c r="A116" s="60"/>
      <c r="B116" s="94" t="s">
        <v>33</v>
      </c>
      <c r="C116" s="107">
        <v>55</v>
      </c>
    </row>
    <row r="117" spans="1:5" ht="18" x14ac:dyDescent="0.25">
      <c r="A117" s="60"/>
      <c r="B117" s="94" t="s">
        <v>27</v>
      </c>
      <c r="C117" s="107">
        <v>2000</v>
      </c>
    </row>
    <row r="118" spans="1:5" ht="18" x14ac:dyDescent="0.25">
      <c r="A118" s="60"/>
      <c r="B118" s="94" t="s">
        <v>33</v>
      </c>
      <c r="C118" s="108">
        <v>50</v>
      </c>
    </row>
    <row r="119" spans="1:5" ht="18" x14ac:dyDescent="0.25">
      <c r="A119" s="60"/>
      <c r="B119" s="94" t="s">
        <v>8</v>
      </c>
      <c r="C119" s="56">
        <v>270</v>
      </c>
    </row>
    <row r="120" spans="1:5" ht="21.75" customHeight="1" x14ac:dyDescent="0.25">
      <c r="A120" s="60"/>
      <c r="B120" s="94" t="s">
        <v>10</v>
      </c>
      <c r="C120" s="56">
        <v>100</v>
      </c>
    </row>
    <row r="121" spans="1:5" ht="21" customHeight="1" thickBot="1" x14ac:dyDescent="0.3">
      <c r="A121" s="60"/>
      <c r="B121" s="94"/>
      <c r="C121" s="56"/>
    </row>
    <row r="122" spans="1:5" ht="24" thickBot="1" x14ac:dyDescent="0.3">
      <c r="A122" s="66"/>
      <c r="B122" s="64"/>
      <c r="C122" s="67"/>
      <c r="D122" s="134" t="s">
        <v>43</v>
      </c>
      <c r="E122" s="99">
        <f>E127-E123</f>
        <v>35</v>
      </c>
    </row>
    <row r="123" spans="1:5" ht="21.75" thickBot="1" x14ac:dyDescent="0.3">
      <c r="A123" s="68">
        <f>SUM(A114:A122)</f>
        <v>6970</v>
      </c>
      <c r="C123" s="69">
        <f>SUM(C114:C122)</f>
        <v>6360</v>
      </c>
      <c r="D123" s="135" t="s">
        <v>94</v>
      </c>
      <c r="E123" s="85">
        <f>7425-7064</f>
        <v>361</v>
      </c>
    </row>
    <row r="124" spans="1:5" ht="21.75" thickBot="1" x14ac:dyDescent="0.3">
      <c r="A124" s="462" t="s">
        <v>139</v>
      </c>
      <c r="B124" s="463"/>
      <c r="C124" s="71" t="s">
        <v>75</v>
      </c>
      <c r="D124" s="136" t="s">
        <v>65</v>
      </c>
      <c r="E124" s="83">
        <v>396</v>
      </c>
    </row>
    <row r="125" spans="1:5" ht="24" thickBot="1" x14ac:dyDescent="0.3">
      <c r="A125" s="464">
        <f>C123+A123</f>
        <v>13330</v>
      </c>
      <c r="B125" s="465"/>
      <c r="C125" s="81"/>
      <c r="D125" s="82"/>
      <c r="E125" s="83"/>
    </row>
    <row r="126" spans="1:5" ht="24" thickBot="1" x14ac:dyDescent="0.3">
      <c r="A126" s="466" t="s">
        <v>99</v>
      </c>
      <c r="B126" s="467"/>
      <c r="C126" s="78">
        <f>A127-C127</f>
        <v>213</v>
      </c>
      <c r="D126" s="82"/>
      <c r="E126" s="83"/>
    </row>
    <row r="127" spans="1:5" ht="24" thickBot="1" x14ac:dyDescent="0.3">
      <c r="A127" s="468">
        <f>C125+A125</f>
        <v>13330</v>
      </c>
      <c r="B127" s="469"/>
      <c r="C127" s="121">
        <v>13117</v>
      </c>
      <c r="D127" s="82" t="s">
        <v>164</v>
      </c>
      <c r="E127" s="83">
        <f>SUM(E124:E126)</f>
        <v>396</v>
      </c>
    </row>
    <row r="128" spans="1:5" ht="24" thickBot="1" x14ac:dyDescent="0.3">
      <c r="C128" s="314" t="str">
        <f>IF(C126&gt;0,"زيادة","عجز")</f>
        <v>زيادة</v>
      </c>
    </row>
    <row r="130" spans="1:6" ht="15.75" thickBot="1" x14ac:dyDescent="0.3"/>
    <row r="131" spans="1:6" ht="27" thickBot="1" x14ac:dyDescent="0.3">
      <c r="A131" s="76" t="s">
        <v>80</v>
      </c>
      <c r="B131" s="460">
        <v>45118</v>
      </c>
      <c r="C131" s="461"/>
      <c r="D131" s="198" t="s">
        <v>607</v>
      </c>
    </row>
    <row r="132" spans="1:6" ht="21" thickBot="1" x14ac:dyDescent="0.3">
      <c r="A132" s="53" t="s">
        <v>137</v>
      </c>
      <c r="B132" s="53" t="s">
        <v>138</v>
      </c>
      <c r="C132" s="53" t="s">
        <v>3</v>
      </c>
    </row>
    <row r="133" spans="1:6" ht="18" x14ac:dyDescent="0.25">
      <c r="A133" s="55">
        <f>5000+1950+30</f>
        <v>6980</v>
      </c>
      <c r="B133" s="77" t="s">
        <v>393</v>
      </c>
      <c r="C133" s="57">
        <v>120</v>
      </c>
    </row>
    <row r="134" spans="1:6" ht="18" x14ac:dyDescent="0.25">
      <c r="A134" s="60"/>
      <c r="B134" s="108" t="s">
        <v>34</v>
      </c>
      <c r="C134" s="94">
        <v>360</v>
      </c>
    </row>
    <row r="135" spans="1:6" ht="27.75" customHeight="1" x14ac:dyDescent="0.25">
      <c r="A135" s="60"/>
      <c r="B135" s="107" t="s">
        <v>611</v>
      </c>
      <c r="C135" s="94">
        <v>500</v>
      </c>
    </row>
    <row r="136" spans="1:6" ht="18" x14ac:dyDescent="0.25">
      <c r="A136" s="60"/>
      <c r="B136" s="107" t="s">
        <v>614</v>
      </c>
      <c r="C136" s="94">
        <v>1440</v>
      </c>
    </row>
    <row r="137" spans="1:6" ht="18" x14ac:dyDescent="0.25">
      <c r="A137" s="60"/>
      <c r="B137" s="108" t="s">
        <v>399</v>
      </c>
      <c r="C137" s="94">
        <v>215</v>
      </c>
    </row>
    <row r="138" spans="1:6" ht="18" x14ac:dyDescent="0.25">
      <c r="A138" s="60"/>
      <c r="B138" s="56" t="s">
        <v>7</v>
      </c>
      <c r="C138" s="94">
        <v>250</v>
      </c>
    </row>
    <row r="139" spans="1:6" ht="18" x14ac:dyDescent="0.25">
      <c r="A139" s="60"/>
      <c r="B139" s="56" t="s">
        <v>612</v>
      </c>
      <c r="C139" s="94">
        <v>70</v>
      </c>
    </row>
    <row r="140" spans="1:6" ht="18" x14ac:dyDescent="0.25">
      <c r="A140" s="60"/>
      <c r="B140" s="56" t="s">
        <v>613</v>
      </c>
      <c r="C140" s="94">
        <v>280</v>
      </c>
    </row>
    <row r="141" spans="1:6" ht="18" x14ac:dyDescent="0.25">
      <c r="A141" s="60"/>
      <c r="B141" s="56" t="s">
        <v>27</v>
      </c>
      <c r="C141" s="94">
        <v>400</v>
      </c>
      <c r="F141" t="s">
        <v>442</v>
      </c>
    </row>
    <row r="142" spans="1:6" ht="18.75" thickBot="1" x14ac:dyDescent="0.3">
      <c r="A142" s="60"/>
      <c r="B142" s="56" t="s">
        <v>63</v>
      </c>
      <c r="C142" s="153">
        <v>2025</v>
      </c>
    </row>
    <row r="143" spans="1:6" ht="24" thickBot="1" x14ac:dyDescent="0.3">
      <c r="A143" s="66"/>
      <c r="B143" s="145"/>
      <c r="D143" s="134" t="s">
        <v>43</v>
      </c>
      <c r="E143" s="99">
        <f>E148-E144</f>
        <v>2</v>
      </c>
    </row>
    <row r="144" spans="1:6" ht="21.75" thickBot="1" x14ac:dyDescent="0.3">
      <c r="A144" s="68">
        <f>SUM(A133:A143)</f>
        <v>6980</v>
      </c>
      <c r="C144" s="69">
        <f>SUM(C133:C142)</f>
        <v>5660</v>
      </c>
      <c r="D144" s="135" t="s">
        <v>94</v>
      </c>
      <c r="E144" s="85">
        <f>7064-6589</f>
        <v>475</v>
      </c>
    </row>
    <row r="145" spans="1:5" ht="21.75" thickBot="1" x14ac:dyDescent="0.3">
      <c r="A145" s="462" t="s">
        <v>139</v>
      </c>
      <c r="B145" s="463"/>
      <c r="C145" s="71" t="s">
        <v>75</v>
      </c>
      <c r="D145" s="136" t="s">
        <v>65</v>
      </c>
      <c r="E145" s="83">
        <f>2+475</f>
        <v>477</v>
      </c>
    </row>
    <row r="146" spans="1:5" ht="24" thickBot="1" x14ac:dyDescent="0.3">
      <c r="A146" s="464">
        <f>C144+A144</f>
        <v>12640</v>
      </c>
      <c r="B146" s="465"/>
      <c r="C146" s="81"/>
      <c r="D146" s="82"/>
      <c r="E146" s="83"/>
    </row>
    <row r="147" spans="1:5" ht="24" thickBot="1" x14ac:dyDescent="0.3">
      <c r="A147" s="466" t="s">
        <v>99</v>
      </c>
      <c r="B147" s="467"/>
      <c r="C147" s="78">
        <f>A148-C148</f>
        <v>-73</v>
      </c>
      <c r="D147" s="82"/>
      <c r="E147" s="83"/>
    </row>
    <row r="148" spans="1:5" ht="24" thickBot="1" x14ac:dyDescent="0.3">
      <c r="A148" s="468">
        <f>C146+A146</f>
        <v>12640</v>
      </c>
      <c r="B148" s="469"/>
      <c r="C148" s="121">
        <v>12713</v>
      </c>
      <c r="D148" s="82" t="s">
        <v>164</v>
      </c>
      <c r="E148" s="83">
        <f>SUM(E145:E147)</f>
        <v>477</v>
      </c>
    </row>
    <row r="149" spans="1:5" ht="24" thickBot="1" x14ac:dyDescent="0.3">
      <c r="A149"/>
      <c r="B149"/>
      <c r="C149" s="314" t="str">
        <f>IF(C147&gt;0,"زيادة","عجز")</f>
        <v>عجز</v>
      </c>
    </row>
    <row r="150" spans="1:5" ht="15.75" thickBot="1" x14ac:dyDescent="0.3">
      <c r="A150"/>
      <c r="B150"/>
    </row>
    <row r="151" spans="1:5" ht="27" thickBot="1" x14ac:dyDescent="0.3">
      <c r="A151" s="76" t="s">
        <v>363</v>
      </c>
      <c r="B151" s="460">
        <v>45118</v>
      </c>
      <c r="C151" s="461"/>
      <c r="D151" s="198" t="s">
        <v>607</v>
      </c>
    </row>
    <row r="152" spans="1:5" ht="21" thickBot="1" x14ac:dyDescent="0.3">
      <c r="A152" s="53" t="s">
        <v>137</v>
      </c>
      <c r="B152" s="53" t="s">
        <v>138</v>
      </c>
      <c r="C152" s="53" t="s">
        <v>3</v>
      </c>
    </row>
    <row r="153" spans="1:5" ht="18" x14ac:dyDescent="0.25">
      <c r="A153" s="55">
        <f>10000+2400+530</f>
        <v>12930</v>
      </c>
      <c r="B153" s="77" t="s">
        <v>271</v>
      </c>
      <c r="C153" s="57">
        <v>5605</v>
      </c>
    </row>
    <row r="154" spans="1:5" ht="18" x14ac:dyDescent="0.25">
      <c r="A154" s="56"/>
      <c r="B154" s="56" t="s">
        <v>630</v>
      </c>
      <c r="C154" s="94">
        <v>600</v>
      </c>
    </row>
    <row r="155" spans="1:5" ht="18" x14ac:dyDescent="0.25">
      <c r="A155" s="56"/>
      <c r="B155" s="56" t="s">
        <v>376</v>
      </c>
      <c r="C155" s="94">
        <v>105</v>
      </c>
    </row>
    <row r="156" spans="1:5" ht="18" x14ac:dyDescent="0.25">
      <c r="A156" s="56"/>
      <c r="B156" s="56" t="s">
        <v>629</v>
      </c>
      <c r="C156" s="94">
        <v>105</v>
      </c>
      <c r="E156">
        <v>1655</v>
      </c>
    </row>
    <row r="157" spans="1:5" ht="18" x14ac:dyDescent="0.25">
      <c r="A157" s="56"/>
      <c r="B157" s="56" t="s">
        <v>27</v>
      </c>
      <c r="C157" s="94">
        <v>1980</v>
      </c>
      <c r="E157">
        <f>E156-50</f>
        <v>1605</v>
      </c>
    </row>
    <row r="158" spans="1:5" ht="18" x14ac:dyDescent="0.25">
      <c r="A158" s="56"/>
      <c r="B158" s="202" t="s">
        <v>358</v>
      </c>
      <c r="C158" s="94">
        <v>20</v>
      </c>
    </row>
    <row r="159" spans="1:5" ht="18" x14ac:dyDescent="0.25">
      <c r="A159" s="56"/>
      <c r="B159" s="202"/>
      <c r="C159" s="94"/>
    </row>
    <row r="160" spans="1:5" ht="18" x14ac:dyDescent="0.25">
      <c r="A160" s="60"/>
      <c r="C160" s="3"/>
    </row>
    <row r="161" spans="1:5" ht="18" x14ac:dyDescent="0.25">
      <c r="A161" s="60"/>
      <c r="B161" s="202"/>
      <c r="C161" s="94"/>
    </row>
    <row r="162" spans="1:5" ht="18.75" thickBot="1" x14ac:dyDescent="0.3">
      <c r="A162" s="60"/>
      <c r="B162" s="56"/>
      <c r="C162" s="153"/>
    </row>
    <row r="163" spans="1:5" ht="24" thickBot="1" x14ac:dyDescent="0.3">
      <c r="A163" s="66"/>
      <c r="B163" s="145"/>
      <c r="D163" s="134" t="s">
        <v>43</v>
      </c>
      <c r="E163" s="99">
        <f>E168-E164</f>
        <v>10</v>
      </c>
    </row>
    <row r="164" spans="1:5" ht="21.75" thickBot="1" x14ac:dyDescent="0.3">
      <c r="A164" s="68">
        <f>SUM(A153:A163)</f>
        <v>12930</v>
      </c>
      <c r="C164" s="69">
        <f>SUM(C153:C162)</f>
        <v>8415</v>
      </c>
      <c r="D164" s="135" t="s">
        <v>94</v>
      </c>
      <c r="E164" s="85">
        <f>(6589-5669)+(5624-4911)</f>
        <v>1633</v>
      </c>
    </row>
    <row r="165" spans="1:5" ht="21.75" thickBot="1" x14ac:dyDescent="0.3">
      <c r="A165" s="462" t="s">
        <v>139</v>
      </c>
      <c r="B165" s="463"/>
      <c r="C165" s="71" t="s">
        <v>75</v>
      </c>
      <c r="D165" s="136" t="s">
        <v>65</v>
      </c>
      <c r="E165" s="83">
        <f>1550+75</f>
        <v>1625</v>
      </c>
    </row>
    <row r="166" spans="1:5" ht="24" thickBot="1" x14ac:dyDescent="0.3">
      <c r="A166" s="464">
        <f>C164+A164</f>
        <v>21345</v>
      </c>
      <c r="B166" s="465"/>
      <c r="C166" s="81"/>
      <c r="D166" s="82" t="s">
        <v>10</v>
      </c>
      <c r="E166" s="83">
        <v>18</v>
      </c>
    </row>
    <row r="167" spans="1:5" ht="24" thickBot="1" x14ac:dyDescent="0.3">
      <c r="A167" s="466" t="s">
        <v>99</v>
      </c>
      <c r="B167" s="467"/>
      <c r="C167" s="78">
        <f>A168-C168</f>
        <v>71</v>
      </c>
      <c r="D167" s="82"/>
      <c r="E167" s="83"/>
    </row>
    <row r="168" spans="1:5" ht="24" thickBot="1" x14ac:dyDescent="0.3">
      <c r="A168" s="468">
        <f>C166+A166</f>
        <v>21345</v>
      </c>
      <c r="B168" s="469"/>
      <c r="C168" s="121">
        <v>21274</v>
      </c>
      <c r="D168" s="82" t="s">
        <v>164</v>
      </c>
      <c r="E168" s="83">
        <f>SUM(E165:E167)</f>
        <v>1643</v>
      </c>
    </row>
    <row r="169" spans="1:5" ht="24" thickBot="1" x14ac:dyDescent="0.3">
      <c r="A169"/>
      <c r="C169" s="314" t="str">
        <f>IF(C167&gt;0,"زيادة","عجز")</f>
        <v>زيادة</v>
      </c>
    </row>
    <row r="170" spans="1:5" ht="15.75" thickBot="1" x14ac:dyDescent="0.3">
      <c r="A170"/>
    </row>
    <row r="171" spans="1:5" ht="27" thickBot="1" x14ac:dyDescent="0.3">
      <c r="A171" s="76" t="s">
        <v>300</v>
      </c>
      <c r="B171" s="460">
        <v>45118</v>
      </c>
      <c r="C171" s="461"/>
      <c r="D171" s="198" t="s">
        <v>607</v>
      </c>
    </row>
    <row r="172" spans="1:5" ht="21" thickBot="1" x14ac:dyDescent="0.3">
      <c r="A172" s="53" t="s">
        <v>137</v>
      </c>
      <c r="B172" s="53" t="s">
        <v>138</v>
      </c>
      <c r="C172" s="53" t="s">
        <v>3</v>
      </c>
    </row>
    <row r="173" spans="1:5" ht="24" customHeight="1" x14ac:dyDescent="0.25">
      <c r="A173" s="55">
        <f>4800+50+285</f>
        <v>5135</v>
      </c>
      <c r="B173" s="77"/>
      <c r="C173" s="57"/>
    </row>
    <row r="174" spans="1:5" ht="18" x14ac:dyDescent="0.25">
      <c r="A174" s="60"/>
      <c r="B174" s="202"/>
      <c r="C174" s="94"/>
    </row>
    <row r="175" spans="1:5" ht="18.75" thickBot="1" x14ac:dyDescent="0.3">
      <c r="A175" s="60"/>
      <c r="B175" s="56"/>
      <c r="C175" s="153"/>
    </row>
    <row r="176" spans="1:5" ht="24" thickBot="1" x14ac:dyDescent="0.3">
      <c r="A176" s="66"/>
      <c r="B176" s="145"/>
      <c r="D176" s="134" t="s">
        <v>43</v>
      </c>
      <c r="E176" s="99">
        <f>E181-E177</f>
        <v>72</v>
      </c>
    </row>
    <row r="177" spans="1:5" ht="21.75" thickBot="1" x14ac:dyDescent="0.3">
      <c r="A177" s="68">
        <f>SUM(A173:A176)</f>
        <v>5135</v>
      </c>
      <c r="C177" s="69">
        <f>SUM(C173:C175)</f>
        <v>0</v>
      </c>
      <c r="D177" s="135" t="s">
        <v>94</v>
      </c>
      <c r="E177" s="85"/>
    </row>
    <row r="178" spans="1:5" ht="18" customHeight="1" thickBot="1" x14ac:dyDescent="0.3">
      <c r="A178" s="462" t="s">
        <v>139</v>
      </c>
      <c r="B178" s="463"/>
      <c r="C178" s="71" t="s">
        <v>75</v>
      </c>
      <c r="D178" s="136" t="s">
        <v>65</v>
      </c>
      <c r="E178" s="83">
        <f>2+70</f>
        <v>72</v>
      </c>
    </row>
    <row r="179" spans="1:5" ht="18" customHeight="1" thickBot="1" x14ac:dyDescent="0.3">
      <c r="A179" s="464">
        <f>C177+A177</f>
        <v>5135</v>
      </c>
      <c r="B179" s="465"/>
      <c r="C179" s="81"/>
      <c r="D179" s="82" t="s">
        <v>10</v>
      </c>
      <c r="E179" s="83"/>
    </row>
    <row r="180" spans="1:5" ht="24" thickBot="1" x14ac:dyDescent="0.3">
      <c r="A180" s="466" t="s">
        <v>99</v>
      </c>
      <c r="B180" s="467"/>
      <c r="C180" s="78">
        <f>A181-C181</f>
        <v>90</v>
      </c>
      <c r="D180" s="82"/>
      <c r="E180" s="83"/>
    </row>
    <row r="181" spans="1:5" ht="24" thickBot="1" x14ac:dyDescent="0.3">
      <c r="A181" s="468">
        <f>C179+A179</f>
        <v>5135</v>
      </c>
      <c r="B181" s="469"/>
      <c r="C181" s="121">
        <v>5045</v>
      </c>
      <c r="D181" s="82" t="s">
        <v>164</v>
      </c>
      <c r="E181" s="83">
        <f>SUM(E178:E180)</f>
        <v>72</v>
      </c>
    </row>
    <row r="182" spans="1:5" ht="24" thickBot="1" x14ac:dyDescent="0.3">
      <c r="A182"/>
      <c r="B182"/>
      <c r="C182" s="314" t="str">
        <f>IF(C180&gt;0,"زيادة","عجز")</f>
        <v>زيادة</v>
      </c>
    </row>
    <row r="183" spans="1:5" ht="15.75" thickBot="1" x14ac:dyDescent="0.3">
      <c r="A183"/>
      <c r="B183"/>
    </row>
    <row r="184" spans="1:5" ht="27" thickBot="1" x14ac:dyDescent="0.3">
      <c r="A184" s="76" t="s">
        <v>88</v>
      </c>
      <c r="B184" s="460">
        <v>45117</v>
      </c>
      <c r="C184" s="461"/>
      <c r="D184" s="198" t="s">
        <v>607</v>
      </c>
    </row>
    <row r="185" spans="1:5" ht="21" thickBot="1" x14ac:dyDescent="0.3">
      <c r="A185" s="53" t="s">
        <v>137</v>
      </c>
      <c r="B185" s="53" t="s">
        <v>138</v>
      </c>
      <c r="C185" s="53" t="s">
        <v>3</v>
      </c>
    </row>
    <row r="186" spans="1:5" ht="21.75" customHeight="1" x14ac:dyDescent="0.25">
      <c r="A186" s="55">
        <f>5000+5140</f>
        <v>10140</v>
      </c>
      <c r="B186" s="77" t="s">
        <v>510</v>
      </c>
      <c r="C186" s="57">
        <v>80</v>
      </c>
    </row>
    <row r="187" spans="1:5" ht="18" x14ac:dyDescent="0.25">
      <c r="A187" s="56"/>
      <c r="B187" s="56" t="s">
        <v>640</v>
      </c>
      <c r="C187" s="94">
        <v>210</v>
      </c>
    </row>
    <row r="188" spans="1:5" ht="18" customHeight="1" x14ac:dyDescent="0.25">
      <c r="A188" s="56"/>
      <c r="B188" s="56" t="s">
        <v>86</v>
      </c>
      <c r="C188" s="94">
        <v>196</v>
      </c>
    </row>
    <row r="189" spans="1:5" ht="18" x14ac:dyDescent="0.25">
      <c r="A189" s="56"/>
      <c r="B189" s="56" t="s">
        <v>9</v>
      </c>
      <c r="C189" s="94">
        <v>100</v>
      </c>
    </row>
    <row r="190" spans="1:5" ht="18" customHeight="1" x14ac:dyDescent="0.25">
      <c r="A190" s="56"/>
      <c r="B190" s="56" t="s">
        <v>255</v>
      </c>
      <c r="C190" s="94">
        <v>180</v>
      </c>
    </row>
    <row r="191" spans="1:5" ht="18" customHeight="1" x14ac:dyDescent="0.25">
      <c r="A191" s="56"/>
      <c r="B191" s="56" t="s">
        <v>458</v>
      </c>
      <c r="C191" s="94">
        <v>7</v>
      </c>
    </row>
    <row r="192" spans="1:5" ht="18" x14ac:dyDescent="0.25">
      <c r="A192" s="56"/>
      <c r="B192" s="56" t="s">
        <v>27</v>
      </c>
      <c r="C192" s="94">
        <v>2970</v>
      </c>
    </row>
    <row r="193" spans="1:5" ht="18" x14ac:dyDescent="0.25">
      <c r="A193" s="56"/>
      <c r="B193" s="56" t="s">
        <v>641</v>
      </c>
      <c r="C193" s="94">
        <v>175</v>
      </c>
    </row>
    <row r="194" spans="1:5" ht="18" x14ac:dyDescent="0.25">
      <c r="A194" s="56"/>
      <c r="B194" s="56" t="s">
        <v>34</v>
      </c>
      <c r="C194" s="94">
        <v>300</v>
      </c>
    </row>
    <row r="195" spans="1:5" ht="18" x14ac:dyDescent="0.25">
      <c r="A195" s="56"/>
      <c r="B195" s="56" t="s">
        <v>66</v>
      </c>
      <c r="C195" s="94">
        <v>825</v>
      </c>
    </row>
    <row r="196" spans="1:5" ht="18" x14ac:dyDescent="0.25">
      <c r="A196" s="56"/>
      <c r="B196" s="202" t="s">
        <v>278</v>
      </c>
      <c r="C196" s="94">
        <v>400</v>
      </c>
    </row>
    <row r="197" spans="1:5" ht="18" x14ac:dyDescent="0.25">
      <c r="A197" s="56"/>
      <c r="B197" s="202" t="s">
        <v>642</v>
      </c>
      <c r="C197" s="94">
        <v>90</v>
      </c>
    </row>
    <row r="198" spans="1:5" ht="18" x14ac:dyDescent="0.25">
      <c r="A198" s="60"/>
      <c r="B198" s="10" t="s">
        <v>331</v>
      </c>
      <c r="C198" s="94">
        <v>525</v>
      </c>
    </row>
    <row r="199" spans="1:5" ht="18" x14ac:dyDescent="0.25">
      <c r="A199" s="60"/>
      <c r="B199" s="202"/>
      <c r="C199" s="94"/>
    </row>
    <row r="200" spans="1:5" ht="18.75" thickBot="1" x14ac:dyDescent="0.3">
      <c r="A200" s="60"/>
      <c r="B200" s="56"/>
      <c r="C200" s="153"/>
    </row>
    <row r="201" spans="1:5" ht="23.25" customHeight="1" thickBot="1" x14ac:dyDescent="0.3">
      <c r="A201" s="66"/>
      <c r="B201" s="145"/>
      <c r="D201" s="134" t="s">
        <v>43</v>
      </c>
      <c r="E201" s="99">
        <f>E206-E202</f>
        <v>22</v>
      </c>
    </row>
    <row r="202" spans="1:5" ht="21.75" customHeight="1" thickBot="1" x14ac:dyDescent="0.3">
      <c r="A202" s="68">
        <f>SUM(A186:A201)</f>
        <v>10140</v>
      </c>
      <c r="C202" s="69">
        <f>SUM(C186:C200)</f>
        <v>6058</v>
      </c>
      <c r="D202" s="135" t="s">
        <v>94</v>
      </c>
      <c r="E202" s="85">
        <f>8879-8091</f>
        <v>788</v>
      </c>
    </row>
    <row r="203" spans="1:5" ht="18" customHeight="1" thickBot="1" x14ac:dyDescent="0.3">
      <c r="A203" s="462" t="s">
        <v>139</v>
      </c>
      <c r="B203" s="463"/>
      <c r="C203" s="71" t="s">
        <v>75</v>
      </c>
      <c r="D203" s="136" t="s">
        <v>65</v>
      </c>
      <c r="E203" s="83">
        <v>810</v>
      </c>
    </row>
    <row r="204" spans="1:5" ht="24" thickBot="1" x14ac:dyDescent="0.3">
      <c r="A204" s="464">
        <f>C202+A202</f>
        <v>16198</v>
      </c>
      <c r="B204" s="465"/>
      <c r="C204" s="81">
        <f>40+277+74+20+266</f>
        <v>677</v>
      </c>
      <c r="D204" s="82" t="s">
        <v>10</v>
      </c>
      <c r="E204" s="83"/>
    </row>
    <row r="205" spans="1:5" ht="24" thickBot="1" x14ac:dyDescent="0.3">
      <c r="A205" s="466" t="s">
        <v>99</v>
      </c>
      <c r="B205" s="467"/>
      <c r="C205" s="78">
        <f>A206-C206</f>
        <v>42</v>
      </c>
      <c r="D205" s="82"/>
      <c r="E205" s="83"/>
    </row>
    <row r="206" spans="1:5" ht="24" thickBot="1" x14ac:dyDescent="0.3">
      <c r="A206" s="468">
        <f>C204+A204</f>
        <v>16875</v>
      </c>
      <c r="B206" s="469"/>
      <c r="C206" s="121">
        <v>16833</v>
      </c>
      <c r="D206" s="82" t="s">
        <v>164</v>
      </c>
      <c r="E206" s="83">
        <f>SUM(E203:E205)</f>
        <v>810</v>
      </c>
    </row>
    <row r="207" spans="1:5" ht="24" thickBot="1" x14ac:dyDescent="0.3">
      <c r="A207"/>
      <c r="B207"/>
      <c r="C207" s="314" t="str">
        <f>IF(C205&gt;0,"زيادة","عجز")</f>
        <v>زيادة</v>
      </c>
    </row>
    <row r="208" spans="1:5" ht="27" thickBot="1" x14ac:dyDescent="0.3">
      <c r="A208" s="76" t="s">
        <v>85</v>
      </c>
      <c r="B208" s="460">
        <v>45118</v>
      </c>
      <c r="C208" s="461"/>
      <c r="D208" s="198" t="s">
        <v>607</v>
      </c>
    </row>
    <row r="209" spans="1:3" ht="21" thickBot="1" x14ac:dyDescent="0.3">
      <c r="A209" s="53" t="s">
        <v>137</v>
      </c>
      <c r="B209" s="53" t="s">
        <v>138</v>
      </c>
      <c r="C209" s="53" t="s">
        <v>3</v>
      </c>
    </row>
    <row r="210" spans="1:3" ht="18" x14ac:dyDescent="0.25">
      <c r="A210" s="55">
        <f>10000+3400+3350</f>
        <v>16750</v>
      </c>
      <c r="B210" s="77" t="s">
        <v>458</v>
      </c>
      <c r="C210" s="57">
        <v>25</v>
      </c>
    </row>
    <row r="211" spans="1:3" ht="18" x14ac:dyDescent="0.25">
      <c r="A211" s="56"/>
      <c r="B211" s="56" t="s">
        <v>643</v>
      </c>
      <c r="C211" s="94">
        <v>190</v>
      </c>
    </row>
    <row r="212" spans="1:3" ht="18" x14ac:dyDescent="0.25">
      <c r="A212" s="56"/>
      <c r="B212" s="56" t="s">
        <v>32</v>
      </c>
      <c r="C212" s="94">
        <v>150</v>
      </c>
    </row>
    <row r="213" spans="1:3" ht="18" x14ac:dyDescent="0.25">
      <c r="A213" s="56"/>
      <c r="B213" s="56" t="s">
        <v>644</v>
      </c>
      <c r="C213" s="94">
        <v>15</v>
      </c>
    </row>
    <row r="214" spans="1:3" ht="18" x14ac:dyDescent="0.25">
      <c r="A214" s="56"/>
      <c r="B214" s="56" t="s">
        <v>643</v>
      </c>
      <c r="C214" s="94">
        <v>150</v>
      </c>
    </row>
    <row r="215" spans="1:3" ht="18" x14ac:dyDescent="0.25">
      <c r="A215" s="56"/>
      <c r="B215" s="56" t="s">
        <v>39</v>
      </c>
      <c r="C215" s="94">
        <v>115</v>
      </c>
    </row>
    <row r="216" spans="1:3" ht="18" x14ac:dyDescent="0.25">
      <c r="A216" s="56"/>
      <c r="B216" s="56"/>
      <c r="C216" s="94"/>
    </row>
    <row r="217" spans="1:3" ht="18" x14ac:dyDescent="0.25">
      <c r="A217" s="56"/>
      <c r="B217" s="56"/>
      <c r="C217" s="94"/>
    </row>
    <row r="218" spans="1:3" ht="18" x14ac:dyDescent="0.25">
      <c r="A218" s="56"/>
      <c r="B218" s="56"/>
      <c r="C218" s="94"/>
    </row>
    <row r="219" spans="1:3" ht="18" x14ac:dyDescent="0.25">
      <c r="A219" s="56"/>
      <c r="B219" s="56"/>
      <c r="C219" s="94"/>
    </row>
    <row r="220" spans="1:3" ht="18" x14ac:dyDescent="0.25">
      <c r="A220" s="56"/>
      <c r="B220" s="202"/>
      <c r="C220" s="94"/>
    </row>
    <row r="221" spans="1:3" ht="18" x14ac:dyDescent="0.25">
      <c r="A221" s="56"/>
      <c r="B221" s="202"/>
      <c r="C221" s="94"/>
    </row>
    <row r="222" spans="1:3" ht="18" x14ac:dyDescent="0.25">
      <c r="A222" s="60"/>
      <c r="C222" s="94"/>
    </row>
    <row r="223" spans="1:3" ht="18" x14ac:dyDescent="0.25">
      <c r="A223" s="60"/>
      <c r="B223" s="202"/>
      <c r="C223" s="94"/>
    </row>
    <row r="224" spans="1:3" ht="18.75" thickBot="1" x14ac:dyDescent="0.3">
      <c r="A224" s="60"/>
      <c r="B224" s="56"/>
      <c r="C224" s="153"/>
    </row>
    <row r="225" spans="1:5" ht="23.25" customHeight="1" thickBot="1" x14ac:dyDescent="0.3">
      <c r="A225" s="66"/>
      <c r="B225" s="145"/>
      <c r="D225" s="134" t="s">
        <v>43</v>
      </c>
      <c r="E225" s="99">
        <f>E230-E226</f>
        <v>0</v>
      </c>
    </row>
    <row r="226" spans="1:5" ht="21.75" thickBot="1" x14ac:dyDescent="0.3">
      <c r="A226" s="68">
        <f>SUM(A210:A225)</f>
        <v>16750</v>
      </c>
      <c r="C226" s="69">
        <f>SUM(C210:C224)</f>
        <v>645</v>
      </c>
      <c r="D226" s="135" t="s">
        <v>94</v>
      </c>
      <c r="E226" s="85"/>
    </row>
    <row r="227" spans="1:5" ht="21.75" thickBot="1" x14ac:dyDescent="0.3">
      <c r="A227" s="462" t="s">
        <v>139</v>
      </c>
      <c r="B227" s="463"/>
      <c r="C227" s="71" t="s">
        <v>75</v>
      </c>
      <c r="D227" s="136" t="s">
        <v>65</v>
      </c>
      <c r="E227" s="83"/>
    </row>
    <row r="228" spans="1:5" ht="24" thickBot="1" x14ac:dyDescent="0.3">
      <c r="A228" s="464">
        <f>C226+A226</f>
        <v>17395</v>
      </c>
      <c r="B228" s="465"/>
      <c r="C228" s="81"/>
      <c r="D228" s="82" t="s">
        <v>10</v>
      </c>
      <c r="E228" s="83"/>
    </row>
    <row r="229" spans="1:5" ht="24" thickBot="1" x14ac:dyDescent="0.3">
      <c r="A229" s="466" t="s">
        <v>99</v>
      </c>
      <c r="B229" s="467"/>
      <c r="C229" s="78">
        <f>A230-C230</f>
        <v>46</v>
      </c>
      <c r="D229" s="82"/>
      <c r="E229" s="83"/>
    </row>
    <row r="230" spans="1:5" ht="24" thickBot="1" x14ac:dyDescent="0.3">
      <c r="A230" s="468">
        <f>C228+A228</f>
        <v>17395</v>
      </c>
      <c r="B230" s="469"/>
      <c r="C230" s="121">
        <v>17349</v>
      </c>
      <c r="D230" s="82" t="s">
        <v>164</v>
      </c>
      <c r="E230" s="83">
        <f>SUM(E227:E229)</f>
        <v>0</v>
      </c>
    </row>
    <row r="231" spans="1:5" ht="24" thickBot="1" x14ac:dyDescent="0.3">
      <c r="A231"/>
      <c r="B231"/>
      <c r="C231" s="314" t="str">
        <f>IF(C229&gt;0,"زيادة","عجز")</f>
        <v>زيادة</v>
      </c>
    </row>
    <row r="232" spans="1:5" ht="15.75" thickBot="1" x14ac:dyDescent="0.3">
      <c r="A232"/>
      <c r="B232"/>
    </row>
    <row r="233" spans="1:5" ht="27" thickBot="1" x14ac:dyDescent="0.3">
      <c r="A233" s="76" t="s">
        <v>15</v>
      </c>
      <c r="B233" s="460">
        <v>45118</v>
      </c>
      <c r="C233" s="461"/>
      <c r="D233" s="198" t="s">
        <v>607</v>
      </c>
    </row>
    <row r="234" spans="1:5" ht="21" thickBot="1" x14ac:dyDescent="0.3">
      <c r="A234" s="53" t="s">
        <v>137</v>
      </c>
      <c r="B234" s="53" t="s">
        <v>138</v>
      </c>
      <c r="C234" s="53" t="s">
        <v>3</v>
      </c>
    </row>
    <row r="235" spans="1:5" ht="18" x14ac:dyDescent="0.25">
      <c r="A235" s="55">
        <f>2350+30</f>
        <v>2380</v>
      </c>
      <c r="B235" s="77" t="s">
        <v>645</v>
      </c>
      <c r="C235" s="57">
        <v>2400</v>
      </c>
    </row>
    <row r="236" spans="1:5" ht="18" x14ac:dyDescent="0.25">
      <c r="A236" s="56"/>
      <c r="B236" s="56" t="s">
        <v>214</v>
      </c>
      <c r="C236" s="94">
        <v>804</v>
      </c>
    </row>
    <row r="237" spans="1:5" ht="18" x14ac:dyDescent="0.25">
      <c r="A237" s="56"/>
      <c r="B237" s="56" t="s">
        <v>339</v>
      </c>
      <c r="C237" s="94">
        <v>90</v>
      </c>
    </row>
    <row r="238" spans="1:5" ht="18" x14ac:dyDescent="0.25">
      <c r="A238" s="56"/>
      <c r="B238" s="56" t="s">
        <v>29</v>
      </c>
      <c r="C238" s="94">
        <v>100</v>
      </c>
    </row>
    <row r="239" spans="1:5" ht="18" x14ac:dyDescent="0.25">
      <c r="A239" s="56"/>
      <c r="B239" s="56" t="s">
        <v>458</v>
      </c>
      <c r="C239" s="94">
        <v>16</v>
      </c>
    </row>
    <row r="240" spans="1:5" ht="18" x14ac:dyDescent="0.25">
      <c r="A240" s="56"/>
      <c r="B240" s="56" t="s">
        <v>646</v>
      </c>
      <c r="C240" s="94">
        <v>1205</v>
      </c>
    </row>
    <row r="241" spans="1:5" ht="18" x14ac:dyDescent="0.25">
      <c r="A241" s="56"/>
      <c r="B241" s="56" t="s">
        <v>647</v>
      </c>
      <c r="C241" s="94">
        <v>3520</v>
      </c>
    </row>
    <row r="242" spans="1:5" ht="18" x14ac:dyDescent="0.25">
      <c r="A242" s="56"/>
      <c r="B242" s="56" t="s">
        <v>648</v>
      </c>
      <c r="C242" s="94">
        <v>305</v>
      </c>
    </row>
    <row r="243" spans="1:5" ht="21.75" customHeight="1" x14ac:dyDescent="0.25">
      <c r="A243" s="56"/>
      <c r="B243" s="56" t="s">
        <v>649</v>
      </c>
      <c r="C243" s="94">
        <v>830</v>
      </c>
    </row>
    <row r="244" spans="1:5" ht="21" customHeight="1" x14ac:dyDescent="0.25">
      <c r="A244" s="56"/>
      <c r="B244" s="56" t="s">
        <v>86</v>
      </c>
      <c r="C244" s="94">
        <v>168</v>
      </c>
    </row>
    <row r="245" spans="1:5" ht="18" x14ac:dyDescent="0.25">
      <c r="A245" s="56"/>
      <c r="B245" s="202" t="s">
        <v>15</v>
      </c>
      <c r="C245" s="94">
        <v>160</v>
      </c>
    </row>
    <row r="246" spans="1:5" ht="19.5" customHeight="1" x14ac:dyDescent="0.25">
      <c r="A246" s="56"/>
      <c r="B246" s="202" t="s">
        <v>494</v>
      </c>
      <c r="C246" s="94">
        <v>100</v>
      </c>
    </row>
    <row r="247" spans="1:5" ht="19.5" customHeight="1" x14ac:dyDescent="0.25">
      <c r="A247" s="60"/>
      <c r="B247" s="10" t="s">
        <v>45</v>
      </c>
      <c r="C247" s="94">
        <v>824</v>
      </c>
    </row>
    <row r="248" spans="1:5" ht="18" x14ac:dyDescent="0.25">
      <c r="A248" s="60"/>
      <c r="B248" s="202" t="s">
        <v>552</v>
      </c>
      <c r="C248" s="94">
        <v>100</v>
      </c>
    </row>
    <row r="249" spans="1:5" ht="18" x14ac:dyDescent="0.25">
      <c r="A249" s="60"/>
      <c r="B249" s="202" t="s">
        <v>520</v>
      </c>
      <c r="C249" s="94">
        <v>4875</v>
      </c>
    </row>
    <row r="250" spans="1:5" ht="18" x14ac:dyDescent="0.25">
      <c r="A250" s="60"/>
      <c r="B250" s="202" t="s">
        <v>498</v>
      </c>
      <c r="C250" s="94">
        <v>130</v>
      </c>
    </row>
    <row r="251" spans="1:5" ht="18" x14ac:dyDescent="0.25">
      <c r="A251" s="60"/>
      <c r="B251" s="202" t="s">
        <v>72</v>
      </c>
      <c r="C251" s="94">
        <v>100</v>
      </c>
    </row>
    <row r="252" spans="1:5" ht="18" x14ac:dyDescent="0.25">
      <c r="A252" s="60"/>
      <c r="B252" s="202"/>
      <c r="C252" s="94"/>
    </row>
    <row r="253" spans="1:5" ht="18.75" thickBot="1" x14ac:dyDescent="0.3">
      <c r="A253" s="60"/>
      <c r="B253" s="56"/>
      <c r="C253" s="153"/>
    </row>
    <row r="254" spans="1:5" ht="24" thickBot="1" x14ac:dyDescent="0.3">
      <c r="A254" s="66"/>
      <c r="B254" s="145"/>
      <c r="D254" s="134" t="s">
        <v>43</v>
      </c>
      <c r="E254" s="99">
        <f>E259-E255</f>
        <v>49</v>
      </c>
    </row>
    <row r="255" spans="1:5" ht="21.75" thickBot="1" x14ac:dyDescent="0.3">
      <c r="A255" s="68">
        <f>SUM(A235:A254)</f>
        <v>2380</v>
      </c>
      <c r="C255" s="69">
        <f>SUM(C235:C253)</f>
        <v>15727</v>
      </c>
      <c r="D255" s="135" t="s">
        <v>94</v>
      </c>
      <c r="E255" s="85">
        <f>8091-7868</f>
        <v>223</v>
      </c>
    </row>
    <row r="256" spans="1:5" ht="21.75" thickBot="1" x14ac:dyDescent="0.3">
      <c r="A256" s="462" t="s">
        <v>139</v>
      </c>
      <c r="B256" s="463"/>
      <c r="C256" s="71" t="s">
        <v>75</v>
      </c>
      <c r="D256" s="136" t="s">
        <v>65</v>
      </c>
      <c r="E256" s="83">
        <f>150+5+117</f>
        <v>272</v>
      </c>
    </row>
    <row r="257" spans="1:5" ht="24" thickBot="1" x14ac:dyDescent="0.3">
      <c r="A257" s="464">
        <f>C255+A255</f>
        <v>18107</v>
      </c>
      <c r="B257" s="465"/>
      <c r="C257" s="81"/>
      <c r="D257" s="82" t="s">
        <v>10</v>
      </c>
      <c r="E257" s="83"/>
    </row>
    <row r="258" spans="1:5" ht="24" thickBot="1" x14ac:dyDescent="0.3">
      <c r="A258" s="466" t="s">
        <v>99</v>
      </c>
      <c r="B258" s="467"/>
      <c r="C258" s="78">
        <f>A259-C259</f>
        <v>-37</v>
      </c>
      <c r="D258" s="82"/>
      <c r="E258" s="83"/>
    </row>
    <row r="259" spans="1:5" ht="24" thickBot="1" x14ac:dyDescent="0.3">
      <c r="A259" s="468">
        <f>C257+A257</f>
        <v>18107</v>
      </c>
      <c r="B259" s="469"/>
      <c r="C259" s="121">
        <v>18144</v>
      </c>
      <c r="D259" s="82" t="s">
        <v>164</v>
      </c>
      <c r="E259" s="83">
        <f>SUM(E256:E258)</f>
        <v>272</v>
      </c>
    </row>
    <row r="260" spans="1:5" ht="24" thickBot="1" x14ac:dyDescent="0.3">
      <c r="A260"/>
      <c r="B260"/>
      <c r="C260" s="314" t="str">
        <f>IF(C258&gt;0,"زيادة","عجز")</f>
        <v>عجز</v>
      </c>
    </row>
    <row r="261" spans="1:5" x14ac:dyDescent="0.25">
      <c r="A261"/>
      <c r="B261"/>
    </row>
    <row r="262" spans="1:5" x14ac:dyDescent="0.25">
      <c r="A262"/>
      <c r="B262"/>
    </row>
    <row r="263" spans="1:5" x14ac:dyDescent="0.25">
      <c r="A263"/>
      <c r="B263"/>
    </row>
    <row r="264" spans="1:5" x14ac:dyDescent="0.25">
      <c r="A264"/>
      <c r="B264"/>
    </row>
    <row r="265" spans="1:5" x14ac:dyDescent="0.25">
      <c r="A265"/>
      <c r="B265"/>
    </row>
    <row r="266" spans="1:5" x14ac:dyDescent="0.25">
      <c r="A266"/>
      <c r="B266"/>
    </row>
    <row r="267" spans="1:5" x14ac:dyDescent="0.25">
      <c r="A267"/>
      <c r="B267"/>
    </row>
    <row r="268" spans="1:5" x14ac:dyDescent="0.25">
      <c r="A268"/>
      <c r="B268"/>
    </row>
    <row r="269" spans="1:5" x14ac:dyDescent="0.25">
      <c r="A269"/>
      <c r="B269"/>
    </row>
    <row r="270" spans="1:5" x14ac:dyDescent="0.25">
      <c r="A270"/>
      <c r="B270"/>
    </row>
    <row r="271" spans="1:5" x14ac:dyDescent="0.25">
      <c r="A271"/>
      <c r="B271"/>
    </row>
    <row r="272" spans="1:5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6" x14ac:dyDescent="0.25">
      <c r="A353"/>
      <c r="B353"/>
    </row>
    <row r="354" spans="1:6" x14ac:dyDescent="0.25">
      <c r="A354"/>
      <c r="B354"/>
    </row>
    <row r="355" spans="1:6" x14ac:dyDescent="0.25">
      <c r="A355"/>
      <c r="B355"/>
    </row>
    <row r="356" spans="1:6" x14ac:dyDescent="0.25">
      <c r="A356"/>
      <c r="B356"/>
    </row>
    <row r="357" spans="1:6" x14ac:dyDescent="0.25">
      <c r="A357"/>
      <c r="B357"/>
    </row>
    <row r="358" spans="1:6" x14ac:dyDescent="0.25">
      <c r="A358"/>
      <c r="B358"/>
    </row>
    <row r="359" spans="1:6" x14ac:dyDescent="0.25">
      <c r="A359"/>
      <c r="B359"/>
    </row>
    <row r="360" spans="1:6" x14ac:dyDescent="0.25">
      <c r="A360"/>
      <c r="B360"/>
    </row>
    <row r="361" spans="1:6" x14ac:dyDescent="0.25">
      <c r="A361"/>
      <c r="B361"/>
    </row>
    <row r="362" spans="1:6" x14ac:dyDescent="0.25">
      <c r="A362"/>
      <c r="B362"/>
    </row>
    <row r="363" spans="1:6" x14ac:dyDescent="0.25">
      <c r="A363"/>
      <c r="B363"/>
    </row>
    <row r="364" spans="1:6" x14ac:dyDescent="0.25">
      <c r="A364"/>
      <c r="B364"/>
    </row>
    <row r="365" spans="1:6" x14ac:dyDescent="0.25">
      <c r="A365"/>
      <c r="B365"/>
      <c r="F365">
        <f>2778+2841-2043-2544</f>
        <v>1032</v>
      </c>
    </row>
    <row r="366" spans="1:6" x14ac:dyDescent="0.25">
      <c r="A366"/>
      <c r="B366"/>
      <c r="F366">
        <v>920</v>
      </c>
    </row>
    <row r="367" spans="1:6" x14ac:dyDescent="0.25">
      <c r="A367"/>
      <c r="B367"/>
    </row>
    <row r="368" spans="1:6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7" x14ac:dyDescent="0.25">
      <c r="A385"/>
      <c r="B385"/>
      <c r="G385" t="e">
        <f>#REF!-#REF!</f>
        <v>#REF!</v>
      </c>
    </row>
    <row r="386" spans="1:7" x14ac:dyDescent="0.25">
      <c r="A386"/>
      <c r="B386"/>
    </row>
    <row r="387" spans="1:7" x14ac:dyDescent="0.25">
      <c r="A387"/>
      <c r="B387"/>
    </row>
    <row r="388" spans="1:7" x14ac:dyDescent="0.25">
      <c r="A388"/>
      <c r="B388"/>
    </row>
    <row r="389" spans="1:7" x14ac:dyDescent="0.25">
      <c r="A389"/>
      <c r="B389"/>
    </row>
    <row r="390" spans="1:7" x14ac:dyDescent="0.25">
      <c r="A390"/>
      <c r="B390"/>
    </row>
    <row r="391" spans="1:7" x14ac:dyDescent="0.25">
      <c r="A391"/>
      <c r="B391"/>
    </row>
    <row r="392" spans="1:7" x14ac:dyDescent="0.25">
      <c r="A392"/>
      <c r="B392"/>
    </row>
    <row r="393" spans="1:7" x14ac:dyDescent="0.25">
      <c r="A393"/>
      <c r="B393"/>
    </row>
    <row r="394" spans="1:7" x14ac:dyDescent="0.25">
      <c r="A394"/>
      <c r="B394"/>
    </row>
    <row r="395" spans="1:7" x14ac:dyDescent="0.25">
      <c r="A395"/>
      <c r="B395"/>
    </row>
    <row r="396" spans="1:7" x14ac:dyDescent="0.25">
      <c r="A396"/>
      <c r="B396"/>
    </row>
    <row r="397" spans="1:7" x14ac:dyDescent="0.25">
      <c r="A397"/>
      <c r="B397"/>
    </row>
    <row r="398" spans="1:7" x14ac:dyDescent="0.25">
      <c r="A398"/>
      <c r="B398"/>
    </row>
    <row r="399" spans="1:7" x14ac:dyDescent="0.25">
      <c r="A399"/>
      <c r="B399"/>
    </row>
    <row r="400" spans="1:7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</sheetData>
  <mergeCells count="35">
    <mergeCell ref="A259:B259"/>
    <mergeCell ref="A227:B227"/>
    <mergeCell ref="A228:B228"/>
    <mergeCell ref="A229:B229"/>
    <mergeCell ref="A230:B230"/>
    <mergeCell ref="B233:C233"/>
    <mergeCell ref="A206:B206"/>
    <mergeCell ref="B208:C208"/>
    <mergeCell ref="A256:B256"/>
    <mergeCell ref="A257:B257"/>
    <mergeCell ref="A258:B258"/>
    <mergeCell ref="A181:B181"/>
    <mergeCell ref="B184:C184"/>
    <mergeCell ref="A203:B203"/>
    <mergeCell ref="A204:B204"/>
    <mergeCell ref="A205:B205"/>
    <mergeCell ref="A168:B168"/>
    <mergeCell ref="B171:C171"/>
    <mergeCell ref="A178:B178"/>
    <mergeCell ref="A179:B179"/>
    <mergeCell ref="A180:B180"/>
    <mergeCell ref="B151:C151"/>
    <mergeCell ref="A148:B148"/>
    <mergeCell ref="A165:B165"/>
    <mergeCell ref="A166:B166"/>
    <mergeCell ref="A167:B167"/>
    <mergeCell ref="B112:C112"/>
    <mergeCell ref="B131:C131"/>
    <mergeCell ref="A145:B145"/>
    <mergeCell ref="A146:B146"/>
    <mergeCell ref="A147:B147"/>
    <mergeCell ref="A124:B124"/>
    <mergeCell ref="A125:B125"/>
    <mergeCell ref="A126:B126"/>
    <mergeCell ref="A127:B127"/>
  </mergeCells>
  <conditionalFormatting sqref="C128">
    <cfRule type="expression" dxfId="67" priority="13">
      <formula>C128="عجز"</formula>
    </cfRule>
    <cfRule type="expression" dxfId="66" priority="14">
      <formula>C128="زيادة"</formula>
    </cfRule>
  </conditionalFormatting>
  <conditionalFormatting sqref="C149">
    <cfRule type="expression" dxfId="65" priority="11">
      <formula>C149="عجز"</formula>
    </cfRule>
    <cfRule type="expression" dxfId="64" priority="12">
      <formula>C149="زيادة"</formula>
    </cfRule>
  </conditionalFormatting>
  <conditionalFormatting sqref="C169">
    <cfRule type="expression" dxfId="63" priority="9">
      <formula>C169="عجز"</formula>
    </cfRule>
    <cfRule type="expression" dxfId="62" priority="10">
      <formula>C169="زيادة"</formula>
    </cfRule>
  </conditionalFormatting>
  <conditionalFormatting sqref="C182">
    <cfRule type="expression" dxfId="61" priority="7">
      <formula>C182="عجز"</formula>
    </cfRule>
    <cfRule type="expression" dxfId="60" priority="8">
      <formula>C182="زيادة"</formula>
    </cfRule>
  </conditionalFormatting>
  <conditionalFormatting sqref="C207">
    <cfRule type="expression" dxfId="59" priority="5">
      <formula>C207="عجز"</formula>
    </cfRule>
    <cfRule type="expression" dxfId="58" priority="6">
      <formula>C207="زيادة"</formula>
    </cfRule>
  </conditionalFormatting>
  <conditionalFormatting sqref="C231">
    <cfRule type="expression" dxfId="57" priority="3">
      <formula>C231="عجز"</formula>
    </cfRule>
    <cfRule type="expression" dxfId="56" priority="4">
      <formula>C231="زيادة"</formula>
    </cfRule>
  </conditionalFormatting>
  <conditionalFormatting sqref="C260">
    <cfRule type="expression" dxfId="55" priority="1">
      <formula>C260="عجز"</formula>
    </cfRule>
    <cfRule type="expression" dxfId="54" priority="2">
      <formula>C260="زيادة"</formula>
    </cfRule>
  </conditionalFormatting>
  <hyperlinks>
    <hyperlink ref="D131" location="'11-7-2023'!A5" display="'11-7-2023'!A5" xr:uid="{DE2AA3D5-ECBA-422D-90D1-8763C99AEE5B}"/>
    <hyperlink ref="D112" location="'11-7-2023'!A5" display="'11-7-2023'!A5" xr:uid="{498CB883-156C-4082-A734-134773C23DB8}"/>
    <hyperlink ref="D151" location="'11-7-2023'!A5" display="'11-7-2023'!A5" xr:uid="{F97AF560-763E-49E3-9D29-9C65EF75CB2F}"/>
    <hyperlink ref="D171" location="'11-7-2023'!A5" display="'11-7-2023'!A5" xr:uid="{F9D7E1C0-BEEF-4AEC-A35F-2A6FCA4B920B}"/>
    <hyperlink ref="D184" location="'11-7-2023'!A5" display="'11-7-2023'!A5" xr:uid="{8A35BAD7-F993-4BE6-B378-C5F67539A0DA}"/>
    <hyperlink ref="D208" location="'11-7-2023'!A5" display="'11-7-2023'!A5" xr:uid="{7B43313E-CE23-4F36-977A-28908917C5FA}"/>
    <hyperlink ref="D233" location="'11-7-2023'!A5" display="'11-7-2023'!A5" xr:uid="{DF08D24F-FA4F-4BDA-92E2-2B798E7B8058}"/>
  </hyperlinks>
  <pageMargins left="0.7" right="0.7" top="0.75" bottom="0.75" header="0.3" footer="0.3"/>
  <pageSetup paperSize="260" orientation="portrait" horizontalDpi="203" verticalDpi="20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EFDE52-A1CD-4414-AC45-B2D8C0EC8135}">
          <x14:formula1>
            <xm:f>data!$A$57:$A$70</xm:f>
          </x14:formula1>
          <xm:sqref>C95:C101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6B3C-C8DE-403F-9A61-C09792D72D00}">
  <sheetPr>
    <tabColor rgb="FFFF0000"/>
  </sheetPr>
  <dimension ref="A1:K2475"/>
  <sheetViews>
    <sheetView rightToLeft="1" topLeftCell="A57" zoomScale="85" zoomScaleNormal="85" workbookViewId="0">
      <selection activeCell="B65" sqref="B65:C65"/>
    </sheetView>
  </sheetViews>
  <sheetFormatPr defaultRowHeight="15" x14ac:dyDescent="0.25"/>
  <cols>
    <col min="1" max="1" width="39.140625" customWidth="1"/>
    <col min="2" max="2" width="18.7109375" bestFit="1" customWidth="1"/>
    <col min="3" max="3" width="26.7109375" customWidth="1"/>
    <col min="4" max="4" width="12.28515625" customWidth="1"/>
    <col min="5" max="5" width="12.5703125" bestFit="1" customWidth="1"/>
    <col min="7" max="7" width="39.140625" customWidth="1"/>
    <col min="8" max="8" width="11.7109375" bestFit="1" customWidth="1"/>
    <col min="9" max="9" width="26.7109375" customWidth="1"/>
    <col min="10" max="10" width="16.7109375" bestFit="1" customWidth="1"/>
    <col min="11" max="11" width="11" bestFit="1" customWidth="1"/>
  </cols>
  <sheetData>
    <row r="1" spans="1:9" ht="15.75" thickBot="1" x14ac:dyDescent="0.3"/>
    <row r="2" spans="1:9" ht="24" thickBot="1" x14ac:dyDescent="0.3">
      <c r="A2" s="76" t="s">
        <v>88</v>
      </c>
      <c r="B2" s="460">
        <v>45136</v>
      </c>
      <c r="C2" s="461"/>
      <c r="G2" s="76" t="s">
        <v>60</v>
      </c>
      <c r="H2" s="460">
        <v>45137</v>
      </c>
      <c r="I2" s="461"/>
    </row>
    <row r="3" spans="1:9" ht="21" thickBot="1" x14ac:dyDescent="0.3">
      <c r="A3" s="53" t="s">
        <v>137</v>
      </c>
      <c r="B3" s="53" t="s">
        <v>3</v>
      </c>
      <c r="C3" s="53" t="s">
        <v>138</v>
      </c>
      <c r="G3" s="53" t="s">
        <v>137</v>
      </c>
      <c r="H3" s="53" t="s">
        <v>3</v>
      </c>
      <c r="I3" s="53" t="s">
        <v>138</v>
      </c>
    </row>
    <row r="4" spans="1:9" ht="18" x14ac:dyDescent="0.25">
      <c r="A4" s="55">
        <v>135</v>
      </c>
      <c r="B4" s="57">
        <v>3</v>
      </c>
      <c r="C4" s="56" t="s">
        <v>119</v>
      </c>
      <c r="G4" s="55">
        <v>25</v>
      </c>
      <c r="H4" s="77">
        <v>50</v>
      </c>
      <c r="I4" s="57" t="s">
        <v>31</v>
      </c>
    </row>
    <row r="5" spans="1:9" ht="18" x14ac:dyDescent="0.25">
      <c r="A5" s="60"/>
      <c r="B5" s="56">
        <v>210</v>
      </c>
      <c r="C5" s="56" t="s">
        <v>255</v>
      </c>
      <c r="G5" s="60"/>
      <c r="H5" s="56">
        <v>215</v>
      </c>
      <c r="I5" s="57" t="s">
        <v>329</v>
      </c>
    </row>
    <row r="6" spans="1:9" ht="18" x14ac:dyDescent="0.25">
      <c r="A6" s="60"/>
      <c r="B6" s="77">
        <v>120</v>
      </c>
      <c r="C6" s="56" t="s">
        <v>393</v>
      </c>
      <c r="G6" s="60"/>
      <c r="H6" s="77">
        <v>60</v>
      </c>
      <c r="I6" s="57" t="s">
        <v>1529</v>
      </c>
    </row>
    <row r="7" spans="1:9" ht="18" x14ac:dyDescent="0.25">
      <c r="A7" s="60"/>
      <c r="B7" s="77">
        <v>17000</v>
      </c>
      <c r="C7" s="56" t="s">
        <v>296</v>
      </c>
      <c r="G7" s="60"/>
      <c r="H7" s="56">
        <v>10</v>
      </c>
      <c r="I7" s="57" t="s">
        <v>447</v>
      </c>
    </row>
    <row r="8" spans="1:9" ht="18" x14ac:dyDescent="0.25">
      <c r="A8" s="60"/>
      <c r="B8" s="56"/>
      <c r="C8" s="56"/>
      <c r="G8" s="60"/>
      <c r="H8" s="77">
        <v>20</v>
      </c>
      <c r="I8" s="57" t="s">
        <v>446</v>
      </c>
    </row>
    <row r="9" spans="1:9" ht="18" x14ac:dyDescent="0.25">
      <c r="A9" s="60"/>
      <c r="B9" s="77"/>
      <c r="C9" s="56"/>
      <c r="G9" s="60"/>
      <c r="H9" s="77">
        <v>2835</v>
      </c>
      <c r="I9" s="57" t="s">
        <v>1458</v>
      </c>
    </row>
    <row r="10" spans="1:9" ht="18" x14ac:dyDescent="0.25">
      <c r="A10" s="60"/>
      <c r="B10" s="56"/>
      <c r="C10" s="56"/>
      <c r="G10" s="60"/>
      <c r="H10" s="56">
        <v>160</v>
      </c>
      <c r="I10" s="57" t="s">
        <v>1593</v>
      </c>
    </row>
    <row r="11" spans="1:9" ht="18" x14ac:dyDescent="0.25">
      <c r="A11" s="60"/>
      <c r="B11" s="77"/>
      <c r="C11" s="56"/>
      <c r="G11" s="60"/>
      <c r="H11" s="56">
        <v>73</v>
      </c>
      <c r="I11" s="57" t="s">
        <v>1594</v>
      </c>
    </row>
    <row r="12" spans="1:9" ht="18" x14ac:dyDescent="0.25">
      <c r="A12" s="60"/>
      <c r="B12" s="77"/>
      <c r="C12" s="56"/>
      <c r="G12" s="60"/>
      <c r="H12" s="56">
        <v>159</v>
      </c>
      <c r="I12" s="57" t="s">
        <v>97</v>
      </c>
    </row>
    <row r="13" spans="1:9" ht="18" x14ac:dyDescent="0.25">
      <c r="A13" s="60"/>
      <c r="B13" s="56"/>
      <c r="C13" s="56"/>
      <c r="G13" s="60"/>
      <c r="H13" s="56">
        <v>1975</v>
      </c>
      <c r="I13" s="57" t="s">
        <v>27</v>
      </c>
    </row>
    <row r="14" spans="1:9" ht="18" x14ac:dyDescent="0.25">
      <c r="A14" s="60"/>
      <c r="B14" s="77"/>
      <c r="C14" s="56"/>
      <c r="G14" s="60"/>
      <c r="H14" s="56">
        <v>900</v>
      </c>
      <c r="I14" s="57" t="s">
        <v>296</v>
      </c>
    </row>
    <row r="15" spans="1:9" ht="18" x14ac:dyDescent="0.25">
      <c r="A15" s="60"/>
      <c r="B15" s="56"/>
      <c r="C15" s="56"/>
      <c r="G15" s="60"/>
      <c r="H15" s="56">
        <v>265</v>
      </c>
      <c r="I15" s="57" t="s">
        <v>61</v>
      </c>
    </row>
    <row r="16" spans="1:9" ht="18" x14ac:dyDescent="0.25">
      <c r="A16" s="60"/>
      <c r="B16" s="77"/>
      <c r="C16" s="56"/>
      <c r="G16" s="60"/>
      <c r="H16" s="56">
        <v>1490</v>
      </c>
      <c r="I16" s="57" t="s">
        <v>519</v>
      </c>
    </row>
    <row r="17" spans="1:11" ht="18" x14ac:dyDescent="0.25">
      <c r="A17" s="60"/>
      <c r="B17" s="77"/>
      <c r="C17" s="56"/>
      <c r="G17" s="60"/>
      <c r="H17" s="77">
        <v>2300</v>
      </c>
      <c r="I17" s="57" t="s">
        <v>17</v>
      </c>
    </row>
    <row r="18" spans="1:11" ht="18" x14ac:dyDescent="0.25">
      <c r="A18" s="60"/>
      <c r="B18" s="56"/>
      <c r="C18" s="56"/>
      <c r="G18" s="60"/>
      <c r="H18" s="56"/>
      <c r="I18" s="57"/>
    </row>
    <row r="19" spans="1:11" ht="18" x14ac:dyDescent="0.25">
      <c r="A19" s="60"/>
      <c r="B19" s="56"/>
      <c r="C19" s="56"/>
      <c r="G19" s="60"/>
      <c r="H19" s="56"/>
      <c r="I19" s="57"/>
    </row>
    <row r="20" spans="1:11" ht="18" x14ac:dyDescent="0.25">
      <c r="A20" s="60"/>
      <c r="B20" s="56"/>
      <c r="C20" s="56"/>
      <c r="G20" s="60"/>
      <c r="H20" s="56"/>
      <c r="I20" s="57"/>
    </row>
    <row r="21" spans="1:11" ht="18" x14ac:dyDescent="0.25">
      <c r="A21" s="60"/>
      <c r="B21" s="56"/>
      <c r="C21" s="56"/>
      <c r="G21" s="60"/>
      <c r="H21" s="56"/>
      <c r="I21" s="57"/>
    </row>
    <row r="22" spans="1:11" ht="18" x14ac:dyDescent="0.25">
      <c r="A22" s="60"/>
      <c r="B22" s="56"/>
      <c r="C22" s="56"/>
      <c r="G22" s="60"/>
      <c r="H22" s="56"/>
      <c r="I22" s="57"/>
    </row>
    <row r="23" spans="1:11" ht="18.75" thickBot="1" x14ac:dyDescent="0.3">
      <c r="A23" s="60"/>
      <c r="B23" s="56"/>
      <c r="C23" s="56"/>
      <c r="G23" s="60"/>
      <c r="H23" s="77"/>
      <c r="I23" s="57"/>
    </row>
    <row r="24" spans="1:11" ht="24" thickBot="1" x14ac:dyDescent="0.3">
      <c r="A24" s="66"/>
      <c r="B24" s="56"/>
      <c r="C24" s="64"/>
      <c r="D24" s="314" t="str">
        <f>IF(E24&gt;0,"زيادة","عجز")</f>
        <v>زيادة</v>
      </c>
      <c r="E24" s="99">
        <f>E29-E25</f>
        <v>33</v>
      </c>
      <c r="G24" s="60"/>
      <c r="H24" s="56"/>
      <c r="I24" s="57"/>
    </row>
    <row r="25" spans="1:11" ht="24" thickBot="1" x14ac:dyDescent="0.3">
      <c r="A25" s="68">
        <f>SUM(A4:A24)</f>
        <v>135</v>
      </c>
      <c r="B25" s="69">
        <f>SUM(B4:B24)</f>
        <v>17333</v>
      </c>
      <c r="D25" s="135" t="s">
        <v>94</v>
      </c>
      <c r="E25" s="99">
        <f>1274-937</f>
        <v>337</v>
      </c>
      <c r="G25" s="68">
        <f>SUM(G4:G24)</f>
        <v>25</v>
      </c>
      <c r="H25" s="69">
        <f>SUM(H4:H24)</f>
        <v>10512</v>
      </c>
      <c r="J25" s="314" t="str">
        <f>IF(K25&gt;0,"زيادة","عجز")</f>
        <v>زيادة</v>
      </c>
      <c r="K25" s="99">
        <f>K30-K26</f>
        <v>61</v>
      </c>
    </row>
    <row r="26" spans="1:11" ht="24" thickBot="1" x14ac:dyDescent="0.3">
      <c r="A26" s="462" t="s">
        <v>139</v>
      </c>
      <c r="B26" s="463"/>
      <c r="C26" s="71" t="s">
        <v>75</v>
      </c>
      <c r="D26" s="136" t="s">
        <v>65</v>
      </c>
      <c r="E26" s="85">
        <v>370</v>
      </c>
      <c r="G26" s="462" t="s">
        <v>139</v>
      </c>
      <c r="H26" s="463"/>
      <c r="I26" s="71" t="s">
        <v>75</v>
      </c>
      <c r="J26" s="135" t="s">
        <v>94</v>
      </c>
      <c r="K26" s="99">
        <f>688-177</f>
        <v>511</v>
      </c>
    </row>
    <row r="27" spans="1:11" ht="24" thickBot="1" x14ac:dyDescent="0.3">
      <c r="A27" s="464">
        <f>B25+A25</f>
        <v>17468</v>
      </c>
      <c r="B27" s="465"/>
      <c r="C27" s="313">
        <f>153+265+62+365+43</f>
        <v>888</v>
      </c>
      <c r="D27" s="82"/>
      <c r="E27" s="83"/>
      <c r="G27" s="464">
        <f>H25+G25</f>
        <v>10537</v>
      </c>
      <c r="H27" s="465"/>
      <c r="I27" s="313"/>
      <c r="J27" s="136" t="s">
        <v>65</v>
      </c>
      <c r="K27" s="85">
        <f>572</f>
        <v>572</v>
      </c>
    </row>
    <row r="28" spans="1:11" ht="24" thickBot="1" x14ac:dyDescent="0.3">
      <c r="A28" s="466" t="s">
        <v>99</v>
      </c>
      <c r="B28" s="467"/>
      <c r="C28" s="78">
        <f>A29-C29</f>
        <v>111</v>
      </c>
      <c r="D28" s="82"/>
      <c r="E28" s="83"/>
      <c r="G28" s="466" t="s">
        <v>99</v>
      </c>
      <c r="H28" s="467"/>
      <c r="I28" s="78">
        <f>G29-I29</f>
        <v>-26</v>
      </c>
      <c r="J28" s="82"/>
      <c r="K28" s="83"/>
    </row>
    <row r="29" spans="1:11" ht="24" thickBot="1" x14ac:dyDescent="0.3">
      <c r="A29" s="468">
        <f>C27+A27</f>
        <v>18356</v>
      </c>
      <c r="B29" s="469"/>
      <c r="C29" s="121">
        <v>18245</v>
      </c>
      <c r="D29" s="82" t="s">
        <v>164</v>
      </c>
      <c r="E29" s="83">
        <f>SUM(E26:E28)</f>
        <v>370</v>
      </c>
      <c r="G29" s="468">
        <f>I27+G27</f>
        <v>10537</v>
      </c>
      <c r="H29" s="469"/>
      <c r="I29" s="121">
        <f>10490+73</f>
        <v>10563</v>
      </c>
      <c r="J29" s="82"/>
      <c r="K29" s="83"/>
    </row>
    <row r="30" spans="1:11" ht="24" thickBot="1" x14ac:dyDescent="0.3">
      <c r="C30" s="314" t="str">
        <f>IF(C28&gt;0,"زيادة","عجز")</f>
        <v>زيادة</v>
      </c>
      <c r="D30" s="318"/>
      <c r="I30" s="314" t="str">
        <f>IF(I28&gt;0,"زيادة","عجز")</f>
        <v>عجز</v>
      </c>
      <c r="J30" s="82" t="s">
        <v>164</v>
      </c>
      <c r="K30" s="83">
        <f>SUM(K27:K29)</f>
        <v>572</v>
      </c>
    </row>
    <row r="31" spans="1:11" ht="18.75" x14ac:dyDescent="0.25">
      <c r="J31" s="318"/>
    </row>
    <row r="33" spans="1:11" ht="15.75" thickBot="1" x14ac:dyDescent="0.3"/>
    <row r="34" spans="1:11" ht="24" thickBot="1" x14ac:dyDescent="0.3">
      <c r="A34" s="76" t="s">
        <v>85</v>
      </c>
      <c r="B34" s="460">
        <v>45136</v>
      </c>
      <c r="C34" s="474"/>
      <c r="G34" s="76" t="s">
        <v>80</v>
      </c>
      <c r="H34" s="460">
        <v>45136</v>
      </c>
      <c r="I34" s="461"/>
    </row>
    <row r="35" spans="1:11" ht="21" thickBot="1" x14ac:dyDescent="0.3">
      <c r="A35" s="53" t="s">
        <v>137</v>
      </c>
      <c r="B35" s="53" t="s">
        <v>3</v>
      </c>
      <c r="C35" s="53" t="s">
        <v>138</v>
      </c>
      <c r="G35" s="53" t="s">
        <v>137</v>
      </c>
      <c r="H35" s="53" t="s">
        <v>3</v>
      </c>
      <c r="I35" s="53" t="s">
        <v>138</v>
      </c>
    </row>
    <row r="36" spans="1:11" ht="18" x14ac:dyDescent="0.25">
      <c r="A36" s="55">
        <f>10870-2315-5000-200-550-580-2085</f>
        <v>140</v>
      </c>
      <c r="B36" s="77">
        <v>22</v>
      </c>
      <c r="C36" s="57" t="s">
        <v>119</v>
      </c>
      <c r="G36" s="55">
        <f>2000+43</f>
        <v>2043</v>
      </c>
      <c r="H36" s="77">
        <v>180</v>
      </c>
      <c r="I36" s="57" t="s">
        <v>284</v>
      </c>
    </row>
    <row r="37" spans="1:11" ht="18" x14ac:dyDescent="0.25">
      <c r="A37" s="60"/>
      <c r="B37" s="56">
        <v>70</v>
      </c>
      <c r="C37" s="57" t="s">
        <v>24</v>
      </c>
      <c r="G37" s="60"/>
      <c r="H37" s="56">
        <v>2170</v>
      </c>
      <c r="I37" s="57" t="s">
        <v>1147</v>
      </c>
    </row>
    <row r="38" spans="1:11" ht="18" x14ac:dyDescent="0.25">
      <c r="A38" s="60"/>
      <c r="B38" s="77">
        <v>100</v>
      </c>
      <c r="C38" s="57" t="s">
        <v>1465</v>
      </c>
      <c r="G38" s="60"/>
      <c r="H38" s="77">
        <v>425</v>
      </c>
      <c r="I38" s="77" t="s">
        <v>11</v>
      </c>
    </row>
    <row r="39" spans="1:11" ht="18" x14ac:dyDescent="0.25">
      <c r="A39" s="60"/>
      <c r="B39" s="56">
        <v>190</v>
      </c>
      <c r="C39" s="57" t="s">
        <v>15</v>
      </c>
      <c r="G39" s="60"/>
      <c r="H39" s="56">
        <v>1370</v>
      </c>
      <c r="I39" s="77" t="s">
        <v>1603</v>
      </c>
    </row>
    <row r="40" spans="1:11" ht="18" x14ac:dyDescent="0.25">
      <c r="A40" s="60"/>
      <c r="B40" s="77">
        <v>170</v>
      </c>
      <c r="C40" s="56" t="s">
        <v>86</v>
      </c>
      <c r="G40" s="60"/>
      <c r="H40" s="77">
        <v>455</v>
      </c>
      <c r="I40" s="56" t="s">
        <v>1060</v>
      </c>
    </row>
    <row r="41" spans="1:11" ht="18" x14ac:dyDescent="0.25">
      <c r="A41" s="60"/>
      <c r="B41" s="77">
        <v>2315</v>
      </c>
      <c r="C41" s="56" t="s">
        <v>1597</v>
      </c>
      <c r="G41" s="60"/>
      <c r="H41" s="77">
        <v>720</v>
      </c>
      <c r="I41" s="56" t="s">
        <v>56</v>
      </c>
    </row>
    <row r="42" spans="1:11" ht="18" x14ac:dyDescent="0.25">
      <c r="A42" s="60"/>
      <c r="B42" s="56">
        <v>5000</v>
      </c>
      <c r="C42" s="56" t="s">
        <v>346</v>
      </c>
      <c r="G42" s="60"/>
      <c r="H42" s="56">
        <v>220</v>
      </c>
      <c r="I42" s="56" t="s">
        <v>252</v>
      </c>
    </row>
    <row r="43" spans="1:11" ht="18" x14ac:dyDescent="0.25">
      <c r="A43" s="60"/>
      <c r="B43" s="56">
        <v>200</v>
      </c>
      <c r="C43" s="56" t="s">
        <v>1598</v>
      </c>
      <c r="G43" s="60"/>
      <c r="H43" s="56">
        <v>1520</v>
      </c>
      <c r="I43" s="56" t="s">
        <v>12</v>
      </c>
    </row>
    <row r="44" spans="1:11" ht="18" x14ac:dyDescent="0.25">
      <c r="A44" s="60"/>
      <c r="B44" s="56">
        <v>550</v>
      </c>
      <c r="C44" s="56" t="s">
        <v>1596</v>
      </c>
      <c r="G44" s="60"/>
      <c r="H44" s="56">
        <v>607</v>
      </c>
      <c r="I44" s="56" t="s">
        <v>1604</v>
      </c>
    </row>
    <row r="45" spans="1:11" ht="18" x14ac:dyDescent="0.25">
      <c r="A45" s="60"/>
      <c r="B45" s="56">
        <v>2085</v>
      </c>
      <c r="C45" s="56" t="s">
        <v>53</v>
      </c>
      <c r="G45" s="60"/>
      <c r="H45" s="56">
        <v>10</v>
      </c>
      <c r="I45" s="56" t="s">
        <v>357</v>
      </c>
      <c r="K45">
        <f>20+3+10+120+20+8+34+8+14+30+25</f>
        <v>292</v>
      </c>
    </row>
    <row r="46" spans="1:11" ht="18" x14ac:dyDescent="0.25">
      <c r="A46" s="60"/>
      <c r="B46" s="56">
        <v>580</v>
      </c>
      <c r="C46" s="56" t="s">
        <v>1599</v>
      </c>
      <c r="G46" s="60"/>
      <c r="H46" s="56">
        <v>1280</v>
      </c>
      <c r="I46" s="56" t="s">
        <v>17</v>
      </c>
    </row>
    <row r="47" spans="1:11" ht="18" x14ac:dyDescent="0.25">
      <c r="A47" s="60"/>
      <c r="B47" s="56"/>
      <c r="C47" s="56"/>
      <c r="G47" s="60"/>
      <c r="H47" s="56"/>
      <c r="I47" s="56"/>
    </row>
    <row r="48" spans="1:11" ht="18" x14ac:dyDescent="0.25">
      <c r="A48" s="60"/>
      <c r="B48" s="56"/>
      <c r="C48" s="56"/>
      <c r="G48" s="60"/>
      <c r="H48" s="56"/>
      <c r="I48" s="56"/>
    </row>
    <row r="49" spans="1:11" ht="18" x14ac:dyDescent="0.25">
      <c r="A49" s="60"/>
      <c r="B49" s="56"/>
      <c r="C49" s="56"/>
      <c r="G49" s="60"/>
      <c r="H49" s="56"/>
      <c r="I49" s="56"/>
    </row>
    <row r="50" spans="1:11" ht="18" x14ac:dyDescent="0.25">
      <c r="A50" s="60"/>
      <c r="B50" s="56"/>
      <c r="C50" s="56"/>
      <c r="G50" s="60"/>
      <c r="H50" s="56"/>
      <c r="I50" s="56"/>
    </row>
    <row r="51" spans="1:11" ht="27" thickBot="1" x14ac:dyDescent="0.45">
      <c r="A51" s="60"/>
      <c r="B51" s="56"/>
      <c r="C51" s="56"/>
      <c r="D51" s="472"/>
      <c r="E51" s="473"/>
      <c r="G51" s="60"/>
      <c r="H51" s="56"/>
      <c r="I51" s="56"/>
    </row>
    <row r="52" spans="1:11" ht="24" thickBot="1" x14ac:dyDescent="0.3">
      <c r="A52" s="66"/>
      <c r="B52" s="56"/>
      <c r="C52" s="64"/>
      <c r="D52" s="314" t="str">
        <f>IF(E52&gt;0,"زيادة","عجز")</f>
        <v>عجز</v>
      </c>
      <c r="E52" s="99">
        <f>E58-E53</f>
        <v>0</v>
      </c>
      <c r="G52" s="60"/>
      <c r="H52" s="56"/>
      <c r="I52" s="56"/>
    </row>
    <row r="53" spans="1:11" ht="24" thickBot="1" x14ac:dyDescent="0.3">
      <c r="A53" s="68">
        <f>SUM(A36:A52)</f>
        <v>140</v>
      </c>
      <c r="B53" s="69">
        <f>SUM(B36:B52)</f>
        <v>11282</v>
      </c>
      <c r="D53" s="135" t="s">
        <v>94</v>
      </c>
      <c r="E53" s="99"/>
      <c r="G53" s="60"/>
      <c r="H53" s="56"/>
      <c r="I53" s="56"/>
    </row>
    <row r="54" spans="1:11" ht="21.75" thickBot="1" x14ac:dyDescent="0.3">
      <c r="A54" s="365" t="s">
        <v>139</v>
      </c>
      <c r="B54" s="366"/>
      <c r="C54" s="71" t="s">
        <v>75</v>
      </c>
      <c r="D54" s="136" t="s">
        <v>65</v>
      </c>
      <c r="E54" s="85"/>
      <c r="G54" s="60"/>
      <c r="H54" s="56"/>
      <c r="I54" s="56"/>
    </row>
    <row r="55" spans="1:11" ht="24" thickBot="1" x14ac:dyDescent="0.3">
      <c r="A55" s="367">
        <f>B53+A53</f>
        <v>11422</v>
      </c>
      <c r="B55" s="368"/>
      <c r="C55" s="313">
        <v>333</v>
      </c>
      <c r="D55" s="82"/>
      <c r="E55" s="83"/>
      <c r="G55" s="66"/>
      <c r="H55" s="56"/>
      <c r="I55" s="64"/>
    </row>
    <row r="56" spans="1:11" ht="24" thickBot="1" x14ac:dyDescent="0.3">
      <c r="A56" s="369" t="s">
        <v>99</v>
      </c>
      <c r="B56" s="370"/>
      <c r="C56" s="78">
        <f>A57-C57</f>
        <v>-52</v>
      </c>
      <c r="D56" s="82"/>
      <c r="E56" s="83"/>
      <c r="G56" s="68">
        <f>SUM(G36:G55)</f>
        <v>2043</v>
      </c>
      <c r="H56" s="69">
        <f>SUM(H36:H55)</f>
        <v>8957</v>
      </c>
      <c r="J56" s="314" t="str">
        <f>IF(K56&gt;0,"زيادة","عجز")</f>
        <v>زيادة</v>
      </c>
      <c r="K56" s="99">
        <f>K61-K57</f>
        <v>168</v>
      </c>
    </row>
    <row r="57" spans="1:11" ht="24" thickBot="1" x14ac:dyDescent="0.3">
      <c r="A57" s="371">
        <f>C55+A55</f>
        <v>11755</v>
      </c>
      <c r="B57" s="372"/>
      <c r="C57" s="121">
        <v>11807</v>
      </c>
      <c r="D57" s="82"/>
      <c r="E57" s="83"/>
      <c r="G57" s="462" t="s">
        <v>139</v>
      </c>
      <c r="H57" s="463"/>
      <c r="I57" s="71" t="s">
        <v>75</v>
      </c>
      <c r="J57" s="135" t="s">
        <v>94</v>
      </c>
      <c r="K57" s="99"/>
    </row>
    <row r="58" spans="1:11" ht="24" thickBot="1" x14ac:dyDescent="0.3">
      <c r="C58" s="314" t="str">
        <f>IF(C56&gt;0,"زيادة","عجز")</f>
        <v>عجز</v>
      </c>
      <c r="D58" s="82" t="s">
        <v>164</v>
      </c>
      <c r="E58" s="83">
        <f>SUM(E54:E57)</f>
        <v>0</v>
      </c>
      <c r="G58" s="464">
        <f>H56+G56</f>
        <v>11000</v>
      </c>
      <c r="H58" s="465"/>
      <c r="I58" s="313">
        <v>200</v>
      </c>
      <c r="J58" s="136" t="s">
        <v>65</v>
      </c>
      <c r="K58" s="85">
        <v>168</v>
      </c>
    </row>
    <row r="59" spans="1:11" ht="24" thickBot="1" x14ac:dyDescent="0.3">
      <c r="D59" s="318"/>
      <c r="G59" s="466" t="s">
        <v>99</v>
      </c>
      <c r="H59" s="467"/>
      <c r="I59" s="78">
        <f>G60-I60</f>
        <v>-34</v>
      </c>
      <c r="J59" s="82"/>
      <c r="K59" s="83"/>
    </row>
    <row r="60" spans="1:11" ht="24" thickBot="1" x14ac:dyDescent="0.3">
      <c r="G60" s="468">
        <f>I58+G58</f>
        <v>11200</v>
      </c>
      <c r="H60" s="469"/>
      <c r="I60" s="121">
        <f>11057+177</f>
        <v>11234</v>
      </c>
      <c r="J60" s="82"/>
      <c r="K60" s="83"/>
    </row>
    <row r="61" spans="1:11" ht="24" thickBot="1" x14ac:dyDescent="0.3">
      <c r="I61" s="314" t="str">
        <f>IF(I59&gt;0,"زيادة","عجز")</f>
        <v>عجز</v>
      </c>
      <c r="J61" s="82" t="s">
        <v>164</v>
      </c>
      <c r="K61" s="83">
        <f>SUM(K58:K60)</f>
        <v>168</v>
      </c>
    </row>
    <row r="62" spans="1:11" ht="24" thickBot="1" x14ac:dyDescent="0.3">
      <c r="I62" s="372"/>
      <c r="J62" s="318"/>
    </row>
    <row r="63" spans="1:11" ht="24" thickBot="1" x14ac:dyDescent="0.3">
      <c r="A63" s="76" t="s">
        <v>1545</v>
      </c>
      <c r="B63" s="460">
        <v>45137</v>
      </c>
      <c r="C63" s="474"/>
      <c r="G63" s="76" t="s">
        <v>1550</v>
      </c>
      <c r="H63" s="460">
        <v>45136</v>
      </c>
      <c r="I63" s="461"/>
      <c r="J63" s="104"/>
    </row>
    <row r="64" spans="1:11" ht="21" thickBot="1" x14ac:dyDescent="0.3">
      <c r="A64" s="53" t="s">
        <v>137</v>
      </c>
      <c r="B64" s="53" t="s">
        <v>3</v>
      </c>
      <c r="C64" s="53" t="s">
        <v>138</v>
      </c>
      <c r="G64" s="53" t="s">
        <v>137</v>
      </c>
      <c r="H64" s="53" t="s">
        <v>3</v>
      </c>
      <c r="I64" s="53" t="s">
        <v>138</v>
      </c>
    </row>
    <row r="65" spans="1:9" ht="18" x14ac:dyDescent="0.25">
      <c r="A65" s="55">
        <f>2000+390</f>
        <v>2390</v>
      </c>
      <c r="B65" s="77">
        <v>15</v>
      </c>
      <c r="C65" s="57" t="s">
        <v>32</v>
      </c>
      <c r="G65" s="55"/>
      <c r="H65" s="77"/>
      <c r="I65" s="57"/>
    </row>
    <row r="66" spans="1:9" ht="18" x14ac:dyDescent="0.25">
      <c r="A66" s="60"/>
      <c r="B66" s="56">
        <v>80</v>
      </c>
      <c r="C66" s="57" t="s">
        <v>71</v>
      </c>
      <c r="G66" s="60"/>
      <c r="H66" s="56"/>
      <c r="I66" s="57"/>
    </row>
    <row r="67" spans="1:9" ht="18" x14ac:dyDescent="0.25">
      <c r="A67" s="60"/>
      <c r="B67" s="77">
        <v>3000</v>
      </c>
      <c r="C67" s="77" t="s">
        <v>368</v>
      </c>
      <c r="G67" s="60"/>
      <c r="H67" s="77"/>
      <c r="I67" s="77"/>
    </row>
    <row r="68" spans="1:9" ht="18" x14ac:dyDescent="0.25">
      <c r="A68" s="60"/>
      <c r="B68" s="56">
        <v>22</v>
      </c>
      <c r="C68" s="77" t="s">
        <v>73</v>
      </c>
      <c r="G68" s="60"/>
      <c r="H68" s="56"/>
      <c r="I68" s="77"/>
    </row>
    <row r="69" spans="1:9" ht="18" x14ac:dyDescent="0.25">
      <c r="A69" s="60"/>
      <c r="B69" s="77"/>
      <c r="C69" s="56"/>
      <c r="G69" s="60"/>
      <c r="H69" s="77"/>
      <c r="I69" s="56"/>
    </row>
    <row r="70" spans="1:9" ht="18" x14ac:dyDescent="0.25">
      <c r="A70" s="60"/>
      <c r="B70" s="77"/>
      <c r="C70" s="56"/>
      <c r="G70" s="60"/>
      <c r="H70" s="77"/>
      <c r="I70" s="56"/>
    </row>
    <row r="71" spans="1:9" ht="18" x14ac:dyDescent="0.25">
      <c r="A71" s="60"/>
      <c r="B71" s="56"/>
      <c r="C71" s="56"/>
      <c r="G71" s="60"/>
      <c r="H71" s="56"/>
      <c r="I71" s="56"/>
    </row>
    <row r="72" spans="1:9" ht="18" x14ac:dyDescent="0.25">
      <c r="A72" s="60"/>
      <c r="B72" s="56"/>
      <c r="C72" s="56"/>
      <c r="G72" s="60"/>
      <c r="H72" s="56"/>
      <c r="I72" s="56"/>
    </row>
    <row r="73" spans="1:9" ht="18" x14ac:dyDescent="0.25">
      <c r="A73" s="60"/>
      <c r="B73" s="56"/>
      <c r="C73" s="56"/>
      <c r="G73" s="60"/>
      <c r="H73" s="56"/>
      <c r="I73" s="56"/>
    </row>
    <row r="74" spans="1:9" ht="18" x14ac:dyDescent="0.25">
      <c r="A74" s="60"/>
      <c r="B74" s="56"/>
      <c r="C74" s="56"/>
      <c r="G74" s="60"/>
      <c r="H74" s="56"/>
      <c r="I74" s="56"/>
    </row>
    <row r="75" spans="1:9" ht="18" x14ac:dyDescent="0.25">
      <c r="A75" s="60"/>
      <c r="B75" s="56"/>
      <c r="C75" s="56"/>
      <c r="G75" s="60"/>
      <c r="H75" s="56"/>
      <c r="I75" s="56"/>
    </row>
    <row r="76" spans="1:9" ht="18" x14ac:dyDescent="0.25">
      <c r="A76" s="60"/>
      <c r="B76" s="56"/>
      <c r="C76" s="56"/>
      <c r="G76" s="60"/>
      <c r="H76" s="56"/>
      <c r="I76" s="56"/>
    </row>
    <row r="77" spans="1:9" ht="18" x14ac:dyDescent="0.25">
      <c r="A77" s="60"/>
      <c r="B77" s="56"/>
      <c r="C77" s="56"/>
      <c r="G77" s="60"/>
      <c r="H77" s="56"/>
      <c r="I77" s="56"/>
    </row>
    <row r="78" spans="1:9" ht="18" x14ac:dyDescent="0.25">
      <c r="A78" s="60"/>
      <c r="B78" s="56"/>
      <c r="C78" s="56"/>
      <c r="G78" s="60"/>
      <c r="H78" s="56"/>
      <c r="I78" s="56"/>
    </row>
    <row r="79" spans="1:9" ht="18" x14ac:dyDescent="0.25">
      <c r="A79" s="60"/>
      <c r="B79" s="56"/>
      <c r="C79" s="56"/>
      <c r="G79" s="60"/>
      <c r="H79" s="56"/>
      <c r="I79" s="56"/>
    </row>
    <row r="80" spans="1:9" ht="18" x14ac:dyDescent="0.25">
      <c r="A80" s="60"/>
      <c r="B80" s="56"/>
      <c r="C80" s="56"/>
      <c r="G80" s="60"/>
      <c r="H80" s="56"/>
      <c r="I80" s="56"/>
    </row>
    <row r="81" spans="1:11" ht="18" x14ac:dyDescent="0.25">
      <c r="A81" s="60"/>
      <c r="B81" s="56"/>
      <c r="C81" s="56"/>
      <c r="G81" s="60"/>
      <c r="H81" s="56"/>
      <c r="I81" s="56"/>
    </row>
    <row r="82" spans="1:11" ht="18" x14ac:dyDescent="0.25">
      <c r="A82" s="60"/>
      <c r="B82" s="56"/>
      <c r="C82" s="56"/>
      <c r="G82" s="60"/>
      <c r="H82" s="56"/>
      <c r="I82" s="56"/>
    </row>
    <row r="83" spans="1:11" ht="18" x14ac:dyDescent="0.25">
      <c r="A83" s="60"/>
      <c r="B83" s="56"/>
      <c r="C83" s="56"/>
      <c r="G83" s="60"/>
      <c r="H83" s="56"/>
      <c r="I83" s="56"/>
    </row>
    <row r="84" spans="1:11" ht="18" x14ac:dyDescent="0.25">
      <c r="A84" s="60"/>
      <c r="B84" s="56"/>
      <c r="C84" s="56"/>
      <c r="G84" s="60"/>
      <c r="H84" s="56"/>
      <c r="I84" s="56"/>
    </row>
    <row r="85" spans="1:11" ht="18" x14ac:dyDescent="0.25">
      <c r="A85" s="60"/>
      <c r="B85" s="56"/>
      <c r="C85" s="56"/>
      <c r="G85" s="60"/>
      <c r="H85" s="56"/>
      <c r="I85" s="56"/>
    </row>
    <row r="86" spans="1:11" ht="18.75" thickBot="1" x14ac:dyDescent="0.3">
      <c r="A86" s="60"/>
      <c r="B86" s="56"/>
      <c r="C86" s="56"/>
      <c r="G86" s="60"/>
      <c r="H86" s="56"/>
      <c r="I86" s="56"/>
    </row>
    <row r="87" spans="1:11" ht="24" thickBot="1" x14ac:dyDescent="0.4">
      <c r="A87" s="66"/>
      <c r="B87" s="56"/>
      <c r="C87" s="64"/>
      <c r="E87" s="424"/>
      <c r="G87" s="66"/>
      <c r="H87" s="56"/>
      <c r="I87" s="64"/>
      <c r="J87" s="470"/>
      <c r="K87" s="471"/>
    </row>
    <row r="88" spans="1:11" ht="24" thickBot="1" x14ac:dyDescent="0.3">
      <c r="A88" s="68">
        <f>SUM(A65:A87)</f>
        <v>2390</v>
      </c>
      <c r="B88" s="69">
        <f>SUM(B65:B87)</f>
        <v>3117</v>
      </c>
      <c r="D88" s="314" t="str">
        <f>IF(E88&gt;0,"زيادة","عجز")</f>
        <v>زيادة</v>
      </c>
      <c r="E88" s="99">
        <f>E93-E89</f>
        <v>2</v>
      </c>
      <c r="G88" s="68">
        <f>SUM(G65:G87)</f>
        <v>0</v>
      </c>
      <c r="H88" s="69">
        <f>SUM(H65:H87)</f>
        <v>0</v>
      </c>
      <c r="J88" s="314" t="str">
        <f>IF(K88&gt;0,"زيادة","عجز")</f>
        <v>عجز</v>
      </c>
      <c r="K88" s="99">
        <f>K93-K89</f>
        <v>0</v>
      </c>
    </row>
    <row r="89" spans="1:11" ht="24" thickBot="1" x14ac:dyDescent="0.3">
      <c r="A89" s="365" t="s">
        <v>139</v>
      </c>
      <c r="B89" s="366"/>
      <c r="C89" s="71" t="s">
        <v>75</v>
      </c>
      <c r="D89" s="135" t="s">
        <v>94</v>
      </c>
      <c r="E89" s="99">
        <f>13-3615+5000</f>
        <v>1398</v>
      </c>
      <c r="G89" s="462" t="s">
        <v>139</v>
      </c>
      <c r="H89" s="463"/>
      <c r="I89" s="71" t="s">
        <v>75</v>
      </c>
      <c r="J89" s="135" t="s">
        <v>94</v>
      </c>
      <c r="K89" s="99"/>
    </row>
    <row r="90" spans="1:11" ht="24" thickBot="1" x14ac:dyDescent="0.3">
      <c r="A90" s="367">
        <f>B88+A88</f>
        <v>5507</v>
      </c>
      <c r="B90" s="368"/>
      <c r="C90" s="313">
        <v>148</v>
      </c>
      <c r="D90" s="136" t="s">
        <v>65</v>
      </c>
      <c r="E90" s="85">
        <v>1400</v>
      </c>
      <c r="G90" s="464">
        <f>H88+G88</f>
        <v>0</v>
      </c>
      <c r="H90" s="465"/>
      <c r="I90" s="313"/>
      <c r="J90" s="136" t="s">
        <v>65</v>
      </c>
      <c r="K90" s="85"/>
    </row>
    <row r="91" spans="1:11" ht="24" thickBot="1" x14ac:dyDescent="0.3">
      <c r="A91" s="466" t="s">
        <v>99</v>
      </c>
      <c r="B91" s="467"/>
      <c r="C91" s="78">
        <f>A92-C92</f>
        <v>68</v>
      </c>
      <c r="D91" s="82"/>
      <c r="E91" s="83"/>
      <c r="G91" s="466" t="s">
        <v>99</v>
      </c>
      <c r="H91" s="467"/>
      <c r="I91" s="78">
        <f>G92-I92</f>
        <v>0</v>
      </c>
      <c r="J91" s="82"/>
      <c r="K91" s="83"/>
    </row>
    <row r="92" spans="1:11" ht="24" thickBot="1" x14ac:dyDescent="0.3">
      <c r="A92" s="468">
        <f>C90+A90</f>
        <v>5655</v>
      </c>
      <c r="B92" s="469"/>
      <c r="C92" s="121">
        <f>5587</f>
        <v>5587</v>
      </c>
      <c r="D92" s="82"/>
      <c r="E92" s="83"/>
      <c r="G92" s="468">
        <f>I90+G90</f>
        <v>0</v>
      </c>
      <c r="H92" s="469"/>
      <c r="I92" s="121"/>
      <c r="J92" s="82"/>
      <c r="K92" s="83"/>
    </row>
    <row r="93" spans="1:11" ht="24" thickBot="1" x14ac:dyDescent="0.3">
      <c r="C93" s="314" t="str">
        <f>IF(C91&gt;0,"زيادة","عجز")</f>
        <v>زيادة</v>
      </c>
      <c r="D93" s="82" t="s">
        <v>164</v>
      </c>
      <c r="E93" s="83">
        <f>SUM(E90:E92)</f>
        <v>1400</v>
      </c>
      <c r="I93" s="314" t="str">
        <f>IF(I91&gt;0,"زيادة","عجز")</f>
        <v>عجز</v>
      </c>
      <c r="J93" s="82" t="s">
        <v>164</v>
      </c>
      <c r="K93" s="83">
        <f>SUM(K90:K92)</f>
        <v>0</v>
      </c>
    </row>
    <row r="94" spans="1:11" ht="18.75" x14ac:dyDescent="0.25">
      <c r="D94" s="318"/>
      <c r="J94" s="318"/>
    </row>
    <row r="95" spans="1:11" ht="15.75" thickBot="1" x14ac:dyDescent="0.3"/>
    <row r="96" spans="1:11" ht="24" thickBot="1" x14ac:dyDescent="0.3">
      <c r="A96" s="425" t="s">
        <v>80</v>
      </c>
      <c r="B96" s="460">
        <v>45136</v>
      </c>
      <c r="C96" s="461"/>
      <c r="G96" s="425" t="s">
        <v>85</v>
      </c>
      <c r="H96" s="460">
        <v>45134</v>
      </c>
      <c r="I96" s="461"/>
    </row>
    <row r="97" spans="1:9" ht="21" thickBot="1" x14ac:dyDescent="0.3">
      <c r="A97" s="53" t="s">
        <v>137</v>
      </c>
      <c r="B97" s="53" t="s">
        <v>3</v>
      </c>
      <c r="C97" s="53" t="s">
        <v>138</v>
      </c>
      <c r="G97" s="53" t="s">
        <v>137</v>
      </c>
      <c r="H97" s="53" t="s">
        <v>3</v>
      </c>
      <c r="I97" s="53" t="s">
        <v>138</v>
      </c>
    </row>
    <row r="98" spans="1:9" ht="18" x14ac:dyDescent="0.25">
      <c r="A98" s="55"/>
      <c r="B98" s="77"/>
      <c r="C98" s="57"/>
      <c r="G98" s="55"/>
      <c r="H98" s="77"/>
      <c r="I98" s="57"/>
    </row>
    <row r="99" spans="1:9" ht="18" x14ac:dyDescent="0.25">
      <c r="A99" s="60"/>
      <c r="B99" s="56"/>
      <c r="C99" s="57"/>
      <c r="G99" s="60"/>
      <c r="H99" s="56"/>
      <c r="I99" s="57"/>
    </row>
    <row r="100" spans="1:9" ht="18" x14ac:dyDescent="0.25">
      <c r="A100" s="60"/>
      <c r="B100" s="77"/>
      <c r="C100" s="77"/>
      <c r="G100" s="60"/>
      <c r="H100" s="77"/>
      <c r="I100" s="77"/>
    </row>
    <row r="101" spans="1:9" ht="18" x14ac:dyDescent="0.25">
      <c r="A101" s="60"/>
      <c r="B101" s="56"/>
      <c r="C101" s="77"/>
      <c r="G101" s="60"/>
      <c r="H101" s="56"/>
      <c r="I101" s="77"/>
    </row>
    <row r="102" spans="1:9" ht="18" x14ac:dyDescent="0.25">
      <c r="A102" s="60"/>
      <c r="B102" s="77"/>
      <c r="C102" s="56"/>
      <c r="G102" s="60"/>
      <c r="H102" s="77"/>
      <c r="I102" s="56"/>
    </row>
    <row r="103" spans="1:9" ht="18" x14ac:dyDescent="0.25">
      <c r="A103" s="60"/>
      <c r="B103" s="77"/>
      <c r="C103" s="56"/>
      <c r="G103" s="60"/>
      <c r="H103" s="77"/>
      <c r="I103" s="56"/>
    </row>
    <row r="104" spans="1:9" ht="18" x14ac:dyDescent="0.25">
      <c r="A104" s="60"/>
      <c r="B104" s="56"/>
      <c r="C104" s="56"/>
      <c r="G104" s="60"/>
      <c r="H104" s="56"/>
      <c r="I104" s="56"/>
    </row>
    <row r="105" spans="1:9" ht="18" x14ac:dyDescent="0.25">
      <c r="A105" s="60"/>
      <c r="B105" s="56"/>
      <c r="C105" s="56"/>
      <c r="G105" s="60"/>
      <c r="H105" s="56"/>
      <c r="I105" s="56"/>
    </row>
    <row r="106" spans="1:9" ht="18" x14ac:dyDescent="0.25">
      <c r="A106" s="60"/>
      <c r="B106" s="56"/>
      <c r="C106" s="56"/>
      <c r="G106" s="60"/>
      <c r="H106" s="56"/>
      <c r="I106" s="56"/>
    </row>
    <row r="107" spans="1:9" ht="18" x14ac:dyDescent="0.25">
      <c r="A107" s="60"/>
      <c r="B107" s="56"/>
      <c r="C107" s="56"/>
      <c r="G107" s="60"/>
      <c r="H107" s="56"/>
      <c r="I107" s="56"/>
    </row>
    <row r="108" spans="1:9" ht="18" x14ac:dyDescent="0.25">
      <c r="A108" s="60"/>
      <c r="B108" s="56"/>
      <c r="C108" s="56"/>
      <c r="G108" s="60"/>
      <c r="H108" s="56"/>
      <c r="I108" s="56"/>
    </row>
    <row r="109" spans="1:9" ht="18" x14ac:dyDescent="0.25">
      <c r="A109" s="60"/>
      <c r="B109" s="56"/>
      <c r="C109" s="56"/>
      <c r="G109" s="60"/>
      <c r="H109" s="56"/>
      <c r="I109" s="56"/>
    </row>
    <row r="110" spans="1:9" ht="18" x14ac:dyDescent="0.25">
      <c r="A110" s="60"/>
      <c r="B110" s="56"/>
      <c r="C110" s="56"/>
      <c r="G110" s="60"/>
      <c r="H110" s="56"/>
      <c r="I110" s="56"/>
    </row>
    <row r="111" spans="1:9" ht="18" x14ac:dyDescent="0.25">
      <c r="A111" s="60"/>
      <c r="B111" s="56"/>
      <c r="C111" s="56"/>
      <c r="G111" s="60"/>
      <c r="H111" s="56"/>
      <c r="I111" s="56"/>
    </row>
    <row r="112" spans="1:9" ht="18" x14ac:dyDescent="0.25">
      <c r="A112" s="60"/>
      <c r="B112" s="56"/>
      <c r="C112" s="56"/>
      <c r="G112" s="60"/>
      <c r="H112" s="56"/>
      <c r="I112" s="56"/>
    </row>
    <row r="113" spans="1:11" ht="18" x14ac:dyDescent="0.25">
      <c r="A113" s="60"/>
      <c r="B113" s="56"/>
      <c r="C113" s="56"/>
      <c r="G113" s="60"/>
      <c r="H113" s="56"/>
      <c r="I113" s="56"/>
    </row>
    <row r="114" spans="1:11" ht="18" x14ac:dyDescent="0.25">
      <c r="A114" s="60"/>
      <c r="B114" s="56"/>
      <c r="C114" s="56"/>
      <c r="G114" s="60"/>
      <c r="H114" s="56"/>
      <c r="I114" s="56"/>
    </row>
    <row r="115" spans="1:11" ht="18" x14ac:dyDescent="0.25">
      <c r="A115" s="60"/>
      <c r="B115" s="56"/>
      <c r="C115" s="56"/>
      <c r="G115" s="60"/>
      <c r="H115" s="56"/>
      <c r="I115" s="56"/>
    </row>
    <row r="116" spans="1:11" ht="18" x14ac:dyDescent="0.25">
      <c r="A116" s="60"/>
      <c r="B116" s="56"/>
      <c r="C116" s="56"/>
      <c r="G116" s="60"/>
      <c r="H116" s="56"/>
      <c r="I116" s="56"/>
    </row>
    <row r="117" spans="1:11" ht="18" x14ac:dyDescent="0.25">
      <c r="A117" s="60"/>
      <c r="B117" s="56"/>
      <c r="C117" s="56"/>
      <c r="G117" s="60"/>
      <c r="H117" s="56"/>
      <c r="I117" s="56"/>
    </row>
    <row r="118" spans="1:11" ht="18" x14ac:dyDescent="0.25">
      <c r="A118" s="60"/>
      <c r="B118" s="56"/>
      <c r="C118" s="56"/>
      <c r="G118" s="60"/>
      <c r="H118" s="56"/>
      <c r="I118" s="56"/>
    </row>
    <row r="119" spans="1:11" ht="18" x14ac:dyDescent="0.25">
      <c r="A119" s="60"/>
      <c r="B119" s="56"/>
      <c r="C119" s="56"/>
      <c r="G119" s="60"/>
      <c r="H119" s="56"/>
      <c r="I119" s="56"/>
    </row>
    <row r="120" spans="1:11" ht="18.75" thickBot="1" x14ac:dyDescent="0.3">
      <c r="A120" s="66"/>
      <c r="B120" s="56"/>
      <c r="C120" s="64"/>
      <c r="G120" s="66"/>
      <c r="H120" s="56"/>
      <c r="I120" s="64"/>
    </row>
    <row r="121" spans="1:11" ht="24" thickBot="1" x14ac:dyDescent="0.3">
      <c r="A121" s="68">
        <f>SUM(A98:A120)</f>
        <v>0</v>
      </c>
      <c r="B121" s="69">
        <f>SUM(B98:B120)</f>
        <v>0</v>
      </c>
      <c r="D121" s="314" t="str">
        <f>IF(E121&gt;0,"زيادة","عجز")</f>
        <v>عجز</v>
      </c>
      <c r="E121" s="99">
        <f>E126-E122</f>
        <v>0</v>
      </c>
      <c r="G121" s="68">
        <f>SUM(G98:G120)</f>
        <v>0</v>
      </c>
      <c r="H121" s="69">
        <f>SUM(H98:H120)</f>
        <v>0</v>
      </c>
      <c r="J121" s="314" t="str">
        <f>IF(K122&gt;0,"زيادة","عجز")</f>
        <v>عجز</v>
      </c>
    </row>
    <row r="122" spans="1:11" ht="24" thickBot="1" x14ac:dyDescent="0.3">
      <c r="A122" s="462" t="s">
        <v>139</v>
      </c>
      <c r="B122" s="463"/>
      <c r="C122" s="71" t="s">
        <v>75</v>
      </c>
      <c r="D122" s="135" t="s">
        <v>94</v>
      </c>
      <c r="E122" s="99"/>
      <c r="G122" s="462" t="s">
        <v>139</v>
      </c>
      <c r="H122" s="463"/>
      <c r="I122" s="71" t="s">
        <v>75</v>
      </c>
      <c r="J122" s="135" t="s">
        <v>94</v>
      </c>
      <c r="K122" s="99">
        <f>K127-K123</f>
        <v>0</v>
      </c>
    </row>
    <row r="123" spans="1:11" ht="24" thickBot="1" x14ac:dyDescent="0.3">
      <c r="A123" s="464">
        <f>B121+A121</f>
        <v>0</v>
      </c>
      <c r="B123" s="465"/>
      <c r="C123" s="313"/>
      <c r="D123" s="136" t="s">
        <v>65</v>
      </c>
      <c r="E123" s="85"/>
      <c r="G123" s="464">
        <f>H121+G121</f>
        <v>0</v>
      </c>
      <c r="H123" s="465"/>
      <c r="I123" s="313"/>
      <c r="J123" s="136" t="s">
        <v>65</v>
      </c>
      <c r="K123" s="99"/>
    </row>
    <row r="124" spans="1:11" ht="24" thickBot="1" x14ac:dyDescent="0.3">
      <c r="A124" s="466" t="s">
        <v>99</v>
      </c>
      <c r="B124" s="467"/>
      <c r="C124" s="78">
        <f>A125-C125</f>
        <v>0</v>
      </c>
      <c r="D124" s="82"/>
      <c r="E124" s="83"/>
      <c r="G124" s="466" t="s">
        <v>99</v>
      </c>
      <c r="H124" s="467"/>
      <c r="I124" s="78">
        <f>G125-I125</f>
        <v>0</v>
      </c>
      <c r="J124" s="82"/>
      <c r="K124" s="85"/>
    </row>
    <row r="125" spans="1:11" ht="24" thickBot="1" x14ac:dyDescent="0.3">
      <c r="A125" s="468">
        <f>C123+A123</f>
        <v>0</v>
      </c>
      <c r="B125" s="469"/>
      <c r="C125" s="121"/>
      <c r="D125" s="82"/>
      <c r="E125" s="83"/>
      <c r="G125" s="468">
        <f>I123+G123</f>
        <v>0</v>
      </c>
      <c r="H125" s="469"/>
      <c r="I125" s="121"/>
      <c r="J125" s="82"/>
      <c r="K125" s="83"/>
    </row>
    <row r="126" spans="1:11" ht="24" thickBot="1" x14ac:dyDescent="0.3">
      <c r="C126" s="314" t="str">
        <f>IF(C124&gt;0,"زيادة","عجز")</f>
        <v>عجز</v>
      </c>
      <c r="D126" s="82" t="s">
        <v>164</v>
      </c>
      <c r="E126" s="83">
        <f>SUM(E123:E125)</f>
        <v>0</v>
      </c>
      <c r="I126" s="314" t="str">
        <f>IF(I124&gt;0,"زيادة","عجز")</f>
        <v>عجز</v>
      </c>
      <c r="J126" s="82" t="s">
        <v>164</v>
      </c>
      <c r="K126" s="83"/>
    </row>
    <row r="127" spans="1:11" ht="19.5" thickBot="1" x14ac:dyDescent="0.3">
      <c r="D127" s="318"/>
      <c r="J127" s="318"/>
      <c r="K127" s="83">
        <f>SUM(K124:K126)</f>
        <v>0</v>
      </c>
    </row>
    <row r="128" spans="1:11" x14ac:dyDescent="0.25">
      <c r="A128">
        <f>10+10+10+10+10</f>
        <v>50</v>
      </c>
    </row>
    <row r="137" spans="1:9" ht="15.75" thickBot="1" x14ac:dyDescent="0.3"/>
    <row r="138" spans="1:9" ht="24" thickBot="1" x14ac:dyDescent="0.3">
      <c r="A138" s="425" t="s">
        <v>1564</v>
      </c>
      <c r="B138" s="460">
        <v>45127</v>
      </c>
      <c r="C138" s="461"/>
      <c r="G138" s="425" t="s">
        <v>88</v>
      </c>
      <c r="H138" s="460">
        <v>45127</v>
      </c>
      <c r="I138" s="461"/>
    </row>
    <row r="139" spans="1:9" ht="21" thickBot="1" x14ac:dyDescent="0.3">
      <c r="A139" s="53" t="s">
        <v>137</v>
      </c>
      <c r="B139" s="53" t="s">
        <v>3</v>
      </c>
      <c r="C139" s="53" t="s">
        <v>138</v>
      </c>
      <c r="G139" s="53" t="s">
        <v>137</v>
      </c>
      <c r="H139" s="53" t="s">
        <v>3</v>
      </c>
      <c r="I139" s="53" t="s">
        <v>138</v>
      </c>
    </row>
    <row r="140" spans="1:9" ht="18" x14ac:dyDescent="0.25">
      <c r="A140" s="55"/>
      <c r="B140" s="77"/>
      <c r="C140" s="57"/>
      <c r="G140" s="55"/>
      <c r="H140" s="77"/>
      <c r="I140" s="57"/>
    </row>
    <row r="141" spans="1:9" ht="18" x14ac:dyDescent="0.25">
      <c r="A141" s="60"/>
      <c r="B141" s="56"/>
      <c r="C141" s="57"/>
      <c r="G141" s="60"/>
      <c r="H141" s="56"/>
      <c r="I141" s="57"/>
    </row>
    <row r="142" spans="1:9" ht="18" x14ac:dyDescent="0.25">
      <c r="A142" s="60"/>
      <c r="B142" s="77"/>
      <c r="C142" s="57"/>
      <c r="G142" s="60"/>
      <c r="H142" s="77"/>
      <c r="I142" s="57"/>
    </row>
    <row r="143" spans="1:9" ht="18" x14ac:dyDescent="0.25">
      <c r="A143" s="60"/>
      <c r="B143" s="56"/>
      <c r="C143" s="57"/>
      <c r="G143" s="60"/>
      <c r="H143" s="56"/>
      <c r="I143" s="57"/>
    </row>
    <row r="144" spans="1:9" ht="18" x14ac:dyDescent="0.25">
      <c r="A144" s="60"/>
      <c r="B144" s="77"/>
      <c r="C144" s="57"/>
      <c r="G144" s="60"/>
      <c r="H144" s="77"/>
      <c r="I144" s="57"/>
    </row>
    <row r="145" spans="1:9" ht="18" x14ac:dyDescent="0.25">
      <c r="A145" s="60"/>
      <c r="B145" s="77"/>
      <c r="C145" s="57"/>
      <c r="G145" s="60"/>
      <c r="H145" s="77"/>
      <c r="I145" s="57"/>
    </row>
    <row r="146" spans="1:9" ht="18" x14ac:dyDescent="0.25">
      <c r="A146" s="60"/>
      <c r="B146" s="56"/>
      <c r="C146" s="57"/>
      <c r="G146" s="60"/>
      <c r="H146" s="56"/>
      <c r="I146" s="57"/>
    </row>
    <row r="147" spans="1:9" ht="18" x14ac:dyDescent="0.25">
      <c r="A147" s="60"/>
      <c r="B147" s="56"/>
      <c r="C147" s="56"/>
      <c r="G147" s="60"/>
      <c r="H147" s="56"/>
      <c r="I147" s="56"/>
    </row>
    <row r="148" spans="1:9" ht="18" x14ac:dyDescent="0.25">
      <c r="A148" s="60"/>
      <c r="B148" s="56"/>
      <c r="C148" s="56"/>
      <c r="G148" s="60"/>
      <c r="H148" s="56"/>
      <c r="I148" s="56"/>
    </row>
    <row r="149" spans="1:9" ht="18" x14ac:dyDescent="0.25">
      <c r="A149" s="60"/>
      <c r="B149" s="56"/>
      <c r="C149" s="56"/>
      <c r="G149" s="60"/>
      <c r="H149" s="56"/>
      <c r="I149" s="56"/>
    </row>
    <row r="150" spans="1:9" ht="18" x14ac:dyDescent="0.25">
      <c r="A150" s="60"/>
      <c r="B150" s="56"/>
      <c r="C150" s="56"/>
      <c r="G150" s="60"/>
      <c r="H150" s="56"/>
      <c r="I150" s="56"/>
    </row>
    <row r="151" spans="1:9" ht="18" x14ac:dyDescent="0.25">
      <c r="A151" s="60"/>
      <c r="B151" s="56"/>
      <c r="C151" s="56"/>
      <c r="G151" s="60"/>
      <c r="H151" s="56"/>
      <c r="I151" s="56"/>
    </row>
    <row r="152" spans="1:9" ht="18" x14ac:dyDescent="0.25">
      <c r="A152" s="60"/>
      <c r="B152" s="56"/>
      <c r="C152" s="56"/>
      <c r="G152" s="60"/>
      <c r="H152" s="56"/>
      <c r="I152" s="56"/>
    </row>
    <row r="153" spans="1:9" ht="18" x14ac:dyDescent="0.25">
      <c r="A153" s="60"/>
      <c r="B153" s="56"/>
      <c r="C153" s="56"/>
      <c r="G153" s="60"/>
      <c r="H153" s="56"/>
      <c r="I153" s="56"/>
    </row>
    <row r="154" spans="1:9" ht="18" x14ac:dyDescent="0.25">
      <c r="A154" s="60"/>
      <c r="B154" s="56"/>
      <c r="C154" s="56"/>
      <c r="G154" s="60"/>
      <c r="H154" s="56"/>
      <c r="I154" s="56"/>
    </row>
    <row r="155" spans="1:9" ht="18" x14ac:dyDescent="0.25">
      <c r="A155" s="60"/>
      <c r="B155" s="56"/>
      <c r="C155" s="56"/>
      <c r="G155" s="60"/>
      <c r="H155" s="56"/>
      <c r="I155" s="56"/>
    </row>
    <row r="156" spans="1:9" ht="18" x14ac:dyDescent="0.25">
      <c r="A156" s="60"/>
      <c r="B156" s="56"/>
      <c r="C156" s="56"/>
      <c r="G156" s="60"/>
      <c r="H156" s="56"/>
      <c r="I156" s="56"/>
    </row>
    <row r="157" spans="1:9" ht="18" x14ac:dyDescent="0.25">
      <c r="A157" s="60"/>
      <c r="B157" s="56"/>
      <c r="C157" s="56"/>
      <c r="G157" s="60"/>
      <c r="H157" s="56"/>
      <c r="I157" s="56"/>
    </row>
    <row r="158" spans="1:9" ht="18" x14ac:dyDescent="0.25">
      <c r="A158" s="60"/>
      <c r="B158" s="56"/>
      <c r="C158" s="56"/>
      <c r="G158" s="60"/>
      <c r="H158" s="56"/>
      <c r="I158" s="56"/>
    </row>
    <row r="159" spans="1:9" ht="18" x14ac:dyDescent="0.25">
      <c r="A159" s="60"/>
      <c r="B159" s="56"/>
      <c r="C159" s="56"/>
      <c r="G159" s="60"/>
      <c r="H159" s="56"/>
      <c r="I159" s="56"/>
    </row>
    <row r="160" spans="1:9" ht="18" x14ac:dyDescent="0.25">
      <c r="A160" s="60"/>
      <c r="B160" s="56"/>
      <c r="C160" s="56"/>
      <c r="G160" s="60"/>
      <c r="H160" s="56"/>
      <c r="I160" s="56"/>
    </row>
    <row r="161" spans="1:11" ht="18" x14ac:dyDescent="0.25">
      <c r="A161" s="60"/>
      <c r="B161" s="56"/>
      <c r="C161" s="56"/>
      <c r="G161" s="60"/>
      <c r="H161" s="56"/>
      <c r="I161" s="56"/>
    </row>
    <row r="162" spans="1:11" ht="18.75" thickBot="1" x14ac:dyDescent="0.3">
      <c r="A162" s="66"/>
      <c r="B162" s="56"/>
      <c r="C162" s="64"/>
      <c r="G162" s="66"/>
      <c r="H162" s="56"/>
      <c r="I162" s="64"/>
    </row>
    <row r="163" spans="1:11" ht="24" thickBot="1" x14ac:dyDescent="0.3">
      <c r="A163" s="68">
        <f>SUM(A140:A162)</f>
        <v>0</v>
      </c>
      <c r="B163" s="69">
        <f>SUM(B140:B162)</f>
        <v>0</v>
      </c>
      <c r="D163" s="314" t="str">
        <f>IF(E163&gt;0,"زيادة","عجز")</f>
        <v>عجز</v>
      </c>
      <c r="E163" s="99">
        <f>E168-E164</f>
        <v>0</v>
      </c>
      <c r="G163" s="68">
        <f>SUM(G140:G162)</f>
        <v>0</v>
      </c>
      <c r="H163" s="69">
        <f>SUM(H140:H162)</f>
        <v>0</v>
      </c>
      <c r="J163" s="314" t="str">
        <f>IF(K163&gt;0,"زيادة","عجز")</f>
        <v>عجز</v>
      </c>
      <c r="K163" s="99">
        <f>K168-K164</f>
        <v>0</v>
      </c>
    </row>
    <row r="164" spans="1:11" ht="24" thickBot="1" x14ac:dyDescent="0.3">
      <c r="A164" s="462" t="s">
        <v>139</v>
      </c>
      <c r="B164" s="463"/>
      <c r="C164" s="71" t="s">
        <v>75</v>
      </c>
      <c r="D164" s="135" t="s">
        <v>94</v>
      </c>
      <c r="E164" s="99"/>
      <c r="G164" s="462" t="s">
        <v>139</v>
      </c>
      <c r="H164" s="463"/>
      <c r="I164" s="71" t="s">
        <v>75</v>
      </c>
      <c r="J164" s="135" t="s">
        <v>94</v>
      </c>
      <c r="K164" s="85"/>
    </row>
    <row r="165" spans="1:11" ht="24" thickBot="1" x14ac:dyDescent="0.3">
      <c r="A165" s="464">
        <f>B163+A163</f>
        <v>0</v>
      </c>
      <c r="B165" s="465"/>
      <c r="C165" s="313"/>
      <c r="D165" s="136" t="s">
        <v>65</v>
      </c>
      <c r="E165" s="85"/>
      <c r="G165" s="464">
        <f>H163+G163</f>
        <v>0</v>
      </c>
      <c r="H165" s="465"/>
      <c r="I165" s="313"/>
      <c r="J165" s="136" t="s">
        <v>65</v>
      </c>
      <c r="K165" s="85"/>
    </row>
    <row r="166" spans="1:11" ht="24" thickBot="1" x14ac:dyDescent="0.3">
      <c r="A166" s="466" t="s">
        <v>99</v>
      </c>
      <c r="B166" s="467"/>
      <c r="C166" s="78">
        <f>A167-C167</f>
        <v>0</v>
      </c>
      <c r="D166" s="82" t="s">
        <v>54</v>
      </c>
      <c r="E166" s="83"/>
      <c r="G166" s="466" t="s">
        <v>99</v>
      </c>
      <c r="H166" s="467"/>
      <c r="I166" s="78">
        <f>G167-I167</f>
        <v>0</v>
      </c>
      <c r="J166" s="82"/>
      <c r="K166" s="83"/>
    </row>
    <row r="167" spans="1:11" ht="24" thickBot="1" x14ac:dyDescent="0.3">
      <c r="A167" s="468">
        <f>C165+A165</f>
        <v>0</v>
      </c>
      <c r="B167" s="469"/>
      <c r="C167" s="121"/>
      <c r="D167" s="82" t="s">
        <v>1588</v>
      </c>
      <c r="E167" s="83"/>
      <c r="G167" s="468">
        <f>I165+G165</f>
        <v>0</v>
      </c>
      <c r="H167" s="469"/>
      <c r="I167" s="121"/>
      <c r="J167" s="82"/>
      <c r="K167" s="83"/>
    </row>
    <row r="168" spans="1:11" ht="24" thickBot="1" x14ac:dyDescent="0.3">
      <c r="C168" s="314" t="str">
        <f>IF(C166&gt;0,"زيادة","عجز")</f>
        <v>عجز</v>
      </c>
      <c r="D168" s="82" t="s">
        <v>164</v>
      </c>
      <c r="E168" s="83">
        <f>SUM(E165:E167)</f>
        <v>0</v>
      </c>
      <c r="I168" s="314" t="str">
        <f>IF(I166&gt;0,"زيادة","عجز")</f>
        <v>عجز</v>
      </c>
      <c r="J168" s="82" t="s">
        <v>164</v>
      </c>
      <c r="K168" s="83">
        <f>SUM(K165:K167)</f>
        <v>0</v>
      </c>
    </row>
    <row r="169" spans="1:11" ht="18.75" x14ac:dyDescent="0.25">
      <c r="D169" s="318"/>
    </row>
    <row r="170" spans="1:11" ht="15.75" thickBot="1" x14ac:dyDescent="0.3"/>
    <row r="171" spans="1:11" ht="24" thickBot="1" x14ac:dyDescent="0.3">
      <c r="A171" s="425" t="s">
        <v>363</v>
      </c>
      <c r="B171" s="460">
        <v>45136</v>
      </c>
      <c r="C171" s="461"/>
      <c r="G171" s="425" t="s">
        <v>266</v>
      </c>
      <c r="H171" s="460">
        <v>45136</v>
      </c>
      <c r="I171" s="461"/>
    </row>
    <row r="172" spans="1:11" ht="21" thickBot="1" x14ac:dyDescent="0.3">
      <c r="A172" s="53" t="s">
        <v>137</v>
      </c>
      <c r="B172" s="53" t="s">
        <v>3</v>
      </c>
      <c r="C172" s="53" t="s">
        <v>138</v>
      </c>
      <c r="G172" s="53" t="s">
        <v>137</v>
      </c>
      <c r="H172" s="53" t="s">
        <v>3</v>
      </c>
      <c r="I172" s="53" t="s">
        <v>138</v>
      </c>
    </row>
    <row r="173" spans="1:11" ht="18" x14ac:dyDescent="0.25">
      <c r="A173" s="55"/>
      <c r="B173" s="77"/>
      <c r="C173" s="57"/>
      <c r="G173" s="55"/>
      <c r="H173" s="77"/>
      <c r="I173" s="57"/>
    </row>
    <row r="174" spans="1:11" ht="18" x14ac:dyDescent="0.25">
      <c r="A174" s="60"/>
      <c r="B174" s="56"/>
      <c r="C174" s="57"/>
      <c r="G174" s="60"/>
      <c r="H174" s="56"/>
      <c r="I174" s="57"/>
    </row>
    <row r="175" spans="1:11" ht="18" x14ac:dyDescent="0.25">
      <c r="A175" s="60"/>
      <c r="B175" s="77"/>
      <c r="C175" s="57"/>
      <c r="G175" s="60"/>
      <c r="H175" s="77"/>
      <c r="I175" s="57"/>
    </row>
    <row r="176" spans="1:11" ht="18" x14ac:dyDescent="0.25">
      <c r="A176" s="60"/>
      <c r="B176" s="56"/>
      <c r="C176" s="57"/>
      <c r="G176" s="60"/>
      <c r="H176" s="56"/>
      <c r="I176" s="57"/>
    </row>
    <row r="177" spans="1:9" ht="18" x14ac:dyDescent="0.25">
      <c r="A177" s="60"/>
      <c r="B177" s="77"/>
      <c r="C177" s="57"/>
      <c r="G177" s="60"/>
      <c r="H177" s="77"/>
      <c r="I177" s="57"/>
    </row>
    <row r="178" spans="1:9" ht="18" x14ac:dyDescent="0.25">
      <c r="A178" s="60"/>
      <c r="B178" s="77"/>
      <c r="C178" s="57"/>
      <c r="G178" s="60"/>
      <c r="H178" s="77"/>
      <c r="I178" s="57"/>
    </row>
    <row r="179" spans="1:9" ht="18" x14ac:dyDescent="0.25">
      <c r="A179" s="60"/>
      <c r="B179" s="56"/>
      <c r="C179" s="57"/>
      <c r="G179" s="60"/>
      <c r="H179" s="56"/>
      <c r="I179" s="57"/>
    </row>
    <row r="180" spans="1:9" ht="18" x14ac:dyDescent="0.25">
      <c r="A180" s="60"/>
      <c r="B180" s="56"/>
      <c r="C180" s="56"/>
      <c r="G180" s="60"/>
      <c r="H180" s="56"/>
      <c r="I180" s="56"/>
    </row>
    <row r="181" spans="1:9" ht="18" x14ac:dyDescent="0.25">
      <c r="A181" s="60"/>
      <c r="B181" s="56"/>
      <c r="C181" s="57"/>
      <c r="G181" s="60"/>
      <c r="H181" s="56"/>
      <c r="I181" s="57"/>
    </row>
    <row r="182" spans="1:9" ht="18" x14ac:dyDescent="0.25">
      <c r="A182" s="60"/>
      <c r="B182" s="56"/>
      <c r="C182" s="57"/>
      <c r="G182" s="60"/>
      <c r="H182" s="56"/>
      <c r="I182" s="57"/>
    </row>
    <row r="183" spans="1:9" ht="18" x14ac:dyDescent="0.25">
      <c r="A183" s="60"/>
      <c r="B183" s="56"/>
      <c r="C183" s="57"/>
      <c r="G183" s="60"/>
      <c r="H183" s="56"/>
      <c r="I183" s="57"/>
    </row>
    <row r="184" spans="1:9" ht="18" x14ac:dyDescent="0.25">
      <c r="A184" s="60"/>
      <c r="B184" s="56"/>
      <c r="C184" s="57"/>
      <c r="G184" s="60"/>
      <c r="H184" s="56"/>
      <c r="I184" s="57"/>
    </row>
    <row r="185" spans="1:9" ht="18" x14ac:dyDescent="0.25">
      <c r="A185" s="60"/>
      <c r="B185" s="56"/>
      <c r="C185" s="57"/>
      <c r="G185" s="60"/>
      <c r="H185" s="56"/>
      <c r="I185" s="57"/>
    </row>
    <row r="186" spans="1:9" ht="18" x14ac:dyDescent="0.25">
      <c r="A186" s="60"/>
      <c r="B186" s="56"/>
      <c r="C186" s="57"/>
      <c r="F186" t="s">
        <v>1414</v>
      </c>
      <c r="G186" s="60"/>
      <c r="H186" s="56"/>
      <c r="I186" s="57"/>
    </row>
    <row r="187" spans="1:9" ht="18" x14ac:dyDescent="0.25">
      <c r="A187" s="60"/>
      <c r="B187" s="56"/>
      <c r="C187" s="57"/>
      <c r="G187" s="60"/>
      <c r="H187" s="56"/>
      <c r="I187" s="57"/>
    </row>
    <row r="188" spans="1:9" ht="18" x14ac:dyDescent="0.25">
      <c r="A188" s="60"/>
      <c r="B188" s="56"/>
      <c r="C188" s="57"/>
      <c r="G188" s="60"/>
      <c r="H188" s="56"/>
      <c r="I188" s="57"/>
    </row>
    <row r="189" spans="1:9" ht="18" x14ac:dyDescent="0.25">
      <c r="A189" s="60"/>
      <c r="B189" s="56"/>
      <c r="C189" s="57"/>
      <c r="G189" s="60"/>
      <c r="H189" s="56"/>
      <c r="I189" s="57"/>
    </row>
    <row r="190" spans="1:9" ht="18" x14ac:dyDescent="0.25">
      <c r="A190" s="60"/>
      <c r="B190" s="56"/>
      <c r="C190" s="57"/>
      <c r="G190" s="60"/>
      <c r="H190" s="56"/>
      <c r="I190" s="57"/>
    </row>
    <row r="191" spans="1:9" ht="18" x14ac:dyDescent="0.25">
      <c r="A191" s="60"/>
      <c r="B191" s="56"/>
      <c r="C191" s="57"/>
      <c r="G191" s="60"/>
      <c r="H191" s="56"/>
      <c r="I191" s="57"/>
    </row>
    <row r="192" spans="1:9" ht="18" x14ac:dyDescent="0.25">
      <c r="A192" s="60"/>
      <c r="B192" s="56"/>
      <c r="C192" s="57"/>
      <c r="G192" s="60"/>
      <c r="H192" s="56"/>
      <c r="I192" s="57"/>
    </row>
    <row r="193" spans="1:11" ht="18" x14ac:dyDescent="0.25">
      <c r="A193" s="60"/>
      <c r="B193" s="56"/>
      <c r="C193" s="56"/>
      <c r="G193" s="60"/>
      <c r="H193" s="56"/>
      <c r="I193" s="56"/>
    </row>
    <row r="194" spans="1:11" ht="18" x14ac:dyDescent="0.25">
      <c r="A194" s="60"/>
      <c r="B194" s="56"/>
      <c r="C194" s="56"/>
      <c r="G194" s="60"/>
      <c r="H194" s="56"/>
      <c r="I194" s="56"/>
    </row>
    <row r="195" spans="1:11" ht="18.75" thickBot="1" x14ac:dyDescent="0.3">
      <c r="A195" s="66"/>
      <c r="B195" s="56"/>
      <c r="C195" s="64"/>
      <c r="G195" s="66"/>
      <c r="H195" s="56"/>
      <c r="I195" s="64"/>
    </row>
    <row r="196" spans="1:11" ht="24" thickBot="1" x14ac:dyDescent="0.3">
      <c r="A196" s="68">
        <f>SUM(A173:A195)</f>
        <v>0</v>
      </c>
      <c r="B196" s="69">
        <f>SUM(B173:B195)</f>
        <v>0</v>
      </c>
      <c r="D196" s="314" t="str">
        <f>IF(E196&gt;0,"زيادة","عجز")</f>
        <v>عجز</v>
      </c>
      <c r="E196" s="99">
        <f>E201-E197</f>
        <v>0</v>
      </c>
      <c r="G196" s="68">
        <f>SUM(G173:G195)</f>
        <v>0</v>
      </c>
      <c r="H196" s="69">
        <f>SUM(H173:H195)</f>
        <v>0</v>
      </c>
      <c r="J196" s="314" t="str">
        <f>IF(K196&gt;0,"زيادة","عجز")</f>
        <v>عجز</v>
      </c>
      <c r="K196" s="99">
        <f>K201-K197</f>
        <v>0</v>
      </c>
    </row>
    <row r="197" spans="1:11" ht="24" thickBot="1" x14ac:dyDescent="0.3">
      <c r="A197" s="462" t="s">
        <v>139</v>
      </c>
      <c r="B197" s="463"/>
      <c r="C197" s="71" t="s">
        <v>75</v>
      </c>
      <c r="D197" s="135" t="s">
        <v>94</v>
      </c>
      <c r="E197" s="99"/>
      <c r="G197" s="462" t="s">
        <v>139</v>
      </c>
      <c r="H197" s="463"/>
      <c r="I197" s="71" t="s">
        <v>75</v>
      </c>
      <c r="J197" s="135" t="s">
        <v>94</v>
      </c>
      <c r="K197" s="99"/>
    </row>
    <row r="198" spans="1:11" ht="24" thickBot="1" x14ac:dyDescent="0.3">
      <c r="A198" s="464">
        <f>B196+A196</f>
        <v>0</v>
      </c>
      <c r="B198" s="465"/>
      <c r="C198" s="313"/>
      <c r="D198" s="136" t="s">
        <v>65</v>
      </c>
      <c r="E198" s="85"/>
      <c r="G198" s="464">
        <f>H196+G196</f>
        <v>0</v>
      </c>
      <c r="H198" s="465"/>
      <c r="I198" s="313"/>
      <c r="J198" s="136" t="s">
        <v>65</v>
      </c>
      <c r="K198" s="85"/>
    </row>
    <row r="199" spans="1:11" ht="24" thickBot="1" x14ac:dyDescent="0.3">
      <c r="A199" s="466" t="s">
        <v>99</v>
      </c>
      <c r="B199" s="467"/>
      <c r="C199" s="78">
        <f>A200-C200</f>
        <v>0</v>
      </c>
      <c r="D199" s="82"/>
      <c r="E199" s="83"/>
      <c r="G199" s="466" t="s">
        <v>99</v>
      </c>
      <c r="H199" s="467"/>
      <c r="I199" s="78">
        <f>G200-I200</f>
        <v>0</v>
      </c>
      <c r="J199" s="82" t="s">
        <v>450</v>
      </c>
      <c r="K199" s="83"/>
    </row>
    <row r="200" spans="1:11" ht="24" thickBot="1" x14ac:dyDescent="0.3">
      <c r="A200" s="468">
        <f>C198+A198</f>
        <v>0</v>
      </c>
      <c r="B200" s="469"/>
      <c r="C200" s="121"/>
      <c r="D200" s="82"/>
      <c r="E200" s="83"/>
      <c r="G200" s="468">
        <f>I198+G198</f>
        <v>0</v>
      </c>
      <c r="H200" s="469"/>
      <c r="I200" s="121"/>
      <c r="J200" s="82"/>
      <c r="K200" s="83"/>
    </row>
    <row r="201" spans="1:11" ht="24" thickBot="1" x14ac:dyDescent="0.3">
      <c r="C201" s="314" t="str">
        <f>IF(C199&gt;0,"زيادة","عجز")</f>
        <v>عجز</v>
      </c>
      <c r="D201" s="82" t="s">
        <v>164</v>
      </c>
      <c r="E201" s="83">
        <f>SUM(E198:E200)</f>
        <v>0</v>
      </c>
      <c r="I201" s="314" t="str">
        <f>IF(I199&gt;0,"زيادة","عجز")</f>
        <v>عجز</v>
      </c>
      <c r="J201" s="82" t="s">
        <v>164</v>
      </c>
      <c r="K201" s="83">
        <f>SUM(K198:K200)</f>
        <v>0</v>
      </c>
    </row>
    <row r="203" spans="1:11" ht="15.75" thickBot="1" x14ac:dyDescent="0.3"/>
    <row r="204" spans="1:11" ht="24" thickBot="1" x14ac:dyDescent="0.3">
      <c r="A204" s="425" t="s">
        <v>15</v>
      </c>
      <c r="B204" s="460">
        <v>45136</v>
      </c>
      <c r="C204" s="461"/>
      <c r="G204" s="425" t="s">
        <v>1162</v>
      </c>
      <c r="H204" s="460">
        <v>45136</v>
      </c>
      <c r="I204" s="461"/>
    </row>
    <row r="205" spans="1:11" ht="21" thickBot="1" x14ac:dyDescent="0.3">
      <c r="A205" s="53" t="s">
        <v>137</v>
      </c>
      <c r="B205" s="53" t="s">
        <v>3</v>
      </c>
      <c r="C205" s="53" t="s">
        <v>138</v>
      </c>
      <c r="G205" s="53" t="s">
        <v>137</v>
      </c>
      <c r="H205" s="53" t="s">
        <v>3</v>
      </c>
      <c r="I205" s="53" t="s">
        <v>138</v>
      </c>
    </row>
    <row r="206" spans="1:11" ht="18" x14ac:dyDescent="0.25">
      <c r="A206" s="55"/>
      <c r="B206" s="77"/>
      <c r="C206" s="57"/>
      <c r="G206" s="55"/>
      <c r="H206" s="77"/>
      <c r="I206" s="57"/>
    </row>
    <row r="207" spans="1:11" ht="18" x14ac:dyDescent="0.25">
      <c r="A207" s="60"/>
      <c r="B207" s="56"/>
      <c r="C207" s="57"/>
      <c r="G207" s="60"/>
      <c r="H207" s="56"/>
      <c r="I207" s="57"/>
    </row>
    <row r="208" spans="1:11" ht="18" x14ac:dyDescent="0.25">
      <c r="A208" s="60"/>
      <c r="B208" s="77"/>
      <c r="C208" s="57"/>
      <c r="G208" s="60"/>
      <c r="H208" s="77"/>
      <c r="I208" s="57"/>
    </row>
    <row r="209" spans="1:9" ht="18" x14ac:dyDescent="0.25">
      <c r="A209" s="60"/>
      <c r="B209" s="56"/>
      <c r="C209" s="57"/>
      <c r="G209" s="60"/>
      <c r="H209" s="56"/>
      <c r="I209" s="57"/>
    </row>
    <row r="210" spans="1:9" ht="18" x14ac:dyDescent="0.25">
      <c r="A210" s="60"/>
      <c r="B210" s="77"/>
      <c r="C210" s="57"/>
      <c r="G210" s="60"/>
      <c r="H210" s="77"/>
      <c r="I210" s="57"/>
    </row>
    <row r="211" spans="1:9" ht="18" x14ac:dyDescent="0.25">
      <c r="A211" s="60"/>
      <c r="B211" s="77"/>
      <c r="C211" s="57"/>
      <c r="G211" s="60"/>
      <c r="H211" s="77"/>
      <c r="I211" s="57"/>
    </row>
    <row r="212" spans="1:9" ht="18" x14ac:dyDescent="0.25">
      <c r="A212" s="60"/>
      <c r="B212" s="56"/>
      <c r="C212" s="57"/>
      <c r="G212" s="60"/>
      <c r="H212" s="56"/>
      <c r="I212" s="57"/>
    </row>
    <row r="213" spans="1:9" ht="18" x14ac:dyDescent="0.25">
      <c r="A213" s="60"/>
      <c r="B213" s="56"/>
      <c r="C213" s="56"/>
      <c r="G213" s="60"/>
      <c r="H213" s="56"/>
      <c r="I213" s="56"/>
    </row>
    <row r="214" spans="1:9" ht="18" x14ac:dyDescent="0.25">
      <c r="A214" s="60"/>
      <c r="B214" s="56"/>
      <c r="C214" s="57"/>
      <c r="G214" s="60"/>
      <c r="H214" s="56"/>
      <c r="I214" s="57"/>
    </row>
    <row r="215" spans="1:9" ht="18" x14ac:dyDescent="0.25">
      <c r="A215" s="60"/>
      <c r="B215" s="56"/>
      <c r="C215" s="57"/>
      <c r="G215" s="60"/>
      <c r="H215" s="56"/>
      <c r="I215" s="57"/>
    </row>
    <row r="216" spans="1:9" ht="18" x14ac:dyDescent="0.25">
      <c r="A216" s="60"/>
      <c r="B216" s="56"/>
      <c r="C216" s="57"/>
      <c r="G216" s="60"/>
      <c r="H216" s="56"/>
      <c r="I216" s="57"/>
    </row>
    <row r="217" spans="1:9" ht="18" x14ac:dyDescent="0.25">
      <c r="A217" s="60"/>
      <c r="B217" s="56"/>
      <c r="C217" s="57"/>
      <c r="G217" s="60"/>
      <c r="H217" s="56"/>
      <c r="I217" s="57"/>
    </row>
    <row r="218" spans="1:9" ht="18" x14ac:dyDescent="0.25">
      <c r="A218" s="60"/>
      <c r="B218" s="56"/>
      <c r="C218" s="57"/>
      <c r="G218" s="60"/>
      <c r="H218" s="56"/>
      <c r="I218" s="57"/>
    </row>
    <row r="219" spans="1:9" ht="18" x14ac:dyDescent="0.25">
      <c r="A219" s="60"/>
      <c r="B219" s="56"/>
      <c r="C219" s="57"/>
      <c r="G219" s="60"/>
      <c r="H219" s="56"/>
      <c r="I219" s="57"/>
    </row>
    <row r="220" spans="1:9" ht="18" x14ac:dyDescent="0.25">
      <c r="A220" s="60"/>
      <c r="B220" s="56"/>
      <c r="C220" s="57"/>
      <c r="G220" s="60"/>
      <c r="H220" s="56"/>
      <c r="I220" s="57"/>
    </row>
    <row r="221" spans="1:9" ht="18" x14ac:dyDescent="0.25">
      <c r="A221" s="60"/>
      <c r="B221" s="56"/>
      <c r="C221" s="57"/>
      <c r="G221" s="60"/>
      <c r="H221" s="56"/>
      <c r="I221" s="57"/>
    </row>
    <row r="222" spans="1:9" ht="18" x14ac:dyDescent="0.25">
      <c r="A222" s="60"/>
      <c r="B222" s="56"/>
      <c r="C222" s="57"/>
      <c r="G222" s="60"/>
      <c r="H222" s="56"/>
      <c r="I222" s="57"/>
    </row>
    <row r="223" spans="1:9" ht="18" x14ac:dyDescent="0.25">
      <c r="A223" s="60"/>
      <c r="B223" s="56"/>
      <c r="C223" s="57"/>
      <c r="G223" s="60"/>
      <c r="H223" s="56"/>
      <c r="I223" s="57"/>
    </row>
    <row r="224" spans="1:9" ht="18" x14ac:dyDescent="0.25">
      <c r="A224" s="60"/>
      <c r="B224" s="56"/>
      <c r="C224" s="57"/>
      <c r="G224" s="60"/>
      <c r="H224" s="56"/>
      <c r="I224" s="57"/>
    </row>
    <row r="225" spans="1:11" ht="18" x14ac:dyDescent="0.25">
      <c r="A225" s="60"/>
      <c r="B225" s="56"/>
      <c r="C225" s="57"/>
      <c r="G225" s="60"/>
      <c r="H225" s="56"/>
      <c r="I225" s="57"/>
    </row>
    <row r="226" spans="1:11" ht="18" x14ac:dyDescent="0.25">
      <c r="A226" s="60"/>
      <c r="B226" s="56"/>
      <c r="C226" s="56"/>
      <c r="G226" s="60"/>
      <c r="H226" s="56"/>
      <c r="I226" s="56"/>
    </row>
    <row r="227" spans="1:11" ht="18" x14ac:dyDescent="0.25">
      <c r="A227" s="60"/>
      <c r="B227" s="56"/>
      <c r="C227" s="56"/>
      <c r="G227" s="60"/>
      <c r="H227" s="56"/>
      <c r="I227" s="56"/>
    </row>
    <row r="228" spans="1:11" ht="18.75" thickBot="1" x14ac:dyDescent="0.3">
      <c r="A228" s="66"/>
      <c r="B228" s="56"/>
      <c r="C228" s="64"/>
      <c r="G228" s="66"/>
      <c r="H228" s="56"/>
      <c r="I228" s="64"/>
    </row>
    <row r="229" spans="1:11" ht="24" thickBot="1" x14ac:dyDescent="0.3">
      <c r="A229" s="68">
        <f>SUM(A206:A228)</f>
        <v>0</v>
      </c>
      <c r="B229" s="69">
        <f>SUM(B206:B228)</f>
        <v>0</v>
      </c>
      <c r="D229" s="314" t="str">
        <f>IF(E229&gt;0,"زيادة","عجز")</f>
        <v>عجز</v>
      </c>
      <c r="E229" s="99">
        <f>E234-E230</f>
        <v>0</v>
      </c>
      <c r="G229" s="68">
        <f>SUM(G206:G228)</f>
        <v>0</v>
      </c>
      <c r="H229" s="69">
        <f>SUM(H206:H228)</f>
        <v>0</v>
      </c>
      <c r="J229" s="314" t="str">
        <f>IF(K229&gt;0,"زيادة","عجز")</f>
        <v>عجز</v>
      </c>
      <c r="K229" s="99">
        <f>K234-K230</f>
        <v>0</v>
      </c>
    </row>
    <row r="230" spans="1:11" ht="24" thickBot="1" x14ac:dyDescent="0.3">
      <c r="A230" s="462" t="s">
        <v>139</v>
      </c>
      <c r="B230" s="463"/>
      <c r="C230" s="71" t="s">
        <v>75</v>
      </c>
      <c r="D230" s="135" t="s">
        <v>94</v>
      </c>
      <c r="E230" s="99"/>
      <c r="G230" s="462" t="s">
        <v>139</v>
      </c>
      <c r="H230" s="463"/>
      <c r="I230" s="71" t="s">
        <v>75</v>
      </c>
      <c r="J230" s="135" t="s">
        <v>94</v>
      </c>
      <c r="K230" s="99"/>
    </row>
    <row r="231" spans="1:11" ht="24" thickBot="1" x14ac:dyDescent="0.3">
      <c r="A231" s="464">
        <f>B229+A229</f>
        <v>0</v>
      </c>
      <c r="B231" s="465"/>
      <c r="C231" s="313"/>
      <c r="D231" s="136" t="s">
        <v>65</v>
      </c>
      <c r="E231" s="85"/>
      <c r="G231" s="464">
        <f>H229+G229</f>
        <v>0</v>
      </c>
      <c r="H231" s="465"/>
      <c r="I231" s="313"/>
      <c r="J231" s="136" t="s">
        <v>65</v>
      </c>
      <c r="K231" s="85"/>
    </row>
    <row r="232" spans="1:11" ht="24" thickBot="1" x14ac:dyDescent="0.3">
      <c r="A232" s="466" t="s">
        <v>99</v>
      </c>
      <c r="B232" s="467"/>
      <c r="C232" s="78">
        <f>A233-C233</f>
        <v>0</v>
      </c>
      <c r="D232" s="82" t="s">
        <v>450</v>
      </c>
      <c r="E232" s="83"/>
      <c r="G232" s="466" t="s">
        <v>99</v>
      </c>
      <c r="H232" s="467"/>
      <c r="I232" s="78">
        <f>G233-I233</f>
        <v>0</v>
      </c>
      <c r="J232" s="82"/>
      <c r="K232" s="83"/>
    </row>
    <row r="233" spans="1:11" ht="24" thickBot="1" x14ac:dyDescent="0.3">
      <c r="A233" s="468">
        <f>C231+A231</f>
        <v>0</v>
      </c>
      <c r="B233" s="469"/>
      <c r="C233" s="121"/>
      <c r="D233" s="82"/>
      <c r="E233" s="83"/>
      <c r="G233" s="468">
        <f>I231+G231</f>
        <v>0</v>
      </c>
      <c r="H233" s="469"/>
      <c r="I233" s="121"/>
      <c r="J233" s="82"/>
      <c r="K233" s="83"/>
    </row>
    <row r="234" spans="1:11" ht="24" thickBot="1" x14ac:dyDescent="0.3">
      <c r="C234" s="314" t="str">
        <f>IF(C232&gt;0,"زيادة","عجز")</f>
        <v>عجز</v>
      </c>
      <c r="D234" s="82" t="s">
        <v>164</v>
      </c>
      <c r="E234" s="83">
        <f>SUM(E231:E233)</f>
        <v>0</v>
      </c>
      <c r="I234" s="314" t="str">
        <f>IF(I232&gt;0,"زيادة","عجز")</f>
        <v>عجز</v>
      </c>
      <c r="J234" s="82" t="s">
        <v>164</v>
      </c>
      <c r="K234" s="83">
        <f>SUM(K231:K233)</f>
        <v>0</v>
      </c>
    </row>
    <row r="251" spans="3:6" ht="18.75" x14ac:dyDescent="0.3">
      <c r="C251" s="492"/>
      <c r="D251" s="492"/>
      <c r="E251" s="492"/>
      <c r="F251" s="492"/>
    </row>
    <row r="252" spans="3:6" ht="18.75" x14ac:dyDescent="0.3">
      <c r="C252" s="492">
        <v>10000</v>
      </c>
      <c r="D252" s="492">
        <f>4400+138</f>
        <v>4538</v>
      </c>
      <c r="E252" s="492" t="s">
        <v>65</v>
      </c>
      <c r="F252" s="492"/>
    </row>
    <row r="253" spans="3:6" ht="18.75" x14ac:dyDescent="0.3">
      <c r="C253" s="492"/>
      <c r="D253" s="492">
        <v>762</v>
      </c>
      <c r="E253" s="492" t="s">
        <v>1600</v>
      </c>
      <c r="F253" s="492"/>
    </row>
    <row r="254" spans="3:6" ht="18.75" x14ac:dyDescent="0.3">
      <c r="C254" s="492"/>
      <c r="D254" s="492">
        <v>1000</v>
      </c>
      <c r="E254" s="492" t="s">
        <v>1316</v>
      </c>
      <c r="F254" s="492"/>
    </row>
    <row r="255" spans="3:6" ht="18.75" x14ac:dyDescent="0.3">
      <c r="C255" s="492"/>
      <c r="D255" s="492">
        <v>3800</v>
      </c>
      <c r="E255" s="492" t="s">
        <v>1601</v>
      </c>
      <c r="F255" s="492"/>
    </row>
    <row r="256" spans="3:6" ht="18.75" x14ac:dyDescent="0.3">
      <c r="C256" s="492"/>
      <c r="D256" s="492"/>
      <c r="E256" s="492"/>
      <c r="F256" s="492"/>
    </row>
    <row r="257" spans="3:6" ht="18.75" x14ac:dyDescent="0.3">
      <c r="C257" s="492"/>
      <c r="D257" s="492"/>
      <c r="E257" s="492"/>
      <c r="F257" s="492"/>
    </row>
    <row r="258" spans="3:6" ht="18.75" x14ac:dyDescent="0.3">
      <c r="C258" s="492"/>
      <c r="D258" s="492"/>
      <c r="E258" s="492"/>
      <c r="F258" s="492"/>
    </row>
    <row r="259" spans="3:6" ht="18.75" x14ac:dyDescent="0.3">
      <c r="C259" s="492"/>
      <c r="D259" s="492"/>
      <c r="E259" s="492"/>
      <c r="F259" s="492"/>
    </row>
    <row r="260" spans="3:6" ht="18.75" x14ac:dyDescent="0.3">
      <c r="C260" s="492">
        <f>SUM(C252:C259)</f>
        <v>10000</v>
      </c>
      <c r="D260" s="492">
        <f>SUM(D252:D259)</f>
        <v>10100</v>
      </c>
      <c r="E260" s="492"/>
      <c r="F260" s="492">
        <f>C260-D260</f>
        <v>-100</v>
      </c>
    </row>
    <row r="261" spans="3:6" ht="18.75" x14ac:dyDescent="0.3">
      <c r="C261" s="492"/>
      <c r="D261" s="492"/>
      <c r="E261" s="492"/>
      <c r="F261" s="492"/>
    </row>
    <row r="262" spans="3:6" ht="18.75" x14ac:dyDescent="0.3">
      <c r="C262" s="492"/>
      <c r="D262" s="492"/>
      <c r="E262" s="492"/>
      <c r="F262" s="492"/>
    </row>
    <row r="263" spans="3:6" ht="18.75" x14ac:dyDescent="0.3">
      <c r="C263" s="492"/>
      <c r="D263" s="492"/>
      <c r="E263" s="492"/>
      <c r="F263" s="492"/>
    </row>
    <row r="345" spans="3:7" x14ac:dyDescent="0.25">
      <c r="C345">
        <v>1</v>
      </c>
      <c r="F345">
        <v>1</v>
      </c>
      <c r="G345" t="b">
        <f>EXACT(F345:F348,C345:C348)</f>
        <v>1</v>
      </c>
    </row>
    <row r="346" spans="3:7" x14ac:dyDescent="0.25">
      <c r="C346">
        <v>2</v>
      </c>
      <c r="F346">
        <v>2</v>
      </c>
      <c r="G346" t="b">
        <f>EXACT(F346:F349,C346:C349)</f>
        <v>1</v>
      </c>
    </row>
    <row r="347" spans="3:7" x14ac:dyDescent="0.25">
      <c r="C347">
        <v>3</v>
      </c>
      <c r="F347">
        <v>3</v>
      </c>
      <c r="G347" t="b">
        <f t="shared" ref="G346:G347" si="0">EXACT(F347:F350,C347:C350)</f>
        <v>1</v>
      </c>
    </row>
    <row r="2429" spans="2:3" x14ac:dyDescent="0.25">
      <c r="B2429">
        <v>72</v>
      </c>
      <c r="C2429" t="s">
        <v>1605</v>
      </c>
    </row>
    <row r="2430" spans="2:3" x14ac:dyDescent="0.25">
      <c r="B2430">
        <v>11000</v>
      </c>
      <c r="C2430" t="s">
        <v>1076</v>
      </c>
    </row>
    <row r="2431" spans="2:3" x14ac:dyDescent="0.25">
      <c r="B2431">
        <v>168</v>
      </c>
      <c r="C2431" t="s">
        <v>979</v>
      </c>
    </row>
    <row r="2454" spans="5:9" x14ac:dyDescent="0.25">
      <c r="I2454" t="s">
        <v>1602</v>
      </c>
    </row>
    <row r="2455" spans="5:9" x14ac:dyDescent="0.25">
      <c r="I2455" t="s">
        <v>796</v>
      </c>
    </row>
    <row r="2456" spans="5:9" x14ac:dyDescent="0.25">
      <c r="E2456">
        <v>565</v>
      </c>
      <c r="F2456" t="s">
        <v>1607</v>
      </c>
      <c r="I2456" t="s">
        <v>1608</v>
      </c>
    </row>
    <row r="2474" spans="6:6" x14ac:dyDescent="0.25">
      <c r="F2474">
        <v>1288444325</v>
      </c>
    </row>
    <row r="2475" spans="6:6" x14ac:dyDescent="0.25">
      <c r="F2475" t="s">
        <v>1606</v>
      </c>
    </row>
  </sheetData>
  <mergeCells count="66">
    <mergeCell ref="A232:B232"/>
    <mergeCell ref="G232:H232"/>
    <mergeCell ref="A233:B233"/>
    <mergeCell ref="G233:H233"/>
    <mergeCell ref="B204:C204"/>
    <mergeCell ref="H204:I204"/>
    <mergeCell ref="A230:B230"/>
    <mergeCell ref="G230:H230"/>
    <mergeCell ref="A231:B231"/>
    <mergeCell ref="G231:H231"/>
    <mergeCell ref="A198:B198"/>
    <mergeCell ref="G198:H198"/>
    <mergeCell ref="A199:B199"/>
    <mergeCell ref="G199:H199"/>
    <mergeCell ref="A200:B200"/>
    <mergeCell ref="G200:H200"/>
    <mergeCell ref="A167:B167"/>
    <mergeCell ref="G167:H167"/>
    <mergeCell ref="B171:C171"/>
    <mergeCell ref="H171:I171"/>
    <mergeCell ref="A197:B197"/>
    <mergeCell ref="G197:H197"/>
    <mergeCell ref="A164:B164"/>
    <mergeCell ref="G164:H164"/>
    <mergeCell ref="A165:B165"/>
    <mergeCell ref="G165:H165"/>
    <mergeCell ref="A166:B166"/>
    <mergeCell ref="G166:H166"/>
    <mergeCell ref="A124:B124"/>
    <mergeCell ref="G124:H124"/>
    <mergeCell ref="A125:B125"/>
    <mergeCell ref="G125:H125"/>
    <mergeCell ref="B138:C138"/>
    <mergeCell ref="H138:I138"/>
    <mergeCell ref="B96:C96"/>
    <mergeCell ref="H96:I96"/>
    <mergeCell ref="A122:B122"/>
    <mergeCell ref="G122:H122"/>
    <mergeCell ref="A123:B123"/>
    <mergeCell ref="G123:H123"/>
    <mergeCell ref="J87:K87"/>
    <mergeCell ref="G89:H89"/>
    <mergeCell ref="G90:H90"/>
    <mergeCell ref="A91:B91"/>
    <mergeCell ref="G91:H91"/>
    <mergeCell ref="A92:B92"/>
    <mergeCell ref="G92:H92"/>
    <mergeCell ref="D51:E51"/>
    <mergeCell ref="G57:H57"/>
    <mergeCell ref="G58:H58"/>
    <mergeCell ref="G59:H59"/>
    <mergeCell ref="G60:H60"/>
    <mergeCell ref="B63:C63"/>
    <mergeCell ref="H63:I63"/>
    <mergeCell ref="A28:B28"/>
    <mergeCell ref="G28:H28"/>
    <mergeCell ref="A29:B29"/>
    <mergeCell ref="G29:H29"/>
    <mergeCell ref="B34:C34"/>
    <mergeCell ref="H34:I34"/>
    <mergeCell ref="B2:C2"/>
    <mergeCell ref="H2:I2"/>
    <mergeCell ref="A26:B26"/>
    <mergeCell ref="G26:H26"/>
    <mergeCell ref="A27:B27"/>
    <mergeCell ref="G27:H27"/>
  </mergeCells>
  <conditionalFormatting sqref="C93">
    <cfRule type="expression" dxfId="555" priority="21">
      <formula>#REF!="عجز"</formula>
    </cfRule>
    <cfRule type="expression" dxfId="554" priority="22">
      <formula>#REF!="زيادة"</formula>
    </cfRule>
  </conditionalFormatting>
  <conditionalFormatting sqref="C126">
    <cfRule type="expression" dxfId="553" priority="37">
      <formula>#REF!="عجز"</formula>
    </cfRule>
    <cfRule type="expression" dxfId="552" priority="38">
      <formula>#REF!="زيادة"</formula>
    </cfRule>
  </conditionalFormatting>
  <conditionalFormatting sqref="C168">
    <cfRule type="expression" dxfId="551" priority="29">
      <formula>#REF!="عجز"</formula>
    </cfRule>
    <cfRule type="expression" dxfId="550" priority="30">
      <formula>#REF!="زيادة"</formula>
    </cfRule>
  </conditionalFormatting>
  <conditionalFormatting sqref="C201">
    <cfRule type="expression" dxfId="549" priority="15">
      <formula>#REF!="عجز"</formula>
    </cfRule>
    <cfRule type="expression" dxfId="548" priority="16">
      <formula>#REF!="زيادة"</formula>
    </cfRule>
  </conditionalFormatting>
  <conditionalFormatting sqref="C234">
    <cfRule type="expression" dxfId="547" priority="7">
      <formula>#REF!="عجز"</formula>
    </cfRule>
    <cfRule type="expression" dxfId="546" priority="8">
      <formula>#REF!="زيادة"</formula>
    </cfRule>
  </conditionalFormatting>
  <conditionalFormatting sqref="D24 J25 C30 I30 J56 C58 I61:I62">
    <cfRule type="expression" dxfId="545" priority="43">
      <formula>#REF!="عجز"</formula>
    </cfRule>
    <cfRule type="expression" dxfId="544" priority="44">
      <formula>#REF!="زيادة"</formula>
    </cfRule>
  </conditionalFormatting>
  <conditionalFormatting sqref="D52">
    <cfRule type="expression" dxfId="543" priority="39">
      <formula>#REF!="عجز"</formula>
    </cfRule>
    <cfRule type="expression" dxfId="542" priority="40">
      <formula>#REF!="زيادة"</formula>
    </cfRule>
  </conditionalFormatting>
  <conditionalFormatting sqref="D88">
    <cfRule type="expression" dxfId="541" priority="23">
      <formula>#REF!="عجز"</formula>
    </cfRule>
    <cfRule type="expression" dxfId="540" priority="24">
      <formula>#REF!="زيادة"</formula>
    </cfRule>
  </conditionalFormatting>
  <conditionalFormatting sqref="D121">
    <cfRule type="expression" dxfId="539" priority="35">
      <formula>#REF!="عجز"</formula>
    </cfRule>
    <cfRule type="expression" dxfId="538" priority="36">
      <formula>#REF!="زيادة"</formula>
    </cfRule>
  </conditionalFormatting>
  <conditionalFormatting sqref="D163">
    <cfRule type="expression" dxfId="537" priority="27">
      <formula>#REF!="عجز"</formula>
    </cfRule>
    <cfRule type="expression" dxfId="536" priority="28">
      <formula>#REF!="زيادة"</formula>
    </cfRule>
  </conditionalFormatting>
  <conditionalFormatting sqref="D196">
    <cfRule type="expression" dxfId="535" priority="13">
      <formula>#REF!="عجز"</formula>
    </cfRule>
    <cfRule type="expression" dxfId="534" priority="14">
      <formula>#REF!="زيادة"</formula>
    </cfRule>
  </conditionalFormatting>
  <conditionalFormatting sqref="D229">
    <cfRule type="expression" dxfId="533" priority="5">
      <formula>#REF!="عجز"</formula>
    </cfRule>
    <cfRule type="expression" dxfId="532" priority="6">
      <formula>#REF!="زيادة"</formula>
    </cfRule>
  </conditionalFormatting>
  <conditionalFormatting sqref="I93">
    <cfRule type="expression" dxfId="531" priority="41">
      <formula>#REF!="عجز"</formula>
    </cfRule>
    <cfRule type="expression" dxfId="530" priority="42">
      <formula>#REF!="زيادة"</formula>
    </cfRule>
  </conditionalFormatting>
  <conditionalFormatting sqref="I126">
    <cfRule type="expression" dxfId="529" priority="33">
      <formula>#REF!="عجز"</formula>
    </cfRule>
    <cfRule type="expression" dxfId="528" priority="34">
      <formula>#REF!="زيادة"</formula>
    </cfRule>
  </conditionalFormatting>
  <conditionalFormatting sqref="I168">
    <cfRule type="expression" dxfId="527" priority="19">
      <formula>#REF!="عجز"</formula>
    </cfRule>
    <cfRule type="expression" dxfId="526" priority="20">
      <formula>#REF!="زيادة"</formula>
    </cfRule>
  </conditionalFormatting>
  <conditionalFormatting sqref="I201">
    <cfRule type="expression" dxfId="525" priority="11">
      <formula>#REF!="عجز"</formula>
    </cfRule>
    <cfRule type="expression" dxfId="524" priority="12">
      <formula>#REF!="زيادة"</formula>
    </cfRule>
  </conditionalFormatting>
  <conditionalFormatting sqref="I234">
    <cfRule type="expression" dxfId="523" priority="3">
      <formula>#REF!="عجز"</formula>
    </cfRule>
    <cfRule type="expression" dxfId="522" priority="4">
      <formula>#REF!="زيادة"</formula>
    </cfRule>
  </conditionalFormatting>
  <conditionalFormatting sqref="J88">
    <cfRule type="expression" dxfId="521" priority="25">
      <formula>#REF!="عجز"</formula>
    </cfRule>
    <cfRule type="expression" dxfId="520" priority="26">
      <formula>#REF!="زيادة"</formula>
    </cfRule>
  </conditionalFormatting>
  <conditionalFormatting sqref="J121">
    <cfRule type="expression" dxfId="519" priority="31">
      <formula>#REF!="عجز"</formula>
    </cfRule>
    <cfRule type="expression" dxfId="518" priority="32">
      <formula>#REF!="زيادة"</formula>
    </cfRule>
  </conditionalFormatting>
  <conditionalFormatting sqref="J163">
    <cfRule type="expression" dxfId="517" priority="17">
      <formula>#REF!="عجز"</formula>
    </cfRule>
    <cfRule type="expression" dxfId="516" priority="18">
      <formula>#REF!="زيادة"</formula>
    </cfRule>
  </conditionalFormatting>
  <conditionalFormatting sqref="J196">
    <cfRule type="expression" dxfId="515" priority="9">
      <formula>#REF!="عجز"</formula>
    </cfRule>
    <cfRule type="expression" dxfId="514" priority="10">
      <formula>#REF!="زيادة"</formula>
    </cfRule>
  </conditionalFormatting>
  <conditionalFormatting sqref="J229">
    <cfRule type="expression" dxfId="513" priority="1">
      <formula>#REF!="عجز"</formula>
    </cfRule>
    <cfRule type="expression" dxfId="512" priority="2">
      <formula>#REF!="زيادة"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1BE1-C5AC-4049-B06B-FA56FEBA5A1E}">
  <sheetPr codeName="Sheet24"/>
  <dimension ref="A1:G460"/>
  <sheetViews>
    <sheetView rightToLeft="1" topLeftCell="A87" zoomScale="115" zoomScaleNormal="115" workbookViewId="0">
      <selection activeCell="B37" sqref="B37"/>
    </sheetView>
  </sheetViews>
  <sheetFormatPr defaultRowHeight="15" x14ac:dyDescent="0.25"/>
  <cols>
    <col min="1" max="1" width="32.85546875" style="9" bestFit="1" customWidth="1"/>
    <col min="2" max="2" width="26.5703125" style="10" customWidth="1"/>
    <col min="3" max="3" width="42.5703125" bestFit="1" customWidth="1"/>
    <col min="4" max="4" width="21" customWidth="1"/>
    <col min="5" max="5" width="24.140625" customWidth="1"/>
    <col min="6" max="6" width="6.7109375" bestFit="1" customWidth="1"/>
    <col min="7" max="7" width="45.85546875" customWidth="1"/>
    <col min="8" max="8" width="14.5703125" customWidth="1"/>
    <col min="9" max="9" width="10.7109375" customWidth="1"/>
  </cols>
  <sheetData>
    <row r="1" spans="1:5" ht="18.75" x14ac:dyDescent="0.3">
      <c r="A1" s="1" t="s">
        <v>0</v>
      </c>
      <c r="B1" s="2">
        <v>45119</v>
      </c>
      <c r="C1" s="3"/>
      <c r="D1" s="3"/>
    </row>
    <row r="2" spans="1:5" x14ac:dyDescent="0.25">
      <c r="A2" s="4" t="s">
        <v>1</v>
      </c>
      <c r="B2" s="5" t="s">
        <v>2</v>
      </c>
      <c r="C2" s="5" t="s">
        <v>3</v>
      </c>
      <c r="D2" s="6" t="s">
        <v>4</v>
      </c>
      <c r="E2" s="5" t="s">
        <v>5</v>
      </c>
    </row>
    <row r="3" spans="1:5" x14ac:dyDescent="0.25">
      <c r="A3" s="19" t="s">
        <v>48</v>
      </c>
      <c r="B3" s="31">
        <f>5000+3700+300+70+5000+5000+10000+10000</f>
        <v>39070</v>
      </c>
      <c r="C3" s="90" t="s">
        <v>27</v>
      </c>
      <c r="D3" s="21">
        <v>2725</v>
      </c>
      <c r="E3" s="122"/>
    </row>
    <row r="4" spans="1:5" x14ac:dyDescent="0.25">
      <c r="A4" s="20" t="s">
        <v>9</v>
      </c>
      <c r="B4" s="22">
        <v>15402</v>
      </c>
      <c r="C4" s="90" t="s">
        <v>313</v>
      </c>
      <c r="D4" s="21">
        <v>520</v>
      </c>
      <c r="E4" s="123"/>
    </row>
    <row r="5" spans="1:5" x14ac:dyDescent="0.25">
      <c r="A5" s="20" t="s">
        <v>28</v>
      </c>
      <c r="B5" s="22">
        <v>722</v>
      </c>
      <c r="C5" s="90" t="s">
        <v>52</v>
      </c>
      <c r="D5" s="21">
        <v>200</v>
      </c>
      <c r="E5" s="123"/>
    </row>
    <row r="6" spans="1:5" x14ac:dyDescent="0.25">
      <c r="A6" s="20" t="s">
        <v>80</v>
      </c>
      <c r="B6" s="22">
        <v>13312</v>
      </c>
      <c r="C6" s="90" t="s">
        <v>33</v>
      </c>
      <c r="D6" s="21">
        <v>72</v>
      </c>
      <c r="E6" s="123"/>
    </row>
    <row r="7" spans="1:5" x14ac:dyDescent="0.25">
      <c r="A7" s="20" t="s">
        <v>81</v>
      </c>
      <c r="B7" s="22">
        <v>2110</v>
      </c>
      <c r="C7" s="20" t="s">
        <v>150</v>
      </c>
      <c r="D7" s="21">
        <v>7240</v>
      </c>
      <c r="E7" s="123"/>
    </row>
    <row r="8" spans="1:5" x14ac:dyDescent="0.25">
      <c r="A8" s="20" t="s">
        <v>19</v>
      </c>
      <c r="B8" s="21">
        <v>4295</v>
      </c>
      <c r="C8" s="20" t="s">
        <v>69</v>
      </c>
      <c r="D8" s="91">
        <v>2430</v>
      </c>
      <c r="E8" s="123"/>
    </row>
    <row r="9" spans="1:5" x14ac:dyDescent="0.25">
      <c r="A9" s="20" t="s">
        <v>541</v>
      </c>
      <c r="B9" s="21">
        <v>23</v>
      </c>
      <c r="C9" s="20" t="s">
        <v>653</v>
      </c>
      <c r="D9" s="96">
        <v>9190</v>
      </c>
      <c r="E9" s="124"/>
    </row>
    <row r="10" spans="1:5" x14ac:dyDescent="0.25">
      <c r="A10" s="41" t="s">
        <v>363</v>
      </c>
      <c r="B10" s="22">
        <v>16870</v>
      </c>
      <c r="C10" s="20" t="s">
        <v>58</v>
      </c>
      <c r="D10" s="96">
        <v>1410</v>
      </c>
      <c r="E10" s="124"/>
    </row>
    <row r="11" spans="1:5" x14ac:dyDescent="0.25">
      <c r="A11" s="20" t="s">
        <v>465</v>
      </c>
      <c r="B11" s="22">
        <v>2681</v>
      </c>
      <c r="C11" s="20" t="s">
        <v>654</v>
      </c>
      <c r="D11" s="96">
        <v>614</v>
      </c>
      <c r="E11" s="124"/>
    </row>
    <row r="12" spans="1:5" x14ac:dyDescent="0.25">
      <c r="A12" s="20" t="s">
        <v>60</v>
      </c>
      <c r="B12" s="22">
        <f>2550+460+5</f>
        <v>3015</v>
      </c>
      <c r="C12" s="20" t="s">
        <v>655</v>
      </c>
      <c r="D12" s="96">
        <v>5000</v>
      </c>
      <c r="E12" s="125"/>
    </row>
    <row r="13" spans="1:5" ht="18" x14ac:dyDescent="0.25">
      <c r="A13" s="20" t="s">
        <v>85</v>
      </c>
      <c r="B13" s="96">
        <v>12801</v>
      </c>
      <c r="C13" s="90" t="s">
        <v>393</v>
      </c>
      <c r="D13" s="96">
        <v>120</v>
      </c>
      <c r="E13" s="77"/>
    </row>
    <row r="14" spans="1:5" ht="18" x14ac:dyDescent="0.25">
      <c r="A14" s="20" t="s">
        <v>121</v>
      </c>
      <c r="B14" s="96">
        <v>10585</v>
      </c>
      <c r="C14" s="90" t="s">
        <v>399</v>
      </c>
      <c r="D14" s="96">
        <v>180</v>
      </c>
      <c r="E14" s="77"/>
    </row>
    <row r="15" spans="1:5" ht="18" x14ac:dyDescent="0.25">
      <c r="A15" s="20" t="s">
        <v>710</v>
      </c>
      <c r="B15" s="96">
        <v>544</v>
      </c>
      <c r="C15" s="20" t="s">
        <v>8</v>
      </c>
      <c r="D15" s="96">
        <v>270</v>
      </c>
      <c r="E15" s="56"/>
    </row>
    <row r="16" spans="1:5" ht="18" x14ac:dyDescent="0.25">
      <c r="A16" s="20" t="s">
        <v>15</v>
      </c>
      <c r="B16" s="96">
        <v>22819</v>
      </c>
      <c r="C16" s="20" t="s">
        <v>34</v>
      </c>
      <c r="D16" s="117">
        <v>475</v>
      </c>
      <c r="E16" s="56"/>
    </row>
    <row r="17" spans="1:7" ht="18" x14ac:dyDescent="0.25">
      <c r="A17" s="20" t="s">
        <v>90</v>
      </c>
      <c r="B17" s="96">
        <v>658</v>
      </c>
      <c r="C17" s="90" t="s">
        <v>656</v>
      </c>
      <c r="D17" s="117">
        <v>520</v>
      </c>
      <c r="E17" s="56"/>
    </row>
    <row r="18" spans="1:7" ht="18" x14ac:dyDescent="0.25">
      <c r="A18" s="20"/>
      <c r="B18" s="96"/>
      <c r="C18" s="90" t="s">
        <v>314</v>
      </c>
      <c r="D18" s="117">
        <v>737</v>
      </c>
      <c r="E18" s="56"/>
      <c r="G18" s="97"/>
    </row>
    <row r="19" spans="1:7" x14ac:dyDescent="0.25">
      <c r="A19" s="20"/>
      <c r="B19" s="96"/>
      <c r="C19" s="90" t="s">
        <v>657</v>
      </c>
      <c r="D19" s="117">
        <v>545</v>
      </c>
      <c r="E19" s="124"/>
      <c r="G19" s="97"/>
    </row>
    <row r="20" spans="1:7" x14ac:dyDescent="0.25">
      <c r="A20" s="20"/>
      <c r="B20" s="96"/>
      <c r="C20" s="90" t="s">
        <v>317</v>
      </c>
      <c r="D20" s="117">
        <v>1180</v>
      </c>
      <c r="E20" s="124"/>
      <c r="G20" s="97"/>
    </row>
    <row r="21" spans="1:7" x14ac:dyDescent="0.25">
      <c r="A21" s="20"/>
      <c r="B21" s="96"/>
      <c r="C21" s="20" t="s">
        <v>47</v>
      </c>
      <c r="D21" s="117">
        <v>6604</v>
      </c>
      <c r="E21" s="124"/>
      <c r="G21" s="97"/>
    </row>
    <row r="22" spans="1:7" ht="15.75" x14ac:dyDescent="0.25">
      <c r="A22" s="20"/>
      <c r="B22" s="20"/>
      <c r="C22" s="20" t="s">
        <v>38</v>
      </c>
      <c r="D22" s="91">
        <v>120</v>
      </c>
      <c r="E22" s="124"/>
      <c r="F22" s="15"/>
      <c r="G22" s="97"/>
    </row>
    <row r="23" spans="1:7" ht="15.75" x14ac:dyDescent="0.25">
      <c r="A23" s="20"/>
      <c r="B23" s="117"/>
      <c r="C23" s="20" t="s">
        <v>13</v>
      </c>
      <c r="D23" s="96">
        <v>50</v>
      </c>
      <c r="E23" s="128"/>
      <c r="F23" s="15"/>
      <c r="G23" s="97"/>
    </row>
    <row r="24" spans="1:7" ht="15.75" x14ac:dyDescent="0.25">
      <c r="A24" s="20"/>
      <c r="B24" s="117"/>
      <c r="C24" s="20" t="s">
        <v>658</v>
      </c>
      <c r="D24" s="96">
        <v>1000</v>
      </c>
      <c r="E24" s="128"/>
      <c r="F24" s="15"/>
    </row>
    <row r="25" spans="1:7" ht="15.75" x14ac:dyDescent="0.25">
      <c r="A25" s="20"/>
      <c r="B25" s="117"/>
      <c r="C25" s="20" t="s">
        <v>659</v>
      </c>
      <c r="D25" s="96">
        <v>4715</v>
      </c>
      <c r="E25" s="128"/>
      <c r="F25" s="15"/>
      <c r="G25" s="97"/>
    </row>
    <row r="26" spans="1:7" ht="15.75" x14ac:dyDescent="0.25">
      <c r="A26" s="20"/>
      <c r="B26" s="22"/>
      <c r="C26" s="41" t="s">
        <v>660</v>
      </c>
      <c r="D26" s="32">
        <v>20</v>
      </c>
      <c r="E26" s="128"/>
      <c r="F26" s="15"/>
      <c r="G26" s="97"/>
    </row>
    <row r="27" spans="1:7" ht="15.75" x14ac:dyDescent="0.25">
      <c r="A27" s="20"/>
      <c r="B27" s="117"/>
      <c r="C27" s="41" t="s">
        <v>376</v>
      </c>
      <c r="D27" s="21">
        <v>105</v>
      </c>
      <c r="E27" s="124"/>
      <c r="F27" s="15"/>
      <c r="G27" s="97"/>
    </row>
    <row r="28" spans="1:7" ht="15.75" x14ac:dyDescent="0.25">
      <c r="A28" s="20"/>
      <c r="B28" s="117"/>
      <c r="C28" s="41" t="s">
        <v>661</v>
      </c>
      <c r="D28" s="21">
        <v>800</v>
      </c>
      <c r="E28" s="124"/>
      <c r="F28" s="15"/>
      <c r="G28" s="97"/>
    </row>
    <row r="29" spans="1:7" ht="15.75" x14ac:dyDescent="0.25">
      <c r="A29" s="20"/>
      <c r="B29" s="117"/>
      <c r="C29" s="41" t="s">
        <v>16</v>
      </c>
      <c r="D29" s="21">
        <v>9090</v>
      </c>
      <c r="E29" s="124"/>
      <c r="F29" s="15"/>
      <c r="G29" s="97"/>
    </row>
    <row r="30" spans="1:7" ht="15.75" x14ac:dyDescent="0.25">
      <c r="A30" s="20"/>
      <c r="B30" s="22"/>
      <c r="C30" s="20" t="s">
        <v>20</v>
      </c>
      <c r="D30" s="21">
        <v>3155</v>
      </c>
      <c r="E30" s="124"/>
      <c r="F30" s="15"/>
      <c r="G30" s="97"/>
    </row>
    <row r="31" spans="1:7" ht="15.75" x14ac:dyDescent="0.25">
      <c r="A31" s="20"/>
      <c r="B31" s="22"/>
      <c r="C31" s="20" t="s">
        <v>662</v>
      </c>
      <c r="D31" s="21">
        <v>1000</v>
      </c>
      <c r="E31" s="124"/>
      <c r="F31" s="15"/>
      <c r="G31" s="97"/>
    </row>
    <row r="32" spans="1:7" ht="15.75" x14ac:dyDescent="0.25">
      <c r="A32" s="20"/>
      <c r="B32" s="22"/>
      <c r="C32" s="20" t="s">
        <v>663</v>
      </c>
      <c r="D32" s="21">
        <v>5000</v>
      </c>
      <c r="E32" s="124"/>
      <c r="F32" s="15"/>
      <c r="G32" s="97"/>
    </row>
    <row r="33" spans="1:7" ht="15.75" x14ac:dyDescent="0.25">
      <c r="A33" s="20"/>
      <c r="B33" s="22"/>
      <c r="C33" s="41" t="s">
        <v>664</v>
      </c>
      <c r="D33" s="21">
        <v>2000</v>
      </c>
      <c r="E33" s="124"/>
      <c r="F33" s="15"/>
      <c r="G33" s="97"/>
    </row>
    <row r="34" spans="1:7" ht="15.75" x14ac:dyDescent="0.25">
      <c r="A34" s="20"/>
      <c r="B34" s="22"/>
      <c r="C34" s="41" t="s">
        <v>59</v>
      </c>
      <c r="D34" s="21">
        <v>260</v>
      </c>
      <c r="E34" s="124"/>
      <c r="F34" s="15"/>
      <c r="G34" s="97"/>
    </row>
    <row r="35" spans="1:7" ht="15.75" x14ac:dyDescent="0.25">
      <c r="A35" s="20"/>
      <c r="B35" s="22"/>
      <c r="C35" s="20" t="s">
        <v>665</v>
      </c>
      <c r="D35" s="21">
        <v>10000</v>
      </c>
      <c r="E35" s="124"/>
      <c r="F35" s="15"/>
    </row>
    <row r="36" spans="1:7" ht="15.75" x14ac:dyDescent="0.25">
      <c r="A36" s="20"/>
      <c r="B36" s="22"/>
      <c r="C36" s="20" t="s">
        <v>486</v>
      </c>
      <c r="D36" s="21">
        <v>90</v>
      </c>
      <c r="E36" s="124"/>
      <c r="F36" s="15"/>
    </row>
    <row r="37" spans="1:7" ht="15.75" x14ac:dyDescent="0.25">
      <c r="A37" s="20"/>
      <c r="B37" s="22"/>
      <c r="C37" s="20" t="s">
        <v>666</v>
      </c>
      <c r="D37" s="22">
        <v>500</v>
      </c>
      <c r="E37" s="124"/>
      <c r="F37" s="15"/>
    </row>
    <row r="38" spans="1:7" ht="15.75" x14ac:dyDescent="0.25">
      <c r="A38" s="20"/>
      <c r="B38" s="22"/>
      <c r="C38" s="20" t="s">
        <v>55</v>
      </c>
      <c r="D38" s="22">
        <v>335</v>
      </c>
      <c r="E38" s="124"/>
      <c r="F38" s="15"/>
    </row>
    <row r="39" spans="1:7" ht="15.75" x14ac:dyDescent="0.25">
      <c r="A39" s="20"/>
      <c r="B39" s="22"/>
      <c r="C39" s="41" t="s">
        <v>667</v>
      </c>
      <c r="D39" s="32">
        <v>2950</v>
      </c>
      <c r="E39" s="124"/>
      <c r="F39" s="15"/>
    </row>
    <row r="40" spans="1:7" ht="15.75" x14ac:dyDescent="0.25">
      <c r="A40" s="20"/>
      <c r="B40" s="22"/>
      <c r="C40" s="41" t="s">
        <v>668</v>
      </c>
      <c r="D40" s="32">
        <v>1110</v>
      </c>
      <c r="E40" s="124"/>
      <c r="F40" s="15"/>
    </row>
    <row r="41" spans="1:7" ht="15.75" x14ac:dyDescent="0.25">
      <c r="A41" s="20"/>
      <c r="B41" s="22"/>
      <c r="C41" s="41" t="s">
        <v>669</v>
      </c>
      <c r="D41" s="32">
        <v>3430</v>
      </c>
      <c r="E41" s="126"/>
      <c r="F41" s="15"/>
    </row>
    <row r="42" spans="1:7" ht="15.75" x14ac:dyDescent="0.25">
      <c r="A42" s="20"/>
      <c r="B42" s="22"/>
      <c r="C42" s="41" t="s">
        <v>670</v>
      </c>
      <c r="D42" s="32">
        <v>130</v>
      </c>
      <c r="E42" s="126"/>
      <c r="F42" s="15"/>
    </row>
    <row r="43" spans="1:7" ht="15.75" x14ac:dyDescent="0.25">
      <c r="A43" s="20"/>
      <c r="B43" s="22"/>
      <c r="C43" s="41" t="s">
        <v>14</v>
      </c>
      <c r="D43" s="32">
        <f>9*115+140+30*5.5-10</f>
        <v>1330</v>
      </c>
      <c r="E43" s="126"/>
      <c r="F43" s="15"/>
    </row>
    <row r="44" spans="1:7" ht="15.75" x14ac:dyDescent="0.25">
      <c r="A44" s="20"/>
      <c r="B44" s="22"/>
      <c r="C44" s="41" t="s">
        <v>26</v>
      </c>
      <c r="D44" s="32">
        <v>75</v>
      </c>
      <c r="E44" s="126"/>
      <c r="F44" s="15"/>
    </row>
    <row r="45" spans="1:7" ht="15.75" x14ac:dyDescent="0.25">
      <c r="A45" s="20"/>
      <c r="B45" s="22"/>
      <c r="C45" s="41" t="s">
        <v>704</v>
      </c>
      <c r="D45" s="32">
        <v>2000</v>
      </c>
      <c r="E45" s="126"/>
      <c r="F45" s="15"/>
    </row>
    <row r="46" spans="1:7" ht="15.75" x14ac:dyDescent="0.25">
      <c r="A46" s="20"/>
      <c r="B46" s="22"/>
      <c r="C46" s="41" t="s">
        <v>705</v>
      </c>
      <c r="D46" s="32">
        <v>5000</v>
      </c>
      <c r="E46" s="126"/>
      <c r="F46" s="15"/>
    </row>
    <row r="47" spans="1:7" ht="15.75" x14ac:dyDescent="0.25">
      <c r="A47" s="20"/>
      <c r="B47" s="22"/>
      <c r="C47" s="41" t="s">
        <v>458</v>
      </c>
      <c r="D47" s="32">
        <v>38</v>
      </c>
      <c r="E47" s="126"/>
      <c r="F47" s="15"/>
    </row>
    <row r="48" spans="1:7" ht="15.75" x14ac:dyDescent="0.25">
      <c r="A48" s="20"/>
      <c r="B48" s="22"/>
      <c r="C48" s="41" t="s">
        <v>706</v>
      </c>
      <c r="D48" s="32">
        <v>325</v>
      </c>
      <c r="E48" s="126"/>
      <c r="F48" s="15"/>
    </row>
    <row r="49" spans="1:6" ht="15.75" x14ac:dyDescent="0.25">
      <c r="A49" s="20"/>
      <c r="B49" s="22"/>
      <c r="C49" s="41" t="s">
        <v>602</v>
      </c>
      <c r="D49" s="32">
        <v>310</v>
      </c>
      <c r="E49" s="126"/>
      <c r="F49" s="15"/>
    </row>
    <row r="50" spans="1:6" ht="15.75" x14ac:dyDescent="0.25">
      <c r="A50" s="20"/>
      <c r="B50" s="22"/>
      <c r="C50" s="41" t="s">
        <v>707</v>
      </c>
      <c r="D50" s="32">
        <v>43</v>
      </c>
      <c r="E50" s="126"/>
      <c r="F50" s="15"/>
    </row>
    <row r="51" spans="1:6" ht="15.75" x14ac:dyDescent="0.25">
      <c r="A51" s="20"/>
      <c r="B51" s="22"/>
      <c r="C51" s="41" t="s">
        <v>381</v>
      </c>
      <c r="D51" s="32">
        <v>110</v>
      </c>
      <c r="E51" s="126"/>
      <c r="F51" s="15"/>
    </row>
    <row r="52" spans="1:6" ht="15.75" x14ac:dyDescent="0.25">
      <c r="A52" s="20"/>
      <c r="B52" s="22"/>
      <c r="C52" s="41" t="s">
        <v>708</v>
      </c>
      <c r="D52" s="32">
        <v>100</v>
      </c>
      <c r="E52" s="126"/>
      <c r="F52" s="15"/>
    </row>
    <row r="53" spans="1:6" x14ac:dyDescent="0.25">
      <c r="A53" s="20"/>
      <c r="B53" s="22"/>
      <c r="C53" s="41" t="s">
        <v>10</v>
      </c>
      <c r="D53" s="32">
        <v>95</v>
      </c>
      <c r="E53" s="126"/>
    </row>
    <row r="54" spans="1:6" x14ac:dyDescent="0.25">
      <c r="A54" s="20"/>
      <c r="B54" s="22"/>
      <c r="C54" s="41" t="s">
        <v>9</v>
      </c>
      <c r="D54" s="32">
        <v>110</v>
      </c>
      <c r="E54" s="126"/>
    </row>
    <row r="55" spans="1:6" x14ac:dyDescent="0.25">
      <c r="A55" s="20"/>
      <c r="B55" s="22"/>
      <c r="C55" s="41" t="s">
        <v>709</v>
      </c>
      <c r="D55" s="32">
        <v>290</v>
      </c>
      <c r="E55" s="126"/>
    </row>
    <row r="56" spans="1:6" x14ac:dyDescent="0.25">
      <c r="A56" s="20"/>
      <c r="B56" s="22"/>
      <c r="C56" s="20" t="s">
        <v>711</v>
      </c>
      <c r="D56" s="32">
        <v>10000</v>
      </c>
      <c r="E56" s="126"/>
    </row>
    <row r="57" spans="1:6" x14ac:dyDescent="0.25">
      <c r="A57" s="20"/>
      <c r="B57" s="22"/>
      <c r="C57" s="20" t="s">
        <v>255</v>
      </c>
      <c r="D57" s="32">
        <v>355</v>
      </c>
      <c r="E57" s="126"/>
    </row>
    <row r="58" spans="1:6" ht="14.25" customHeight="1" x14ac:dyDescent="0.35">
      <c r="A58" s="20"/>
      <c r="B58" s="22"/>
      <c r="C58" s="20" t="s">
        <v>458</v>
      </c>
      <c r="D58" s="32">
        <v>15</v>
      </c>
      <c r="E58" s="126"/>
      <c r="F58" s="133"/>
    </row>
    <row r="59" spans="1:6" x14ac:dyDescent="0.25">
      <c r="A59" s="20"/>
      <c r="B59" s="22"/>
      <c r="C59" s="20" t="s">
        <v>78</v>
      </c>
      <c r="D59" s="32">
        <v>300</v>
      </c>
      <c r="E59" s="126"/>
    </row>
    <row r="60" spans="1:6" x14ac:dyDescent="0.25">
      <c r="A60" s="20"/>
      <c r="B60" s="22"/>
      <c r="C60" s="20" t="s">
        <v>712</v>
      </c>
      <c r="D60" s="32">
        <v>150</v>
      </c>
      <c r="E60" s="126"/>
    </row>
    <row r="61" spans="1:6" x14ac:dyDescent="0.25">
      <c r="A61" s="20"/>
      <c r="B61" s="22"/>
      <c r="C61" s="20" t="s">
        <v>713</v>
      </c>
      <c r="D61" s="32">
        <v>170</v>
      </c>
      <c r="E61" s="126"/>
    </row>
    <row r="62" spans="1:6" x14ac:dyDescent="0.25">
      <c r="A62" s="20"/>
      <c r="B62" s="22"/>
      <c r="C62" s="20" t="s">
        <v>39</v>
      </c>
      <c r="D62" s="32">
        <v>120</v>
      </c>
      <c r="E62" s="126"/>
    </row>
    <row r="63" spans="1:6" x14ac:dyDescent="0.25">
      <c r="A63" s="20"/>
      <c r="B63" s="22"/>
      <c r="C63" s="20" t="s">
        <v>265</v>
      </c>
      <c r="D63" s="32">
        <v>140</v>
      </c>
      <c r="E63" s="126"/>
    </row>
    <row r="64" spans="1:6" ht="23.25" customHeight="1" x14ac:dyDescent="0.25">
      <c r="A64" s="20"/>
      <c r="B64" s="22"/>
      <c r="C64" s="20" t="s">
        <v>714</v>
      </c>
      <c r="D64" s="32">
        <v>260</v>
      </c>
      <c r="E64" s="126"/>
    </row>
    <row r="65" spans="1:5" x14ac:dyDescent="0.25">
      <c r="A65" s="20"/>
      <c r="B65" s="22"/>
      <c r="C65" s="20" t="s">
        <v>715</v>
      </c>
      <c r="D65" s="32">
        <v>900</v>
      </c>
      <c r="E65" s="126"/>
    </row>
    <row r="66" spans="1:5" x14ac:dyDescent="0.25">
      <c r="A66" s="20"/>
      <c r="B66" s="22"/>
      <c r="C66" s="20" t="s">
        <v>458</v>
      </c>
      <c r="D66" s="32">
        <v>30</v>
      </c>
      <c r="E66" s="126"/>
    </row>
    <row r="67" spans="1:5" x14ac:dyDescent="0.25">
      <c r="A67" s="20"/>
      <c r="B67" s="22"/>
      <c r="C67" s="20" t="s">
        <v>716</v>
      </c>
      <c r="D67" s="32">
        <v>1450</v>
      </c>
      <c r="E67" s="126"/>
    </row>
    <row r="68" spans="1:5" x14ac:dyDescent="0.25">
      <c r="A68" s="20"/>
      <c r="B68" s="22"/>
      <c r="C68" s="20" t="s">
        <v>717</v>
      </c>
      <c r="D68" s="32">
        <v>325</v>
      </c>
      <c r="E68" s="126"/>
    </row>
    <row r="69" spans="1:5" x14ac:dyDescent="0.25">
      <c r="A69" s="20"/>
      <c r="B69" s="22"/>
      <c r="C69" s="20" t="s">
        <v>718</v>
      </c>
      <c r="D69" s="32">
        <v>10810</v>
      </c>
      <c r="E69" s="126"/>
    </row>
    <row r="70" spans="1:5" x14ac:dyDescent="0.25">
      <c r="A70" s="20"/>
      <c r="B70" s="22"/>
      <c r="C70" s="20" t="s">
        <v>494</v>
      </c>
      <c r="D70" s="32">
        <v>100</v>
      </c>
      <c r="E70" s="126"/>
    </row>
    <row r="71" spans="1:5" x14ac:dyDescent="0.25">
      <c r="A71" s="20"/>
      <c r="B71" s="22"/>
      <c r="C71" s="20" t="s">
        <v>32</v>
      </c>
      <c r="D71" s="32">
        <v>85</v>
      </c>
      <c r="E71" s="126"/>
    </row>
    <row r="72" spans="1:5" x14ac:dyDescent="0.25">
      <c r="A72" s="20"/>
      <c r="B72" s="22"/>
      <c r="C72" s="20" t="s">
        <v>86</v>
      </c>
      <c r="D72" s="32">
        <v>170</v>
      </c>
      <c r="E72" s="126"/>
    </row>
    <row r="73" spans="1:5" x14ac:dyDescent="0.25">
      <c r="A73" s="20"/>
      <c r="B73" s="22"/>
      <c r="C73" s="20" t="s">
        <v>719</v>
      </c>
      <c r="D73" s="32">
        <v>100</v>
      </c>
      <c r="E73" s="126"/>
    </row>
    <row r="74" spans="1:5" x14ac:dyDescent="0.25">
      <c r="A74" s="20"/>
      <c r="B74" s="22"/>
      <c r="C74" s="20" t="s">
        <v>58</v>
      </c>
      <c r="D74" s="32">
        <v>180</v>
      </c>
      <c r="E74" s="126"/>
    </row>
    <row r="75" spans="1:5" x14ac:dyDescent="0.25">
      <c r="A75" s="20"/>
      <c r="B75" s="22"/>
      <c r="C75" s="20" t="s">
        <v>720</v>
      </c>
      <c r="D75" s="32">
        <v>54</v>
      </c>
      <c r="E75" s="126"/>
    </row>
    <row r="76" spans="1:5" x14ac:dyDescent="0.25">
      <c r="A76" s="20"/>
      <c r="B76" s="22"/>
      <c r="C76" s="20" t="s">
        <v>498</v>
      </c>
      <c r="D76" s="32">
        <v>175</v>
      </c>
      <c r="E76" s="126"/>
    </row>
    <row r="77" spans="1:5" x14ac:dyDescent="0.25">
      <c r="A77" s="20"/>
      <c r="B77" s="22"/>
      <c r="C77" s="20"/>
      <c r="D77" s="32"/>
      <c r="E77" s="126"/>
    </row>
    <row r="78" spans="1:5" x14ac:dyDescent="0.25">
      <c r="A78" s="20"/>
      <c r="B78" s="22"/>
      <c r="C78" s="20"/>
      <c r="D78" s="32"/>
      <c r="E78" s="126"/>
    </row>
    <row r="79" spans="1:5" x14ac:dyDescent="0.25">
      <c r="A79" s="20"/>
      <c r="B79" s="22"/>
      <c r="C79" s="20"/>
      <c r="D79" s="32"/>
      <c r="E79" s="126"/>
    </row>
    <row r="80" spans="1:5" x14ac:dyDescent="0.25">
      <c r="A80" s="20"/>
      <c r="B80" s="22"/>
      <c r="C80" s="20"/>
      <c r="D80" s="32"/>
      <c r="E80" s="126"/>
    </row>
    <row r="81" spans="1:5" x14ac:dyDescent="0.25">
      <c r="A81" s="20"/>
      <c r="B81" s="22"/>
      <c r="C81" s="20"/>
      <c r="D81" s="32"/>
      <c r="E81" s="124"/>
    </row>
    <row r="82" spans="1:5" x14ac:dyDescent="0.25">
      <c r="A82" s="20"/>
      <c r="B82" s="22"/>
      <c r="C82" s="116" t="s">
        <v>703</v>
      </c>
      <c r="D82" s="32">
        <v>1000</v>
      </c>
      <c r="E82" s="124"/>
    </row>
    <row r="83" spans="1:5" x14ac:dyDescent="0.25">
      <c r="A83" s="20"/>
      <c r="B83" s="22"/>
      <c r="C83" s="116" t="s">
        <v>25</v>
      </c>
      <c r="D83" s="96">
        <v>37</v>
      </c>
      <c r="E83" s="124"/>
    </row>
    <row r="84" spans="1:5" x14ac:dyDescent="0.25">
      <c r="A84" s="20"/>
      <c r="B84" s="22"/>
      <c r="C84" s="205"/>
      <c r="D84" s="206"/>
      <c r="E84" s="124"/>
    </row>
    <row r="85" spans="1:5" x14ac:dyDescent="0.25">
      <c r="A85" s="20"/>
      <c r="B85" s="22"/>
      <c r="C85" s="205"/>
      <c r="D85" s="206"/>
      <c r="E85" s="124"/>
    </row>
    <row r="86" spans="1:5" x14ac:dyDescent="0.25">
      <c r="A86" s="20"/>
      <c r="B86" s="117"/>
      <c r="C86" s="205"/>
      <c r="D86" s="207"/>
      <c r="E86" s="124"/>
    </row>
    <row r="87" spans="1:5" x14ac:dyDescent="0.25">
      <c r="A87" s="20"/>
      <c r="B87" s="117"/>
      <c r="C87" s="205"/>
      <c r="D87" s="208"/>
      <c r="E87" s="124"/>
    </row>
    <row r="88" spans="1:5" x14ac:dyDescent="0.25">
      <c r="A88" s="20"/>
      <c r="B88" s="21"/>
      <c r="C88" s="205"/>
      <c r="D88" s="209"/>
      <c r="E88" s="204"/>
    </row>
    <row r="89" spans="1:5" x14ac:dyDescent="0.25">
      <c r="A89" s="20"/>
      <c r="B89" s="21"/>
      <c r="C89" s="205"/>
      <c r="D89" s="209"/>
      <c r="E89" s="204"/>
    </row>
    <row r="90" spans="1:5" x14ac:dyDescent="0.25">
      <c r="A90" s="20"/>
      <c r="B90" s="21"/>
      <c r="C90" s="205" t="s">
        <v>450</v>
      </c>
      <c r="D90" s="210">
        <v>100</v>
      </c>
      <c r="E90" s="126"/>
    </row>
    <row r="91" spans="1:5" ht="21.75" thickBot="1" x14ac:dyDescent="0.4">
      <c r="A91" s="130"/>
      <c r="B91" s="131">
        <f>SUBTOTAL(109,Table1272023[Column1])</f>
        <v>144907</v>
      </c>
      <c r="C91" s="132"/>
      <c r="D91" s="133">
        <f>SUBTOTAL(109,Table1272023[Column2])</f>
        <v>122744</v>
      </c>
      <c r="E91" s="133"/>
    </row>
    <row r="92" spans="1:5" ht="27" thickTop="1" x14ac:dyDescent="0.25">
      <c r="D92" s="16">
        <f>Table1272023[[#Totals],[Column1]]-Table1272023[[#Totals],[Column2]]</f>
        <v>22163</v>
      </c>
    </row>
    <row r="93" spans="1:5" ht="15.75" thickBot="1" x14ac:dyDescent="0.3"/>
    <row r="94" spans="1:5" ht="24" thickBot="1" x14ac:dyDescent="0.3">
      <c r="A94" s="76" t="s">
        <v>9</v>
      </c>
      <c r="B94" s="460">
        <v>45119</v>
      </c>
      <c r="C94" s="461"/>
      <c r="D94" s="194" t="s">
        <v>607</v>
      </c>
    </row>
    <row r="95" spans="1:5" ht="21" thickBot="1" x14ac:dyDescent="0.3">
      <c r="A95" s="53" t="s">
        <v>137</v>
      </c>
      <c r="B95" s="53" t="s">
        <v>138</v>
      </c>
      <c r="C95" s="53" t="s">
        <v>3</v>
      </c>
    </row>
    <row r="96" spans="1:5" ht="18" x14ac:dyDescent="0.25">
      <c r="A96" s="55">
        <f>5000+5000+1250+500+50+85-7240</f>
        <v>4645</v>
      </c>
      <c r="B96" s="77" t="s">
        <v>27</v>
      </c>
      <c r="C96" s="57">
        <v>2725</v>
      </c>
    </row>
    <row r="97" spans="1:6" ht="18" x14ac:dyDescent="0.25">
      <c r="A97" s="60"/>
      <c r="B97" s="56" t="s">
        <v>313</v>
      </c>
      <c r="C97" s="94">
        <v>520</v>
      </c>
    </row>
    <row r="98" spans="1:6" ht="18" x14ac:dyDescent="0.25">
      <c r="A98" s="60"/>
      <c r="B98" s="77" t="s">
        <v>52</v>
      </c>
      <c r="C98" s="57">
        <v>200</v>
      </c>
    </row>
    <row r="99" spans="1:6" ht="18" x14ac:dyDescent="0.25">
      <c r="A99" s="60"/>
      <c r="B99" s="57" t="s">
        <v>33</v>
      </c>
      <c r="C99" s="77">
        <v>72</v>
      </c>
    </row>
    <row r="100" spans="1:6" ht="27.75" customHeight="1" thickBot="1" x14ac:dyDescent="0.3">
      <c r="A100" s="60"/>
      <c r="B100" s="94" t="s">
        <v>150</v>
      </c>
      <c r="C100" s="56">
        <v>7240</v>
      </c>
    </row>
    <row r="101" spans="1:6" ht="24" thickBot="1" x14ac:dyDescent="0.3">
      <c r="A101" s="66"/>
      <c r="B101" s="64"/>
      <c r="C101" s="67"/>
      <c r="D101" s="134" t="s">
        <v>43</v>
      </c>
      <c r="E101" s="99">
        <f>E106-E102</f>
        <v>-222</v>
      </c>
    </row>
    <row r="102" spans="1:6" ht="21.75" thickBot="1" x14ac:dyDescent="0.3">
      <c r="A102" s="68">
        <f>SUM(A96:A101)</f>
        <v>4645</v>
      </c>
      <c r="C102" s="69">
        <f>SUM(C96:C101)</f>
        <v>10757</v>
      </c>
      <c r="D102" s="135" t="s">
        <v>94</v>
      </c>
      <c r="E102" s="85">
        <f>4814-3870</f>
        <v>944</v>
      </c>
    </row>
    <row r="103" spans="1:6" ht="21.75" thickBot="1" x14ac:dyDescent="0.3">
      <c r="A103" s="462" t="s">
        <v>139</v>
      </c>
      <c r="B103" s="463"/>
      <c r="C103" s="71" t="s">
        <v>75</v>
      </c>
      <c r="D103" s="136" t="s">
        <v>65</v>
      </c>
      <c r="E103" s="83">
        <f>350+200+35</f>
        <v>585</v>
      </c>
    </row>
    <row r="104" spans="1:6" ht="24" thickBot="1" x14ac:dyDescent="0.3">
      <c r="A104" s="464">
        <f>C102+A102</f>
        <v>15402</v>
      </c>
      <c r="B104" s="465"/>
      <c r="C104" s="81"/>
      <c r="D104" s="82" t="s">
        <v>25</v>
      </c>
      <c r="E104" s="83">
        <f>18.5*2</f>
        <v>37</v>
      </c>
    </row>
    <row r="105" spans="1:6" ht="24" thickBot="1" x14ac:dyDescent="0.3">
      <c r="A105" s="466" t="s">
        <v>99</v>
      </c>
      <c r="B105" s="467"/>
      <c r="C105" s="78">
        <f>A106-C106</f>
        <v>389</v>
      </c>
      <c r="D105" s="82" t="s">
        <v>450</v>
      </c>
      <c r="E105" s="83">
        <v>100</v>
      </c>
    </row>
    <row r="106" spans="1:6" ht="24" thickBot="1" x14ac:dyDescent="0.3">
      <c r="A106" s="468">
        <f>C104+A104</f>
        <v>15402</v>
      </c>
      <c r="B106" s="469"/>
      <c r="C106" s="121">
        <v>15013</v>
      </c>
      <c r="D106" s="82" t="s">
        <v>164</v>
      </c>
      <c r="E106" s="83">
        <f>SUM(E103:E105)</f>
        <v>722</v>
      </c>
    </row>
    <row r="107" spans="1:6" ht="24" thickBot="1" x14ac:dyDescent="0.3">
      <c r="A107"/>
      <c r="B107"/>
      <c r="C107" s="314" t="str">
        <f>IF(C105&gt;0,"زيادة","عجز")</f>
        <v>زيادة</v>
      </c>
    </row>
    <row r="108" spans="1:6" ht="24" thickBot="1" x14ac:dyDescent="0.3">
      <c r="A108" s="76" t="s">
        <v>80</v>
      </c>
      <c r="B108" s="460">
        <v>45119</v>
      </c>
      <c r="C108" s="461"/>
      <c r="D108" s="194" t="s">
        <v>607</v>
      </c>
    </row>
    <row r="109" spans="1:6" ht="21" thickBot="1" x14ac:dyDescent="0.3">
      <c r="A109" s="53" t="s">
        <v>137</v>
      </c>
      <c r="B109" s="53" t="s">
        <v>138</v>
      </c>
      <c r="C109" s="53" t="s">
        <v>3</v>
      </c>
    </row>
    <row r="110" spans="1:6" ht="18" x14ac:dyDescent="0.25">
      <c r="A110" s="55">
        <f>5000+4250+35</f>
        <v>9285</v>
      </c>
      <c r="B110" s="77" t="s">
        <v>393</v>
      </c>
      <c r="C110" s="57">
        <v>120</v>
      </c>
      <c r="F110" t="s">
        <v>441</v>
      </c>
    </row>
    <row r="111" spans="1:6" ht="18" x14ac:dyDescent="0.25">
      <c r="A111" s="60"/>
      <c r="B111" s="56" t="s">
        <v>399</v>
      </c>
      <c r="C111" s="94">
        <v>180</v>
      </c>
      <c r="F111" t="s">
        <v>439</v>
      </c>
    </row>
    <row r="112" spans="1:6" ht="24" customHeight="1" x14ac:dyDescent="0.25">
      <c r="A112" s="60"/>
      <c r="B112" s="77" t="s">
        <v>8</v>
      </c>
      <c r="C112" s="57">
        <v>270</v>
      </c>
      <c r="F112" t="s">
        <v>440</v>
      </c>
    </row>
    <row r="113" spans="1:6" ht="18" x14ac:dyDescent="0.25">
      <c r="A113" s="60"/>
      <c r="B113" s="57" t="s">
        <v>34</v>
      </c>
      <c r="C113" s="77">
        <v>475</v>
      </c>
      <c r="F113" t="s">
        <v>442</v>
      </c>
    </row>
    <row r="114" spans="1:6" ht="18" x14ac:dyDescent="0.25">
      <c r="A114" s="60"/>
      <c r="B114" s="146" t="s">
        <v>656</v>
      </c>
      <c r="C114" s="77">
        <v>520</v>
      </c>
    </row>
    <row r="115" spans="1:6" ht="18" x14ac:dyDescent="0.25">
      <c r="A115" s="60"/>
      <c r="B115" s="146" t="s">
        <v>314</v>
      </c>
      <c r="C115" s="77">
        <v>737</v>
      </c>
    </row>
    <row r="116" spans="1:6" ht="18" x14ac:dyDescent="0.25">
      <c r="A116" s="60"/>
      <c r="B116" s="146" t="s">
        <v>657</v>
      </c>
      <c r="C116" s="77">
        <v>545</v>
      </c>
    </row>
    <row r="117" spans="1:6" ht="18" x14ac:dyDescent="0.25">
      <c r="A117" s="60"/>
      <c r="B117" s="146" t="s">
        <v>317</v>
      </c>
      <c r="C117" s="77">
        <v>1180</v>
      </c>
    </row>
    <row r="118" spans="1:6" ht="18" x14ac:dyDescent="0.25">
      <c r="A118" s="60"/>
      <c r="B118" s="146"/>
      <c r="C118" s="3"/>
    </row>
    <row r="119" spans="1:6" ht="18.75" thickBot="1" x14ac:dyDescent="0.3">
      <c r="A119" s="60"/>
      <c r="B119" s="94"/>
      <c r="C119" s="56"/>
    </row>
    <row r="120" spans="1:6" ht="24" thickBot="1" x14ac:dyDescent="0.3">
      <c r="A120" s="66"/>
      <c r="B120" s="64"/>
      <c r="C120" s="67"/>
      <c r="D120" s="134" t="s">
        <v>43</v>
      </c>
      <c r="E120" s="99">
        <f>E125-E121</f>
        <v>36</v>
      </c>
    </row>
    <row r="121" spans="1:6" ht="21.75" thickBot="1" x14ac:dyDescent="0.3">
      <c r="A121" s="69">
        <f>SUM(A110:A120)</f>
        <v>9285</v>
      </c>
      <c r="C121" s="69">
        <f>SUM(C110:C120)</f>
        <v>4027</v>
      </c>
      <c r="D121" s="135" t="s">
        <v>94</v>
      </c>
      <c r="E121" s="85">
        <f>3870-1796</f>
        <v>2074</v>
      </c>
    </row>
    <row r="122" spans="1:6" ht="21.75" thickBot="1" x14ac:dyDescent="0.3">
      <c r="A122" s="462" t="s">
        <v>139</v>
      </c>
      <c r="B122" s="463"/>
      <c r="C122" s="71" t="s">
        <v>75</v>
      </c>
      <c r="D122" s="136" t="s">
        <v>65</v>
      </c>
      <c r="E122" s="83">
        <v>2110</v>
      </c>
    </row>
    <row r="123" spans="1:6" ht="24" thickBot="1" x14ac:dyDescent="0.3">
      <c r="A123" s="464">
        <f>C121+A121</f>
        <v>13312</v>
      </c>
      <c r="B123" s="465"/>
      <c r="C123" s="81"/>
      <c r="D123" s="82"/>
      <c r="E123" s="83"/>
    </row>
    <row r="124" spans="1:6" ht="24" thickBot="1" x14ac:dyDescent="0.3">
      <c r="A124" s="466" t="s">
        <v>99</v>
      </c>
      <c r="B124" s="467"/>
      <c r="C124" s="78">
        <f>A125-C125</f>
        <v>39</v>
      </c>
      <c r="D124" s="82"/>
      <c r="E124" s="83"/>
    </row>
    <row r="125" spans="1:6" ht="24" thickBot="1" x14ac:dyDescent="0.3">
      <c r="A125" s="468">
        <f>C123+A123</f>
        <v>13312</v>
      </c>
      <c r="B125" s="469"/>
      <c r="C125" s="121">
        <v>13273</v>
      </c>
      <c r="D125" s="82" t="s">
        <v>164</v>
      </c>
      <c r="E125" s="83">
        <f>SUM(E122:E124)</f>
        <v>2110</v>
      </c>
    </row>
    <row r="126" spans="1:6" ht="24" thickBot="1" x14ac:dyDescent="0.3">
      <c r="A126"/>
      <c r="B126"/>
      <c r="C126" s="314" t="str">
        <f>IF(C124&gt;0,"زيادة","عجز")</f>
        <v>زيادة</v>
      </c>
    </row>
    <row r="127" spans="1:6" x14ac:dyDescent="0.25">
      <c r="A127"/>
      <c r="B127"/>
    </row>
    <row r="128" spans="1:6" x14ac:dyDescent="0.25">
      <c r="A128"/>
      <c r="B128"/>
    </row>
    <row r="129" spans="1:5" x14ac:dyDescent="0.25">
      <c r="A129"/>
      <c r="B129"/>
    </row>
    <row r="130" spans="1:5" ht="15.75" thickBot="1" x14ac:dyDescent="0.3">
      <c r="A130"/>
      <c r="B130"/>
    </row>
    <row r="131" spans="1:5" ht="24" thickBot="1" x14ac:dyDescent="0.3">
      <c r="A131" s="76" t="s">
        <v>349</v>
      </c>
      <c r="B131" s="460">
        <v>45120</v>
      </c>
      <c r="C131" s="461"/>
      <c r="D131" s="194" t="s">
        <v>607</v>
      </c>
    </row>
    <row r="132" spans="1:5" ht="21" thickBot="1" x14ac:dyDescent="0.3">
      <c r="A132" s="53" t="s">
        <v>137</v>
      </c>
      <c r="B132" s="53" t="s">
        <v>138</v>
      </c>
      <c r="C132" s="53" t="s">
        <v>3</v>
      </c>
    </row>
    <row r="133" spans="1:5" ht="18" x14ac:dyDescent="0.25">
      <c r="A133" s="55">
        <v>3295</v>
      </c>
      <c r="B133" s="77" t="s">
        <v>666</v>
      </c>
      <c r="C133" s="57">
        <v>500</v>
      </c>
    </row>
    <row r="134" spans="1:5" ht="18" x14ac:dyDescent="0.25">
      <c r="A134" s="60"/>
      <c r="B134" s="56" t="s">
        <v>532</v>
      </c>
      <c r="C134" s="94">
        <v>500</v>
      </c>
    </row>
    <row r="135" spans="1:5" ht="18" x14ac:dyDescent="0.25">
      <c r="A135" s="60"/>
      <c r="B135" s="77"/>
      <c r="C135" s="57"/>
    </row>
    <row r="136" spans="1:5" ht="18" x14ac:dyDescent="0.25">
      <c r="A136" s="60"/>
      <c r="B136" s="57"/>
      <c r="C136" s="77"/>
    </row>
    <row r="137" spans="1:5" ht="18" x14ac:dyDescent="0.25">
      <c r="A137" s="60"/>
      <c r="B137" s="146"/>
      <c r="C137" s="77"/>
    </row>
    <row r="138" spans="1:5" ht="18" x14ac:dyDescent="0.25">
      <c r="A138" s="60"/>
      <c r="B138" s="146"/>
      <c r="C138" s="77"/>
    </row>
    <row r="139" spans="1:5" ht="18" x14ac:dyDescent="0.25">
      <c r="A139" s="60"/>
      <c r="B139" s="146"/>
      <c r="C139" s="77"/>
    </row>
    <row r="140" spans="1:5" ht="24" customHeight="1" x14ac:dyDescent="0.25">
      <c r="A140" s="60"/>
      <c r="B140" s="146"/>
      <c r="C140" s="77"/>
    </row>
    <row r="141" spans="1:5" ht="18" x14ac:dyDescent="0.25">
      <c r="A141" s="60"/>
      <c r="B141" s="146"/>
      <c r="C141" s="3"/>
    </row>
    <row r="142" spans="1:5" ht="18.75" thickBot="1" x14ac:dyDescent="0.3">
      <c r="A142" s="60"/>
      <c r="B142" s="94"/>
      <c r="C142" s="56"/>
    </row>
    <row r="143" spans="1:5" ht="24" thickBot="1" x14ac:dyDescent="0.3">
      <c r="A143" s="66"/>
      <c r="B143" s="64"/>
      <c r="C143" s="67"/>
      <c r="D143" s="134" t="s">
        <v>43</v>
      </c>
      <c r="E143" s="99"/>
    </row>
    <row r="144" spans="1:5" ht="21.75" thickBot="1" x14ac:dyDescent="0.3">
      <c r="A144" s="69">
        <f>SUM(A133:A143)</f>
        <v>3295</v>
      </c>
      <c r="C144" s="69">
        <f>SUM(C133:C143)</f>
        <v>1000</v>
      </c>
      <c r="D144" s="135" t="s">
        <v>94</v>
      </c>
      <c r="E144" s="85"/>
    </row>
    <row r="145" spans="1:5" ht="18" customHeight="1" thickBot="1" x14ac:dyDescent="0.3">
      <c r="A145" s="462" t="s">
        <v>139</v>
      </c>
      <c r="B145" s="463"/>
      <c r="C145" s="71" t="s">
        <v>75</v>
      </c>
      <c r="D145" s="136" t="s">
        <v>65</v>
      </c>
      <c r="E145" s="83"/>
    </row>
    <row r="146" spans="1:5" ht="18" customHeight="1" thickBot="1" x14ac:dyDescent="0.3">
      <c r="A146" s="464">
        <f>C144+A144</f>
        <v>4295</v>
      </c>
      <c r="B146" s="465"/>
      <c r="C146" s="81"/>
      <c r="D146" s="82"/>
      <c r="E146" s="83"/>
    </row>
    <row r="147" spans="1:5" ht="24" thickBot="1" x14ac:dyDescent="0.3">
      <c r="A147" s="466" t="s">
        <v>99</v>
      </c>
      <c r="B147" s="467"/>
      <c r="C147" s="78">
        <f>A148-C148</f>
        <v>608</v>
      </c>
      <c r="D147" s="82"/>
      <c r="E147" s="83"/>
    </row>
    <row r="148" spans="1:5" ht="24" thickBot="1" x14ac:dyDescent="0.3">
      <c r="A148" s="468">
        <f>C146+A146</f>
        <v>4295</v>
      </c>
      <c r="B148" s="469"/>
      <c r="C148" s="121">
        <v>3687</v>
      </c>
      <c r="D148" s="82" t="s">
        <v>164</v>
      </c>
      <c r="E148" s="83">
        <f>SUM(E145:E147)</f>
        <v>0</v>
      </c>
    </row>
    <row r="149" spans="1:5" ht="24" thickBot="1" x14ac:dyDescent="0.3">
      <c r="A149"/>
      <c r="B149"/>
      <c r="C149" s="314" t="str">
        <f>IF(C147&gt;0,"زيادة","عجز")</f>
        <v>زيادة</v>
      </c>
    </row>
    <row r="150" spans="1:5" ht="15.75" thickBot="1" x14ac:dyDescent="0.3">
      <c r="A150"/>
      <c r="B150"/>
    </row>
    <row r="151" spans="1:5" ht="24" thickBot="1" x14ac:dyDescent="0.3">
      <c r="A151" s="76" t="s">
        <v>29</v>
      </c>
      <c r="B151" s="460">
        <v>45120</v>
      </c>
      <c r="C151" s="461"/>
      <c r="D151" s="194" t="s">
        <v>607</v>
      </c>
    </row>
    <row r="152" spans="1:5" ht="21" thickBot="1" x14ac:dyDescent="0.3">
      <c r="A152" s="53" t="s">
        <v>137</v>
      </c>
      <c r="B152" s="53" t="s">
        <v>138</v>
      </c>
      <c r="C152" s="53" t="s">
        <v>3</v>
      </c>
    </row>
    <row r="153" spans="1:5" ht="21.75" customHeight="1" x14ac:dyDescent="0.25">
      <c r="A153" s="55">
        <f>500+400+4300</f>
        <v>5200</v>
      </c>
      <c r="B153" s="77" t="s">
        <v>669</v>
      </c>
      <c r="C153" s="57">
        <v>3430</v>
      </c>
    </row>
    <row r="154" spans="1:5" ht="18" x14ac:dyDescent="0.25">
      <c r="A154" s="60"/>
      <c r="B154" s="56" t="s">
        <v>368</v>
      </c>
      <c r="C154" s="94">
        <v>8110</v>
      </c>
    </row>
    <row r="155" spans="1:5" ht="18" x14ac:dyDescent="0.25">
      <c r="A155" s="60"/>
      <c r="B155" s="77" t="s">
        <v>670</v>
      </c>
      <c r="C155" s="57">
        <v>130</v>
      </c>
    </row>
    <row r="156" spans="1:5" ht="18" x14ac:dyDescent="0.25">
      <c r="A156" s="60"/>
      <c r="B156" s="57"/>
      <c r="C156" s="77"/>
    </row>
    <row r="157" spans="1:5" ht="18" customHeight="1" x14ac:dyDescent="0.25">
      <c r="A157" s="60"/>
      <c r="B157" s="146"/>
      <c r="C157" s="77"/>
    </row>
    <row r="158" spans="1:5" ht="18" customHeight="1" x14ac:dyDescent="0.25">
      <c r="A158" s="60"/>
      <c r="B158" s="146"/>
      <c r="C158" s="77"/>
    </row>
    <row r="159" spans="1:5" ht="18" x14ac:dyDescent="0.25">
      <c r="A159" s="60"/>
      <c r="B159" s="146"/>
      <c r="C159" s="77"/>
    </row>
    <row r="160" spans="1:5" ht="18" x14ac:dyDescent="0.25">
      <c r="A160" s="60"/>
      <c r="B160" s="146"/>
      <c r="C160" s="77"/>
    </row>
    <row r="161" spans="1:5" ht="18" x14ac:dyDescent="0.25">
      <c r="A161" s="60"/>
      <c r="B161" s="146"/>
      <c r="C161" s="3"/>
    </row>
    <row r="162" spans="1:5" ht="18.75" thickBot="1" x14ac:dyDescent="0.3">
      <c r="A162" s="60"/>
      <c r="B162" s="94"/>
      <c r="C162" s="56"/>
    </row>
    <row r="163" spans="1:5" ht="24" thickBot="1" x14ac:dyDescent="0.3">
      <c r="A163" s="66"/>
      <c r="B163" s="64"/>
      <c r="C163" s="67"/>
      <c r="D163" s="134" t="s">
        <v>43</v>
      </c>
      <c r="E163" s="99">
        <f>E168-E164</f>
        <v>-160</v>
      </c>
    </row>
    <row r="164" spans="1:5" ht="21.75" thickBot="1" x14ac:dyDescent="0.3">
      <c r="A164" s="69">
        <f>SUM(A153:A163)</f>
        <v>5200</v>
      </c>
      <c r="C164" s="69">
        <f>SUM(C153:C163)</f>
        <v>11670</v>
      </c>
      <c r="D164" s="135" t="s">
        <v>94</v>
      </c>
      <c r="E164" s="85">
        <f>1796-8955+10000</f>
        <v>2841</v>
      </c>
    </row>
    <row r="165" spans="1:5" ht="21.75" thickBot="1" x14ac:dyDescent="0.3">
      <c r="A165" s="462" t="s">
        <v>139</v>
      </c>
      <c r="B165" s="463"/>
      <c r="C165" s="71" t="s">
        <v>75</v>
      </c>
      <c r="D165" s="136" t="s">
        <v>65</v>
      </c>
      <c r="E165" s="83">
        <v>2681</v>
      </c>
    </row>
    <row r="166" spans="1:5" ht="24" thickBot="1" x14ac:dyDescent="0.3">
      <c r="A166" s="464">
        <f>C164+A164</f>
        <v>16870</v>
      </c>
      <c r="B166" s="465"/>
      <c r="C166" s="81"/>
      <c r="D166" s="82"/>
      <c r="E166" s="83"/>
    </row>
    <row r="167" spans="1:5" ht="24" thickBot="1" x14ac:dyDescent="0.3">
      <c r="A167" s="466" t="s">
        <v>99</v>
      </c>
      <c r="B167" s="467"/>
      <c r="C167" s="78">
        <f>A168-C168</f>
        <v>217</v>
      </c>
      <c r="D167" s="82"/>
      <c r="E167" s="83"/>
    </row>
    <row r="168" spans="1:5" ht="23.25" customHeight="1" thickBot="1" x14ac:dyDescent="0.3">
      <c r="A168" s="468">
        <f>C166+A166</f>
        <v>16870</v>
      </c>
      <c r="B168" s="469"/>
      <c r="C168" s="121">
        <v>16653</v>
      </c>
      <c r="D168" s="82" t="s">
        <v>164</v>
      </c>
      <c r="E168" s="83">
        <f>SUM(E165:E167)</f>
        <v>2681</v>
      </c>
    </row>
    <row r="169" spans="1:5" ht="21.75" customHeight="1" thickBot="1" x14ac:dyDescent="0.3">
      <c r="A169"/>
      <c r="B169"/>
      <c r="C169" s="314" t="str">
        <f>IF(C167&gt;0,"زيادة","عجز")</f>
        <v>زيادة</v>
      </c>
    </row>
    <row r="170" spans="1:5" ht="18" customHeight="1" thickBot="1" x14ac:dyDescent="0.3">
      <c r="A170"/>
      <c r="B170"/>
    </row>
    <row r="171" spans="1:5" ht="24" thickBot="1" x14ac:dyDescent="0.3">
      <c r="A171" s="76" t="s">
        <v>85</v>
      </c>
      <c r="B171" s="460">
        <v>45119</v>
      </c>
      <c r="C171" s="461"/>
      <c r="D171" s="194" t="s">
        <v>607</v>
      </c>
    </row>
    <row r="172" spans="1:5" ht="21" thickBot="1" x14ac:dyDescent="0.3">
      <c r="A172" s="53" t="s">
        <v>137</v>
      </c>
      <c r="B172" s="53" t="s">
        <v>138</v>
      </c>
      <c r="C172" s="53" t="s">
        <v>3</v>
      </c>
    </row>
    <row r="173" spans="1:5" ht="18" x14ac:dyDescent="0.25">
      <c r="A173" s="55">
        <f>4750+225</f>
        <v>4975</v>
      </c>
      <c r="B173" s="77" t="s">
        <v>704</v>
      </c>
      <c r="C173" s="57">
        <v>2000</v>
      </c>
    </row>
    <row r="174" spans="1:5" ht="18" x14ac:dyDescent="0.25">
      <c r="A174" s="60"/>
      <c r="B174" s="56" t="s">
        <v>705</v>
      </c>
      <c r="C174" s="94">
        <v>5000</v>
      </c>
    </row>
    <row r="175" spans="1:5" ht="18" x14ac:dyDescent="0.25">
      <c r="A175" s="60"/>
      <c r="B175" s="77" t="s">
        <v>458</v>
      </c>
      <c r="C175" s="57">
        <v>38</v>
      </c>
    </row>
    <row r="176" spans="1:5" ht="18" x14ac:dyDescent="0.25">
      <c r="A176" s="60"/>
      <c r="B176" s="57" t="s">
        <v>706</v>
      </c>
      <c r="C176" s="215">
        <v>325</v>
      </c>
    </row>
    <row r="177" spans="1:5" ht="18" x14ac:dyDescent="0.25">
      <c r="A177" s="60"/>
      <c r="B177" s="146" t="s">
        <v>602</v>
      </c>
      <c r="C177" s="77">
        <v>310</v>
      </c>
    </row>
    <row r="178" spans="1:5" ht="18" x14ac:dyDescent="0.25">
      <c r="A178" s="60"/>
      <c r="B178" s="146" t="s">
        <v>707</v>
      </c>
      <c r="C178" s="77">
        <v>43</v>
      </c>
    </row>
    <row r="179" spans="1:5" ht="18" x14ac:dyDescent="0.25">
      <c r="A179" s="60"/>
      <c r="B179" s="146" t="s">
        <v>381</v>
      </c>
      <c r="C179" s="77">
        <v>110</v>
      </c>
    </row>
    <row r="180" spans="1:5" ht="18" x14ac:dyDescent="0.25">
      <c r="A180" s="60"/>
      <c r="B180" s="146"/>
      <c r="C180" s="77"/>
    </row>
    <row r="181" spans="1:5" ht="18" x14ac:dyDescent="0.25">
      <c r="A181" s="60"/>
      <c r="B181" s="146"/>
      <c r="C181" s="3"/>
    </row>
    <row r="182" spans="1:5" ht="18.75" thickBot="1" x14ac:dyDescent="0.3">
      <c r="A182" s="60"/>
      <c r="B182" s="94"/>
      <c r="C182" s="56"/>
    </row>
    <row r="183" spans="1:5" ht="24" thickBot="1" x14ac:dyDescent="0.3">
      <c r="A183" s="66"/>
      <c r="B183" s="64"/>
      <c r="C183" s="67"/>
      <c r="D183" s="134" t="s">
        <v>43</v>
      </c>
      <c r="E183" s="99">
        <f>E188-E184</f>
        <v>0</v>
      </c>
    </row>
    <row r="184" spans="1:5" ht="21.75" thickBot="1" x14ac:dyDescent="0.3">
      <c r="A184" s="69">
        <f>SUM(A173:A183)</f>
        <v>4975</v>
      </c>
      <c r="C184" s="69">
        <f>SUM(C173:C183)</f>
        <v>7826</v>
      </c>
      <c r="D184" s="135" t="s">
        <v>94</v>
      </c>
      <c r="E184" s="85"/>
    </row>
    <row r="185" spans="1:5" ht="21.75" thickBot="1" x14ac:dyDescent="0.3">
      <c r="A185" s="462" t="s">
        <v>139</v>
      </c>
      <c r="B185" s="463"/>
      <c r="C185" s="71" t="s">
        <v>75</v>
      </c>
      <c r="D185" s="136" t="s">
        <v>65</v>
      </c>
      <c r="E185" s="83"/>
    </row>
    <row r="186" spans="1:5" ht="23.25" customHeight="1" thickBot="1" x14ac:dyDescent="0.3">
      <c r="A186" s="464">
        <f>C184+A184</f>
        <v>12801</v>
      </c>
      <c r="B186" s="465"/>
      <c r="C186" s="81"/>
      <c r="D186" s="82"/>
      <c r="E186" s="83"/>
    </row>
    <row r="187" spans="1:5" ht="24" thickBot="1" x14ac:dyDescent="0.3">
      <c r="A187" s="466" t="s">
        <v>99</v>
      </c>
      <c r="B187" s="467"/>
      <c r="C187" s="78">
        <f>A188-C188</f>
        <v>4</v>
      </c>
      <c r="D187" s="82"/>
      <c r="E187" s="83"/>
    </row>
    <row r="188" spans="1:5" ht="24" thickBot="1" x14ac:dyDescent="0.3">
      <c r="A188" s="468">
        <f>C186+A186</f>
        <v>12801</v>
      </c>
      <c r="B188" s="469"/>
      <c r="C188" s="121">
        <v>12797</v>
      </c>
      <c r="D188" s="82" t="s">
        <v>164</v>
      </c>
      <c r="E188" s="83">
        <f>SUM(E185:E187)</f>
        <v>0</v>
      </c>
    </row>
    <row r="189" spans="1:5" ht="24" thickBot="1" x14ac:dyDescent="0.3">
      <c r="A189"/>
      <c r="B189"/>
      <c r="C189" s="314" t="str">
        <f>IF(C187&gt;0,"زيادة","عجز")</f>
        <v>زيادة</v>
      </c>
    </row>
    <row r="190" spans="1:5" ht="15.75" thickBot="1" x14ac:dyDescent="0.3">
      <c r="A190"/>
      <c r="B190"/>
    </row>
    <row r="191" spans="1:5" ht="24" thickBot="1" x14ac:dyDescent="0.3">
      <c r="A191" s="76" t="s">
        <v>6</v>
      </c>
      <c r="B191" s="460">
        <v>45119</v>
      </c>
      <c r="C191" s="461"/>
      <c r="D191" s="194" t="s">
        <v>607</v>
      </c>
    </row>
    <row r="192" spans="1:5" ht="21" thickBot="1" x14ac:dyDescent="0.3">
      <c r="A192" s="53" t="s">
        <v>137</v>
      </c>
      <c r="B192" s="53" t="s">
        <v>138</v>
      </c>
      <c r="C192" s="53" t="s">
        <v>3</v>
      </c>
    </row>
    <row r="193" spans="1:5" ht="18" x14ac:dyDescent="0.25">
      <c r="A193" s="55">
        <f>10000+185</f>
        <v>10185</v>
      </c>
      <c r="B193" s="77" t="s">
        <v>9</v>
      </c>
      <c r="C193" s="57">
        <v>110</v>
      </c>
    </row>
    <row r="194" spans="1:5" ht="18" x14ac:dyDescent="0.25">
      <c r="A194" s="60"/>
      <c r="B194" s="56" t="s">
        <v>709</v>
      </c>
      <c r="C194" s="94">
        <v>290</v>
      </c>
    </row>
    <row r="195" spans="1:5" ht="18" x14ac:dyDescent="0.25">
      <c r="A195" s="60"/>
      <c r="B195" s="146"/>
      <c r="C195" s="3"/>
    </row>
    <row r="196" spans="1:5" ht="18.75" thickBot="1" x14ac:dyDescent="0.3">
      <c r="A196" s="60"/>
      <c r="B196" s="94"/>
      <c r="C196" s="56"/>
    </row>
    <row r="197" spans="1:5" ht="24" thickBot="1" x14ac:dyDescent="0.3">
      <c r="A197" s="66"/>
      <c r="B197" s="64"/>
      <c r="C197" s="67"/>
      <c r="D197" s="134" t="s">
        <v>43</v>
      </c>
      <c r="E197" s="99">
        <f>E202-E198</f>
        <v>23</v>
      </c>
    </row>
    <row r="198" spans="1:5" ht="21.75" thickBot="1" x14ac:dyDescent="0.3">
      <c r="A198" s="69">
        <f>SUM(A193:A197)</f>
        <v>10185</v>
      </c>
      <c r="C198" s="69">
        <f>SUM(C193:C197)</f>
        <v>400</v>
      </c>
      <c r="D198" s="135" t="s">
        <v>94</v>
      </c>
      <c r="E198" s="85">
        <f>7868-7347</f>
        <v>521</v>
      </c>
    </row>
    <row r="199" spans="1:5" ht="21.75" thickBot="1" x14ac:dyDescent="0.3">
      <c r="A199" s="462" t="s">
        <v>139</v>
      </c>
      <c r="B199" s="463"/>
      <c r="C199" s="71" t="s">
        <v>75</v>
      </c>
      <c r="D199" s="136" t="s">
        <v>65</v>
      </c>
      <c r="E199" s="83">
        <f>540+4</f>
        <v>544</v>
      </c>
    </row>
    <row r="200" spans="1:5" ht="24" thickBot="1" x14ac:dyDescent="0.3">
      <c r="A200" s="464">
        <f>C198+A198</f>
        <v>10585</v>
      </c>
      <c r="B200" s="465"/>
      <c r="C200" s="81"/>
      <c r="D200" s="82"/>
      <c r="E200" s="83"/>
    </row>
    <row r="201" spans="1:5" ht="24" thickBot="1" x14ac:dyDescent="0.3">
      <c r="A201" s="466" t="s">
        <v>99</v>
      </c>
      <c r="B201" s="467"/>
      <c r="C201" s="78">
        <f>A202-C202</f>
        <v>54</v>
      </c>
      <c r="D201" s="82"/>
      <c r="E201" s="83"/>
    </row>
    <row r="202" spans="1:5" ht="24" thickBot="1" x14ac:dyDescent="0.3">
      <c r="A202" s="468">
        <f>C200+A200</f>
        <v>10585</v>
      </c>
      <c r="B202" s="469"/>
      <c r="C202" s="121">
        <v>10531</v>
      </c>
      <c r="D202" s="82" t="s">
        <v>164</v>
      </c>
      <c r="E202" s="83">
        <f>SUM(E199:E201)</f>
        <v>544</v>
      </c>
    </row>
    <row r="203" spans="1:5" ht="24" thickBot="1" x14ac:dyDescent="0.3">
      <c r="A203"/>
      <c r="B203"/>
      <c r="C203" s="314" t="str">
        <f>IF(C201&gt;0,"زيادة","عجز")</f>
        <v>زيادة</v>
      </c>
    </row>
    <row r="204" spans="1:5" ht="24" thickBot="1" x14ac:dyDescent="0.3">
      <c r="A204" s="76" t="s">
        <v>15</v>
      </c>
      <c r="B204" s="460">
        <v>45119</v>
      </c>
      <c r="C204" s="461"/>
      <c r="D204" s="194" t="s">
        <v>607</v>
      </c>
    </row>
    <row r="205" spans="1:5" ht="21" thickBot="1" x14ac:dyDescent="0.3">
      <c r="A205" s="53" t="s">
        <v>137</v>
      </c>
      <c r="B205" s="53" t="s">
        <v>138</v>
      </c>
      <c r="C205" s="53" t="s">
        <v>3</v>
      </c>
    </row>
    <row r="206" spans="1:5" ht="18" x14ac:dyDescent="0.25">
      <c r="A206" s="55">
        <f>5000+1900+30</f>
        <v>6930</v>
      </c>
      <c r="B206" s="77" t="s">
        <v>255</v>
      </c>
      <c r="C206" s="57">
        <v>355</v>
      </c>
    </row>
    <row r="207" spans="1:5" ht="18" x14ac:dyDescent="0.25">
      <c r="A207" s="154"/>
      <c r="B207" s="77" t="s">
        <v>458</v>
      </c>
      <c r="C207" s="146">
        <v>15</v>
      </c>
    </row>
    <row r="208" spans="1:5" ht="18" x14ac:dyDescent="0.25">
      <c r="A208" s="154"/>
      <c r="B208" s="77" t="s">
        <v>78</v>
      </c>
      <c r="C208" s="146">
        <v>300</v>
      </c>
    </row>
    <row r="209" spans="1:3" ht="18" x14ac:dyDescent="0.25">
      <c r="A209" s="154"/>
      <c r="B209" s="77" t="s">
        <v>712</v>
      </c>
      <c r="C209" s="146">
        <v>150</v>
      </c>
    </row>
    <row r="210" spans="1:3" ht="18" x14ac:dyDescent="0.25">
      <c r="A210" s="154"/>
      <c r="B210" s="77" t="s">
        <v>713</v>
      </c>
      <c r="C210" s="146">
        <v>170</v>
      </c>
    </row>
    <row r="211" spans="1:3" ht="18" x14ac:dyDescent="0.25">
      <c r="A211" s="154"/>
      <c r="B211" s="77" t="s">
        <v>39</v>
      </c>
      <c r="C211" s="146">
        <v>120</v>
      </c>
    </row>
    <row r="212" spans="1:3" ht="18" x14ac:dyDescent="0.25">
      <c r="A212" s="154"/>
      <c r="B212" s="77" t="s">
        <v>265</v>
      </c>
      <c r="C212" s="146">
        <v>140</v>
      </c>
    </row>
    <row r="213" spans="1:3" ht="18" x14ac:dyDescent="0.25">
      <c r="A213" s="154"/>
      <c r="B213" s="77" t="s">
        <v>714</v>
      </c>
      <c r="C213" s="146">
        <v>260</v>
      </c>
    </row>
    <row r="214" spans="1:3" ht="18" x14ac:dyDescent="0.25">
      <c r="A214" s="154"/>
      <c r="B214" s="77" t="s">
        <v>715</v>
      </c>
      <c r="C214" s="146">
        <v>900</v>
      </c>
    </row>
    <row r="215" spans="1:3" ht="18" x14ac:dyDescent="0.25">
      <c r="A215" s="154"/>
      <c r="B215" s="77" t="s">
        <v>458</v>
      </c>
      <c r="C215" s="146">
        <v>30</v>
      </c>
    </row>
    <row r="216" spans="1:3" ht="18" x14ac:dyDescent="0.25">
      <c r="A216" s="154"/>
      <c r="B216" s="77" t="s">
        <v>716</v>
      </c>
      <c r="C216" s="146">
        <v>1450</v>
      </c>
    </row>
    <row r="217" spans="1:3" ht="18" x14ac:dyDescent="0.25">
      <c r="A217" s="154"/>
      <c r="B217" s="77" t="s">
        <v>717</v>
      </c>
      <c r="C217" s="146">
        <v>325</v>
      </c>
    </row>
    <row r="218" spans="1:3" ht="21.75" customHeight="1" x14ac:dyDescent="0.25">
      <c r="A218" s="154"/>
      <c r="B218" s="77" t="s">
        <v>718</v>
      </c>
      <c r="C218" s="146">
        <v>10810</v>
      </c>
    </row>
    <row r="219" spans="1:3" ht="21" customHeight="1" x14ac:dyDescent="0.25">
      <c r="A219" s="154"/>
      <c r="B219" s="77" t="s">
        <v>494</v>
      </c>
      <c r="C219" s="146">
        <v>100</v>
      </c>
    </row>
    <row r="220" spans="1:3" ht="18" x14ac:dyDescent="0.25">
      <c r="A220" s="154"/>
      <c r="B220" s="77" t="s">
        <v>32</v>
      </c>
      <c r="C220" s="146">
        <v>85</v>
      </c>
    </row>
    <row r="221" spans="1:3" ht="19.5" customHeight="1" x14ac:dyDescent="0.25">
      <c r="A221" s="154"/>
      <c r="B221" s="77" t="s">
        <v>86</v>
      </c>
      <c r="C221" s="146">
        <v>170</v>
      </c>
    </row>
    <row r="222" spans="1:3" ht="19.5" customHeight="1" x14ac:dyDescent="0.25">
      <c r="A222" s="154"/>
      <c r="B222" s="77" t="s">
        <v>719</v>
      </c>
      <c r="C222" s="146">
        <v>100</v>
      </c>
    </row>
    <row r="223" spans="1:3" ht="18" x14ac:dyDescent="0.25">
      <c r="A223" s="154"/>
      <c r="B223" s="77" t="s">
        <v>58</v>
      </c>
      <c r="C223" s="146">
        <v>180</v>
      </c>
    </row>
    <row r="224" spans="1:3" ht="18" x14ac:dyDescent="0.25">
      <c r="A224" s="154"/>
      <c r="B224" s="77" t="s">
        <v>720</v>
      </c>
      <c r="C224" s="146">
        <v>54</v>
      </c>
    </row>
    <row r="225" spans="1:5" ht="18" x14ac:dyDescent="0.25">
      <c r="A225" s="60"/>
      <c r="B225" s="56" t="s">
        <v>498</v>
      </c>
      <c r="C225" s="94">
        <v>175</v>
      </c>
    </row>
    <row r="226" spans="1:5" ht="18" x14ac:dyDescent="0.25">
      <c r="A226" s="60"/>
      <c r="B226" s="146"/>
      <c r="C226" s="3"/>
    </row>
    <row r="227" spans="1:5" ht="18.75" thickBot="1" x14ac:dyDescent="0.3">
      <c r="A227" s="60"/>
      <c r="B227" s="94"/>
      <c r="C227" s="56"/>
    </row>
    <row r="228" spans="1:5" ht="24" thickBot="1" x14ac:dyDescent="0.3">
      <c r="A228" s="66"/>
      <c r="B228" s="64"/>
      <c r="C228" s="67"/>
      <c r="D228" s="134" t="s">
        <v>43</v>
      </c>
      <c r="E228" s="99">
        <f>E233-E229</f>
        <v>12</v>
      </c>
    </row>
    <row r="229" spans="1:5" ht="21.75" thickBot="1" x14ac:dyDescent="0.3">
      <c r="A229" s="69">
        <f>SUM(A206:A228)</f>
        <v>6930</v>
      </c>
      <c r="C229" s="69">
        <f>SUM(C206:C228)</f>
        <v>15889</v>
      </c>
      <c r="D229" s="135" t="s">
        <v>94</v>
      </c>
      <c r="E229" s="85">
        <f>7347-6701</f>
        <v>646</v>
      </c>
    </row>
    <row r="230" spans="1:5" ht="21.75" thickBot="1" x14ac:dyDescent="0.3">
      <c r="A230" s="462" t="s">
        <v>139</v>
      </c>
      <c r="B230" s="463"/>
      <c r="C230" s="71" t="s">
        <v>75</v>
      </c>
      <c r="D230" s="136" t="s">
        <v>65</v>
      </c>
      <c r="E230" s="83">
        <f>13+400+245</f>
        <v>658</v>
      </c>
    </row>
    <row r="231" spans="1:5" ht="24" thickBot="1" x14ac:dyDescent="0.3">
      <c r="A231" s="464">
        <f>C229+A229</f>
        <v>22819</v>
      </c>
      <c r="B231" s="465"/>
      <c r="C231" s="81">
        <f>179+424+50+537+170</f>
        <v>1360</v>
      </c>
      <c r="D231" s="82"/>
      <c r="E231" s="83"/>
    </row>
    <row r="232" spans="1:5" ht="24" thickBot="1" x14ac:dyDescent="0.3">
      <c r="A232" s="466" t="s">
        <v>99</v>
      </c>
      <c r="B232" s="467"/>
      <c r="C232" s="78">
        <f>A233-C233</f>
        <v>-18</v>
      </c>
      <c r="D232" s="82"/>
      <c r="E232" s="83"/>
    </row>
    <row r="233" spans="1:5" ht="24" thickBot="1" x14ac:dyDescent="0.3">
      <c r="A233" s="468">
        <f>C231+A231</f>
        <v>24179</v>
      </c>
      <c r="B233" s="469"/>
      <c r="C233" s="121">
        <v>24197</v>
      </c>
      <c r="D233" s="82" t="s">
        <v>164</v>
      </c>
      <c r="E233" s="83">
        <f>SUM(E230:E232)</f>
        <v>658</v>
      </c>
    </row>
    <row r="234" spans="1:5" ht="24" thickBot="1" x14ac:dyDescent="0.3">
      <c r="A234"/>
      <c r="B234"/>
      <c r="C234" s="314" t="str">
        <f>IF(C232&gt;0,"زيادة","عجز")</f>
        <v>عجز</v>
      </c>
    </row>
    <row r="235" spans="1:5" x14ac:dyDescent="0.25">
      <c r="A235"/>
      <c r="B235"/>
    </row>
    <row r="236" spans="1:5" x14ac:dyDescent="0.25">
      <c r="A236"/>
      <c r="B236"/>
    </row>
    <row r="237" spans="1:5" x14ac:dyDescent="0.25">
      <c r="A237"/>
      <c r="B237"/>
    </row>
    <row r="238" spans="1:5" x14ac:dyDescent="0.25">
      <c r="A238"/>
      <c r="B238"/>
    </row>
    <row r="239" spans="1:5" x14ac:dyDescent="0.25">
      <c r="A239"/>
      <c r="B239"/>
    </row>
    <row r="240" spans="1:5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6" x14ac:dyDescent="0.25">
      <c r="A337"/>
      <c r="B337"/>
    </row>
    <row r="338" spans="1:6" x14ac:dyDescent="0.25">
      <c r="A338"/>
      <c r="B338"/>
    </row>
    <row r="339" spans="1:6" x14ac:dyDescent="0.25">
      <c r="A339"/>
      <c r="B339"/>
    </row>
    <row r="340" spans="1:6" x14ac:dyDescent="0.25">
      <c r="A340"/>
      <c r="B340"/>
      <c r="F340">
        <f>2778+2841-2043-2544</f>
        <v>1032</v>
      </c>
    </row>
    <row r="341" spans="1:6" x14ac:dyDescent="0.25">
      <c r="A341"/>
      <c r="B341"/>
      <c r="F341">
        <v>920</v>
      </c>
    </row>
    <row r="342" spans="1:6" x14ac:dyDescent="0.25">
      <c r="A342"/>
      <c r="B342"/>
    </row>
    <row r="343" spans="1:6" x14ac:dyDescent="0.25">
      <c r="A343"/>
      <c r="B343"/>
    </row>
    <row r="344" spans="1:6" x14ac:dyDescent="0.25">
      <c r="A344"/>
      <c r="B344"/>
    </row>
    <row r="345" spans="1:6" x14ac:dyDescent="0.25">
      <c r="A345"/>
      <c r="B345"/>
    </row>
    <row r="346" spans="1:6" x14ac:dyDescent="0.25">
      <c r="A346"/>
      <c r="B346"/>
    </row>
    <row r="347" spans="1:6" x14ac:dyDescent="0.25">
      <c r="A347"/>
      <c r="B347"/>
    </row>
    <row r="348" spans="1:6" x14ac:dyDescent="0.25">
      <c r="A348"/>
      <c r="B348"/>
    </row>
    <row r="349" spans="1:6" x14ac:dyDescent="0.25">
      <c r="A349"/>
      <c r="B349"/>
    </row>
    <row r="350" spans="1:6" x14ac:dyDescent="0.25">
      <c r="A350"/>
      <c r="B350"/>
    </row>
    <row r="351" spans="1:6" x14ac:dyDescent="0.25">
      <c r="A351"/>
      <c r="B351"/>
    </row>
    <row r="352" spans="1:6" x14ac:dyDescent="0.25">
      <c r="A352"/>
      <c r="B352"/>
    </row>
    <row r="353" spans="1:7" x14ac:dyDescent="0.25">
      <c r="A353"/>
      <c r="B353"/>
    </row>
    <row r="354" spans="1:7" x14ac:dyDescent="0.25">
      <c r="A354"/>
      <c r="B354"/>
    </row>
    <row r="355" spans="1:7" x14ac:dyDescent="0.25">
      <c r="A355"/>
      <c r="B355"/>
    </row>
    <row r="356" spans="1:7" x14ac:dyDescent="0.25">
      <c r="A356"/>
      <c r="B356"/>
    </row>
    <row r="357" spans="1:7" x14ac:dyDescent="0.25">
      <c r="A357"/>
      <c r="B357"/>
    </row>
    <row r="358" spans="1:7" x14ac:dyDescent="0.25">
      <c r="A358"/>
      <c r="B358"/>
    </row>
    <row r="359" spans="1:7" x14ac:dyDescent="0.25">
      <c r="A359"/>
      <c r="B359"/>
    </row>
    <row r="360" spans="1:7" x14ac:dyDescent="0.25">
      <c r="A360"/>
      <c r="B360"/>
      <c r="G360" t="e">
        <f>#REF!-#REF!</f>
        <v>#REF!</v>
      </c>
    </row>
    <row r="361" spans="1:7" x14ac:dyDescent="0.25">
      <c r="A361"/>
      <c r="B361"/>
    </row>
    <row r="362" spans="1:7" x14ac:dyDescent="0.25">
      <c r="A362"/>
      <c r="B362"/>
    </row>
    <row r="363" spans="1:7" x14ac:dyDescent="0.25">
      <c r="A363"/>
      <c r="B363"/>
    </row>
    <row r="364" spans="1:7" x14ac:dyDescent="0.25">
      <c r="A364"/>
      <c r="B364"/>
    </row>
    <row r="365" spans="1:7" x14ac:dyDescent="0.25">
      <c r="A365"/>
      <c r="B365"/>
    </row>
    <row r="366" spans="1:7" x14ac:dyDescent="0.25">
      <c r="A366"/>
      <c r="B366"/>
    </row>
    <row r="367" spans="1:7" x14ac:dyDescent="0.25">
      <c r="A367"/>
      <c r="B367"/>
    </row>
    <row r="368" spans="1:7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</sheetData>
  <mergeCells count="35">
    <mergeCell ref="B94:C94"/>
    <mergeCell ref="A103:B103"/>
    <mergeCell ref="A104:B104"/>
    <mergeCell ref="A105:B105"/>
    <mergeCell ref="A106:B106"/>
    <mergeCell ref="B108:C108"/>
    <mergeCell ref="A122:B122"/>
    <mergeCell ref="A123:B123"/>
    <mergeCell ref="A124:B124"/>
    <mergeCell ref="A125:B125"/>
    <mergeCell ref="B131:C131"/>
    <mergeCell ref="A145:B145"/>
    <mergeCell ref="A146:B146"/>
    <mergeCell ref="A147:B147"/>
    <mergeCell ref="A148:B148"/>
    <mergeCell ref="B151:C151"/>
    <mergeCell ref="A165:B165"/>
    <mergeCell ref="A166:B166"/>
    <mergeCell ref="A167:B167"/>
    <mergeCell ref="A168:B168"/>
    <mergeCell ref="B171:C171"/>
    <mergeCell ref="A185:B185"/>
    <mergeCell ref="A186:B186"/>
    <mergeCell ref="A187:B187"/>
    <mergeCell ref="A188:B188"/>
    <mergeCell ref="B191:C191"/>
    <mergeCell ref="A199:B199"/>
    <mergeCell ref="A200:B200"/>
    <mergeCell ref="A201:B201"/>
    <mergeCell ref="A202:B202"/>
    <mergeCell ref="B204:C204"/>
    <mergeCell ref="A230:B230"/>
    <mergeCell ref="A231:B231"/>
    <mergeCell ref="A232:B232"/>
    <mergeCell ref="A233:B233"/>
  </mergeCells>
  <conditionalFormatting sqref="C107">
    <cfRule type="expression" dxfId="53" priority="13">
      <formula>C107="عجز"</formula>
    </cfRule>
    <cfRule type="expression" dxfId="52" priority="14">
      <formula>C107="زيادة"</formula>
    </cfRule>
  </conditionalFormatting>
  <conditionalFormatting sqref="C126">
    <cfRule type="expression" dxfId="51" priority="11">
      <formula>C126="عجز"</formula>
    </cfRule>
    <cfRule type="expression" dxfId="50" priority="12">
      <formula>C126="زيادة"</formula>
    </cfRule>
  </conditionalFormatting>
  <conditionalFormatting sqref="C149">
    <cfRule type="expression" dxfId="49" priority="9">
      <formula>C149="عجز"</formula>
    </cfRule>
    <cfRule type="expression" dxfId="48" priority="10">
      <formula>C149="زيادة"</formula>
    </cfRule>
  </conditionalFormatting>
  <conditionalFormatting sqref="C169">
    <cfRule type="expression" dxfId="47" priority="7">
      <formula>C169="عجز"</formula>
    </cfRule>
    <cfRule type="expression" dxfId="46" priority="8">
      <formula>C169="زيادة"</formula>
    </cfRule>
  </conditionalFormatting>
  <conditionalFormatting sqref="C189">
    <cfRule type="expression" dxfId="45" priority="5">
      <formula>C189="عجز"</formula>
    </cfRule>
    <cfRule type="expression" dxfId="44" priority="6">
      <formula>C189="زيادة"</formula>
    </cfRule>
  </conditionalFormatting>
  <conditionalFormatting sqref="C203">
    <cfRule type="expression" dxfId="43" priority="3">
      <formula>C203="عجز"</formula>
    </cfRule>
    <cfRule type="expression" dxfId="42" priority="4">
      <formula>C203="زيادة"</formula>
    </cfRule>
  </conditionalFormatting>
  <conditionalFormatting sqref="C234">
    <cfRule type="expression" dxfId="41" priority="1">
      <formula>C234="عجز"</formula>
    </cfRule>
    <cfRule type="expression" dxfId="40" priority="2">
      <formula>C234="زيادة"</formula>
    </cfRule>
  </conditionalFormatting>
  <hyperlinks>
    <hyperlink ref="D94" location="'12-7-2023'!A5" display="'12-7-2023'!A5" xr:uid="{5B69466A-529F-4B3C-9711-4295BED6BCD4}"/>
    <hyperlink ref="D108" location="'12-7-2023'!A5" display="'12-7-2023'!A5" xr:uid="{A30166DD-67CA-4B2F-BE0F-F28BF63A5693}"/>
    <hyperlink ref="D131" location="'12-7-2023'!A5" display="'12-7-2023'!A5" xr:uid="{FA05E7E3-152F-4358-88B8-2611C2B40A13}"/>
    <hyperlink ref="D151" location="'12-7-2023'!A5" display="'12-7-2023'!A5" xr:uid="{9118D1E0-A2C7-48AE-9AB1-B56ED5530A3B}"/>
    <hyperlink ref="D171" location="'12-7-2023'!A5" display="'12-7-2023'!A5" xr:uid="{D715C1BD-6A96-4FFE-AEB5-BA59960E077E}"/>
    <hyperlink ref="D191" location="'12-7-2023'!A5" display="'12-7-2023'!A5" xr:uid="{B4AC1945-E1F9-4EB4-9D5A-80A7F390A692}"/>
    <hyperlink ref="D204" location="'12-7-2023'!A5" display="'12-7-2023'!A5" xr:uid="{670764D2-3D31-48AB-A928-EC88FE4A035F}"/>
  </hyperlinks>
  <pageMargins left="0.7" right="0.7" top="0.75" bottom="0.75" header="0.3" footer="0.3"/>
  <pageSetup paperSize="260" orientation="portrait" horizontalDpi="203" verticalDpi="20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8CCE41-055B-418B-904E-DFE92D7613E4}">
          <x14:formula1>
            <xm:f>data!$A$57:$A$70</xm:f>
          </x14:formula1>
          <xm:sqref>C84:C90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5BEF-5F82-485F-A313-A7FDA833A10B}">
  <sheetPr codeName="Sheet25"/>
  <dimension ref="A1:G462"/>
  <sheetViews>
    <sheetView rightToLeft="1" zoomScale="130" zoomScaleNormal="130" workbookViewId="0">
      <selection activeCell="C9" sqref="C9"/>
    </sheetView>
  </sheetViews>
  <sheetFormatPr defaultRowHeight="15" x14ac:dyDescent="0.25"/>
  <cols>
    <col min="1" max="1" width="32.85546875" style="9" bestFit="1" customWidth="1"/>
    <col min="2" max="2" width="23.42578125" style="10" customWidth="1"/>
    <col min="3" max="3" width="23.42578125" bestFit="1" customWidth="1"/>
    <col min="4" max="4" width="21" customWidth="1"/>
    <col min="5" max="5" width="24.140625" customWidth="1"/>
    <col min="6" max="6" width="6.7109375" bestFit="1" customWidth="1"/>
    <col min="7" max="7" width="45.85546875" customWidth="1"/>
    <col min="8" max="8" width="14.5703125" customWidth="1"/>
    <col min="9" max="9" width="10.7109375" customWidth="1"/>
  </cols>
  <sheetData>
    <row r="1" spans="1:5" ht="18.75" x14ac:dyDescent="0.3">
      <c r="A1" s="1" t="s">
        <v>0</v>
      </c>
      <c r="B1" s="2">
        <v>45115</v>
      </c>
      <c r="C1" s="3"/>
      <c r="D1" s="3"/>
    </row>
    <row r="2" spans="1:5" x14ac:dyDescent="0.25">
      <c r="A2" s="4" t="s">
        <v>1</v>
      </c>
      <c r="B2" s="5" t="s">
        <v>2</v>
      </c>
      <c r="C2" s="5" t="s">
        <v>3</v>
      </c>
      <c r="D2" s="6" t="s">
        <v>4</v>
      </c>
      <c r="E2" s="5" t="s">
        <v>5</v>
      </c>
    </row>
    <row r="3" spans="1:5" x14ac:dyDescent="0.25">
      <c r="A3" s="19" t="s">
        <v>48</v>
      </c>
      <c r="B3" s="31">
        <f>20000+500+500+1500</f>
        <v>22500</v>
      </c>
      <c r="C3" s="39" t="s">
        <v>721</v>
      </c>
      <c r="D3" s="40">
        <v>9255</v>
      </c>
      <c r="E3" s="122"/>
    </row>
    <row r="4" spans="1:5" x14ac:dyDescent="0.25">
      <c r="A4" s="20" t="s">
        <v>9</v>
      </c>
      <c r="B4" s="22">
        <v>16150</v>
      </c>
      <c r="C4" s="39" t="s">
        <v>722</v>
      </c>
      <c r="D4" s="40">
        <v>3160</v>
      </c>
      <c r="E4" s="123"/>
    </row>
    <row r="5" spans="1:5" x14ac:dyDescent="0.25">
      <c r="A5" s="20" t="s">
        <v>28</v>
      </c>
      <c r="B5" s="22">
        <v>738</v>
      </c>
      <c r="C5" s="20" t="s">
        <v>57</v>
      </c>
      <c r="D5" s="21">
        <v>6175</v>
      </c>
      <c r="E5" s="123"/>
    </row>
    <row r="6" spans="1:5" x14ac:dyDescent="0.25">
      <c r="A6" s="20" t="s">
        <v>27</v>
      </c>
      <c r="B6" s="22">
        <v>1435</v>
      </c>
      <c r="C6" s="20" t="s">
        <v>723</v>
      </c>
      <c r="D6" s="21">
        <v>300</v>
      </c>
      <c r="E6" s="123"/>
    </row>
    <row r="7" spans="1:5" x14ac:dyDescent="0.25">
      <c r="A7" s="20" t="s">
        <v>80</v>
      </c>
      <c r="B7" s="22">
        <v>15435</v>
      </c>
      <c r="C7" s="20" t="s">
        <v>1153</v>
      </c>
      <c r="D7" s="21">
        <v>2000</v>
      </c>
      <c r="E7" s="123"/>
    </row>
    <row r="8" spans="1:5" x14ac:dyDescent="0.25">
      <c r="A8" s="20" t="s">
        <v>81</v>
      </c>
      <c r="B8" s="21">
        <v>1377</v>
      </c>
      <c r="C8" s="20" t="s">
        <v>724</v>
      </c>
      <c r="D8" s="91">
        <v>65</v>
      </c>
      <c r="E8" s="123"/>
    </row>
    <row r="9" spans="1:5" x14ac:dyDescent="0.25">
      <c r="A9" s="20" t="s">
        <v>27</v>
      </c>
      <c r="B9" s="21">
        <v>1685</v>
      </c>
      <c r="C9" s="20" t="s">
        <v>725</v>
      </c>
      <c r="D9" s="96">
        <v>530</v>
      </c>
      <c r="E9" s="124"/>
    </row>
    <row r="10" spans="1:5" x14ac:dyDescent="0.25">
      <c r="A10" s="20" t="s">
        <v>27</v>
      </c>
      <c r="B10" s="21">
        <v>255</v>
      </c>
      <c r="C10" s="20" t="s">
        <v>471</v>
      </c>
      <c r="D10" s="96">
        <v>28</v>
      </c>
      <c r="E10" s="124"/>
    </row>
    <row r="11" spans="1:5" x14ac:dyDescent="0.25">
      <c r="A11" s="20" t="s">
        <v>742</v>
      </c>
      <c r="B11" s="21">
        <v>1070</v>
      </c>
      <c r="C11" s="20" t="s">
        <v>350</v>
      </c>
      <c r="D11" s="96">
        <v>100</v>
      </c>
      <c r="E11" s="124"/>
    </row>
    <row r="12" spans="1:5" x14ac:dyDescent="0.25">
      <c r="A12" s="41" t="s">
        <v>88</v>
      </c>
      <c r="B12" s="22">
        <v>15273</v>
      </c>
      <c r="C12" s="20" t="s">
        <v>451</v>
      </c>
      <c r="D12" s="96">
        <v>28</v>
      </c>
      <c r="E12" s="125"/>
    </row>
    <row r="13" spans="1:5" ht="18" x14ac:dyDescent="0.25">
      <c r="A13" s="41" t="s">
        <v>747</v>
      </c>
      <c r="B13" s="22">
        <v>103</v>
      </c>
      <c r="C13" s="90" t="s">
        <v>569</v>
      </c>
      <c r="D13" s="96">
        <v>907</v>
      </c>
      <c r="E13" s="77"/>
    </row>
    <row r="14" spans="1:5" ht="18" x14ac:dyDescent="0.25">
      <c r="A14" s="41" t="s">
        <v>121</v>
      </c>
      <c r="B14" s="22">
        <v>6760</v>
      </c>
      <c r="C14" s="90" t="s">
        <v>357</v>
      </c>
      <c r="D14" s="96">
        <v>83</v>
      </c>
      <c r="E14" s="77"/>
    </row>
    <row r="15" spans="1:5" ht="18" x14ac:dyDescent="0.25">
      <c r="A15" s="41" t="s">
        <v>911</v>
      </c>
      <c r="B15" s="22">
        <v>103</v>
      </c>
      <c r="C15" s="20" t="s">
        <v>78</v>
      </c>
      <c r="D15" s="96">
        <v>500</v>
      </c>
      <c r="E15" s="56"/>
    </row>
    <row r="16" spans="1:5" ht="18" x14ac:dyDescent="0.25">
      <c r="A16" s="41" t="s">
        <v>27</v>
      </c>
      <c r="B16" s="22">
        <v>210</v>
      </c>
      <c r="C16" s="20" t="s">
        <v>33</v>
      </c>
      <c r="D16" s="117">
        <v>25</v>
      </c>
      <c r="E16" s="56"/>
    </row>
    <row r="17" spans="1:7" ht="18" x14ac:dyDescent="0.25">
      <c r="A17" s="41" t="s">
        <v>363</v>
      </c>
      <c r="B17" s="22">
        <v>14740</v>
      </c>
      <c r="C17" s="90" t="s">
        <v>10</v>
      </c>
      <c r="D17" s="117">
        <v>80</v>
      </c>
      <c r="E17" s="56"/>
    </row>
    <row r="18" spans="1:7" ht="18" x14ac:dyDescent="0.25">
      <c r="A18" s="20" t="s">
        <v>913</v>
      </c>
      <c r="B18" s="22">
        <v>1005</v>
      </c>
      <c r="C18" s="90" t="s">
        <v>266</v>
      </c>
      <c r="D18" s="117">
        <v>13420</v>
      </c>
      <c r="E18" s="56"/>
      <c r="G18" s="97"/>
    </row>
    <row r="19" spans="1:7" x14ac:dyDescent="0.25">
      <c r="A19" s="20" t="s">
        <v>915</v>
      </c>
      <c r="B19" s="96">
        <v>15868</v>
      </c>
      <c r="C19" s="20" t="s">
        <v>393</v>
      </c>
      <c r="D19" s="117">
        <v>120</v>
      </c>
      <c r="E19" s="124"/>
      <c r="G19" s="97"/>
    </row>
    <row r="20" spans="1:7" x14ac:dyDescent="0.25">
      <c r="A20" s="20" t="s">
        <v>916</v>
      </c>
      <c r="B20" s="96">
        <v>242</v>
      </c>
      <c r="C20" s="90" t="s">
        <v>358</v>
      </c>
      <c r="D20" s="117">
        <v>20</v>
      </c>
      <c r="E20" s="124"/>
      <c r="G20" s="97"/>
    </row>
    <row r="21" spans="1:7" x14ac:dyDescent="0.25">
      <c r="A21" s="20" t="s">
        <v>60</v>
      </c>
      <c r="B21" s="96">
        <f>5000+1000+500+277+465</f>
        <v>7242</v>
      </c>
      <c r="C21" s="20" t="s">
        <v>10</v>
      </c>
      <c r="D21" s="117">
        <v>60</v>
      </c>
      <c r="E21" s="124"/>
      <c r="G21" s="97"/>
    </row>
    <row r="22" spans="1:7" ht="15.75" x14ac:dyDescent="0.25">
      <c r="A22" s="20"/>
      <c r="B22" s="20"/>
      <c r="C22" s="20" t="s">
        <v>8</v>
      </c>
      <c r="D22" s="91">
        <v>255</v>
      </c>
      <c r="E22" s="124"/>
      <c r="F22" s="15"/>
      <c r="G22" s="97"/>
    </row>
    <row r="23" spans="1:7" ht="15.75" x14ac:dyDescent="0.25">
      <c r="A23" s="20"/>
      <c r="B23" s="117"/>
      <c r="C23" s="20" t="s">
        <v>7</v>
      </c>
      <c r="D23" s="96">
        <v>170</v>
      </c>
      <c r="E23" s="128"/>
      <c r="F23" s="15"/>
      <c r="G23" s="97"/>
    </row>
    <row r="24" spans="1:7" ht="15.75" x14ac:dyDescent="0.25">
      <c r="A24" s="20"/>
      <c r="B24" s="117"/>
      <c r="C24" s="20" t="s">
        <v>727</v>
      </c>
      <c r="D24" s="96">
        <v>300</v>
      </c>
      <c r="E24" s="128"/>
      <c r="F24" s="15"/>
    </row>
    <row r="25" spans="1:7" ht="15.75" x14ac:dyDescent="0.25">
      <c r="A25" s="20"/>
      <c r="B25" s="117"/>
      <c r="C25" s="20" t="s">
        <v>11</v>
      </c>
      <c r="D25" s="96">
        <v>300</v>
      </c>
      <c r="E25" s="128"/>
      <c r="F25" s="15"/>
      <c r="G25" s="97"/>
    </row>
    <row r="26" spans="1:7" ht="15.75" x14ac:dyDescent="0.25">
      <c r="A26" s="20"/>
      <c r="B26" s="22"/>
      <c r="C26" s="20" t="s">
        <v>728</v>
      </c>
      <c r="D26" s="21">
        <v>1610</v>
      </c>
      <c r="E26" s="124"/>
      <c r="F26" s="15"/>
      <c r="G26" s="97"/>
    </row>
    <row r="27" spans="1:7" ht="15.75" x14ac:dyDescent="0.25">
      <c r="A27" s="20"/>
      <c r="B27" s="22"/>
      <c r="C27" s="20" t="s">
        <v>31</v>
      </c>
      <c r="D27" s="21">
        <v>35</v>
      </c>
      <c r="E27" s="124"/>
      <c r="F27" s="15"/>
      <c r="G27" s="97"/>
    </row>
    <row r="28" spans="1:7" ht="15.75" x14ac:dyDescent="0.25">
      <c r="A28" s="20"/>
      <c r="B28" s="22"/>
      <c r="C28" s="20" t="s">
        <v>54</v>
      </c>
      <c r="D28" s="22">
        <v>142</v>
      </c>
      <c r="E28" s="124"/>
      <c r="F28" s="15"/>
      <c r="G28" s="97"/>
    </row>
    <row r="29" spans="1:7" ht="15.75" x14ac:dyDescent="0.25">
      <c r="A29" s="20"/>
      <c r="B29" s="22"/>
      <c r="C29" s="20" t="s">
        <v>12</v>
      </c>
      <c r="D29" s="22">
        <f>1635+2675</f>
        <v>4310</v>
      </c>
      <c r="E29" s="124"/>
      <c r="F29" s="15"/>
      <c r="G29" s="97"/>
    </row>
    <row r="30" spans="1:7" ht="15.75" x14ac:dyDescent="0.25">
      <c r="A30" s="20"/>
      <c r="B30" s="22"/>
      <c r="C30" s="20" t="s">
        <v>729</v>
      </c>
      <c r="D30" s="22">
        <v>1155</v>
      </c>
      <c r="E30" s="124"/>
      <c r="F30" s="15"/>
      <c r="G30" s="97"/>
    </row>
    <row r="31" spans="1:7" ht="15.75" x14ac:dyDescent="0.25">
      <c r="A31" s="20"/>
      <c r="B31" s="22"/>
      <c r="C31" s="20" t="s">
        <v>35</v>
      </c>
      <c r="D31" s="22">
        <v>250</v>
      </c>
      <c r="E31" s="124"/>
      <c r="F31" s="15"/>
      <c r="G31" s="97"/>
    </row>
    <row r="32" spans="1:7" ht="15.75" x14ac:dyDescent="0.25">
      <c r="A32" s="20"/>
      <c r="B32" s="22"/>
      <c r="C32" s="20" t="s">
        <v>38</v>
      </c>
      <c r="D32" s="117">
        <v>115</v>
      </c>
      <c r="E32" s="124"/>
      <c r="F32" s="15"/>
      <c r="G32" s="97"/>
    </row>
    <row r="33" spans="1:7" ht="15.75" x14ac:dyDescent="0.25">
      <c r="A33" s="20"/>
      <c r="B33" s="22"/>
      <c r="C33" s="20" t="s">
        <v>730</v>
      </c>
      <c r="D33" s="22">
        <v>1000</v>
      </c>
      <c r="E33" s="124"/>
      <c r="F33" s="15"/>
      <c r="G33" s="97"/>
    </row>
    <row r="34" spans="1:7" ht="15.75" x14ac:dyDescent="0.25">
      <c r="A34" s="20"/>
      <c r="B34" s="22"/>
      <c r="C34" s="20" t="s">
        <v>13</v>
      </c>
      <c r="D34" s="22">
        <v>50</v>
      </c>
      <c r="E34" s="124"/>
      <c r="F34" s="15"/>
      <c r="G34" s="97"/>
    </row>
    <row r="35" spans="1:7" ht="15.75" x14ac:dyDescent="0.25">
      <c r="A35" s="20"/>
      <c r="B35" s="22"/>
      <c r="C35" s="20" t="s">
        <v>731</v>
      </c>
      <c r="D35" s="22">
        <v>1085</v>
      </c>
      <c r="E35" s="124"/>
      <c r="F35" s="15"/>
    </row>
    <row r="36" spans="1:7" ht="15.75" x14ac:dyDescent="0.25">
      <c r="A36" s="20"/>
      <c r="B36" s="22"/>
      <c r="C36" s="20" t="s">
        <v>732</v>
      </c>
      <c r="D36" s="22">
        <v>7570</v>
      </c>
      <c r="E36" s="124"/>
      <c r="F36" s="15"/>
    </row>
    <row r="37" spans="1:7" ht="15.75" x14ac:dyDescent="0.25">
      <c r="A37" s="20"/>
      <c r="B37" s="22"/>
      <c r="C37" s="20" t="s">
        <v>733</v>
      </c>
      <c r="D37" s="22">
        <v>900</v>
      </c>
      <c r="E37" s="124"/>
      <c r="F37" s="15"/>
    </row>
    <row r="38" spans="1:7" ht="15.75" x14ac:dyDescent="0.25">
      <c r="A38" s="20"/>
      <c r="B38" s="22"/>
      <c r="C38" s="20" t="s">
        <v>734</v>
      </c>
      <c r="D38" s="22">
        <v>405</v>
      </c>
      <c r="E38" s="124"/>
      <c r="F38" s="15"/>
    </row>
    <row r="39" spans="1:7" ht="15.75" x14ac:dyDescent="0.25">
      <c r="A39" s="20"/>
      <c r="B39" s="22"/>
      <c r="C39" s="20" t="s">
        <v>16</v>
      </c>
      <c r="D39" s="22">
        <v>4385</v>
      </c>
      <c r="E39" s="124"/>
      <c r="F39" s="15"/>
    </row>
    <row r="40" spans="1:7" ht="15.75" x14ac:dyDescent="0.25">
      <c r="A40" s="20"/>
      <c r="B40" s="22"/>
      <c r="C40" s="20" t="s">
        <v>740</v>
      </c>
      <c r="D40" s="22">
        <v>1500</v>
      </c>
      <c r="E40" s="124"/>
      <c r="F40" s="15"/>
    </row>
    <row r="41" spans="1:7" ht="15.75" x14ac:dyDescent="0.25">
      <c r="A41" s="20"/>
      <c r="B41" s="22"/>
      <c r="C41" s="20" t="s">
        <v>910</v>
      </c>
      <c r="D41" s="22">
        <v>1005</v>
      </c>
      <c r="E41" s="124"/>
      <c r="F41" s="15"/>
    </row>
    <row r="42" spans="1:7" ht="15.75" x14ac:dyDescent="0.25">
      <c r="A42" s="20"/>
      <c r="B42" s="22"/>
      <c r="C42" s="20" t="s">
        <v>738</v>
      </c>
      <c r="D42" s="22">
        <v>1500</v>
      </c>
      <c r="E42" s="124"/>
      <c r="F42" s="15"/>
    </row>
    <row r="43" spans="1:7" ht="15.75" x14ac:dyDescent="0.25">
      <c r="A43" s="20"/>
      <c r="B43" s="22"/>
      <c r="C43" s="20" t="s">
        <v>739</v>
      </c>
      <c r="D43" s="22">
        <v>2000</v>
      </c>
      <c r="E43" s="124"/>
      <c r="F43" s="15"/>
    </row>
    <row r="44" spans="1:7" ht="15.75" x14ac:dyDescent="0.25">
      <c r="A44" s="20"/>
      <c r="B44" s="22"/>
      <c r="C44" s="20" t="s">
        <v>16</v>
      </c>
      <c r="D44" s="22">
        <v>4000</v>
      </c>
      <c r="E44" s="124"/>
      <c r="F44" s="15"/>
    </row>
    <row r="45" spans="1:7" ht="15.75" x14ac:dyDescent="0.25">
      <c r="A45" s="20"/>
      <c r="B45" s="22"/>
      <c r="C45" s="20" t="s">
        <v>741</v>
      </c>
      <c r="D45" s="22">
        <v>190</v>
      </c>
      <c r="E45" s="124"/>
      <c r="F45" s="15"/>
    </row>
    <row r="46" spans="1:7" ht="15.75" x14ac:dyDescent="0.25">
      <c r="A46" s="41"/>
      <c r="B46" s="22"/>
      <c r="C46" s="41" t="s">
        <v>510</v>
      </c>
      <c r="D46" s="32">
        <v>90</v>
      </c>
      <c r="E46" s="124"/>
      <c r="F46" s="15"/>
    </row>
    <row r="47" spans="1:7" ht="15.75" x14ac:dyDescent="0.25">
      <c r="A47" s="41"/>
      <c r="B47" s="22"/>
      <c r="C47" s="41" t="s">
        <v>41</v>
      </c>
      <c r="D47" s="32">
        <v>200</v>
      </c>
      <c r="E47" s="124"/>
      <c r="F47" s="15"/>
    </row>
    <row r="48" spans="1:7" ht="15.75" x14ac:dyDescent="0.25">
      <c r="A48" s="41"/>
      <c r="B48" s="22"/>
      <c r="C48" s="41" t="s">
        <v>743</v>
      </c>
      <c r="D48" s="32">
        <v>31</v>
      </c>
      <c r="E48" s="124"/>
      <c r="F48" s="15"/>
    </row>
    <row r="49" spans="1:6" ht="15.75" x14ac:dyDescent="0.25">
      <c r="A49" s="41"/>
      <c r="B49" s="22"/>
      <c r="C49" s="41" t="s">
        <v>9</v>
      </c>
      <c r="D49" s="32">
        <v>95</v>
      </c>
      <c r="E49" s="124"/>
      <c r="F49" s="15"/>
    </row>
    <row r="50" spans="1:6" ht="15.75" x14ac:dyDescent="0.25">
      <c r="A50" s="41"/>
      <c r="B50" s="22"/>
      <c r="C50" s="41" t="s">
        <v>744</v>
      </c>
      <c r="D50" s="32">
        <v>280</v>
      </c>
      <c r="E50" s="124"/>
      <c r="F50" s="15"/>
    </row>
    <row r="51" spans="1:6" ht="15.75" x14ac:dyDescent="0.25">
      <c r="A51" s="41"/>
      <c r="B51" s="22"/>
      <c r="C51" s="41" t="s">
        <v>505</v>
      </c>
      <c r="D51" s="32">
        <v>257</v>
      </c>
      <c r="E51" s="124"/>
      <c r="F51" s="15"/>
    </row>
    <row r="52" spans="1:6" ht="15.75" x14ac:dyDescent="0.25">
      <c r="A52" s="41"/>
      <c r="B52" s="22"/>
      <c r="C52" s="41" t="s">
        <v>39</v>
      </c>
      <c r="D52" s="32">
        <v>100</v>
      </c>
      <c r="E52" s="124"/>
      <c r="F52" s="15"/>
    </row>
    <row r="53" spans="1:6" ht="15.75" x14ac:dyDescent="0.25">
      <c r="A53" s="41"/>
      <c r="B53" s="22"/>
      <c r="C53" s="41" t="s">
        <v>746</v>
      </c>
      <c r="D53" s="32">
        <v>180</v>
      </c>
      <c r="E53" s="124"/>
      <c r="F53" s="15"/>
    </row>
    <row r="54" spans="1:6" ht="15.75" x14ac:dyDescent="0.25">
      <c r="A54" s="41"/>
      <c r="B54" s="22"/>
      <c r="C54" s="41" t="s">
        <v>155</v>
      </c>
      <c r="D54" s="32">
        <v>850</v>
      </c>
      <c r="E54" s="124"/>
      <c r="F54" s="15"/>
    </row>
    <row r="55" spans="1:6" ht="15.75" x14ac:dyDescent="0.25">
      <c r="A55" s="41"/>
      <c r="B55" s="22"/>
      <c r="C55" s="41" t="s">
        <v>745</v>
      </c>
      <c r="D55" s="32">
        <v>1950</v>
      </c>
      <c r="E55" s="124"/>
      <c r="F55" s="15"/>
    </row>
    <row r="56" spans="1:6" ht="15.75" x14ac:dyDescent="0.25">
      <c r="A56" s="41"/>
      <c r="B56" s="22"/>
      <c r="C56" s="41" t="s">
        <v>728</v>
      </c>
      <c r="D56" s="32">
        <v>930</v>
      </c>
      <c r="E56" s="124"/>
      <c r="F56" s="15"/>
    </row>
    <row r="57" spans="1:6" ht="15.75" x14ac:dyDescent="0.25">
      <c r="A57" s="41"/>
      <c r="B57" s="22"/>
      <c r="C57" s="41" t="s">
        <v>908</v>
      </c>
      <c r="D57" s="32">
        <v>150</v>
      </c>
      <c r="E57" s="124"/>
      <c r="F57" s="15"/>
    </row>
    <row r="58" spans="1:6" ht="15.75" x14ac:dyDescent="0.25">
      <c r="A58" s="41"/>
      <c r="B58" s="22"/>
      <c r="C58" s="41" t="s">
        <v>909</v>
      </c>
      <c r="D58" s="32">
        <v>90</v>
      </c>
      <c r="E58" s="124"/>
      <c r="F58" s="15"/>
    </row>
    <row r="59" spans="1:6" ht="15.75" x14ac:dyDescent="0.25">
      <c r="A59" s="41"/>
      <c r="B59" s="22"/>
      <c r="C59" s="39"/>
      <c r="D59" s="217"/>
      <c r="E59" s="124"/>
      <c r="F59" s="15"/>
    </row>
    <row r="60" spans="1:6" ht="15.75" x14ac:dyDescent="0.25">
      <c r="A60" s="41"/>
      <c r="B60" s="22"/>
      <c r="C60" s="41" t="s">
        <v>912</v>
      </c>
      <c r="D60" s="32">
        <v>7735</v>
      </c>
      <c r="E60" s="124"/>
      <c r="F60" s="15"/>
    </row>
    <row r="61" spans="1:6" ht="15.75" x14ac:dyDescent="0.25">
      <c r="A61" s="41"/>
      <c r="B61" s="22"/>
      <c r="C61" s="41" t="s">
        <v>917</v>
      </c>
      <c r="D61" s="32">
        <v>5000</v>
      </c>
      <c r="E61" s="124"/>
      <c r="F61" s="15"/>
    </row>
    <row r="62" spans="1:6" ht="15.75" x14ac:dyDescent="0.25">
      <c r="A62" s="41"/>
      <c r="B62" s="22"/>
      <c r="C62" s="41" t="s">
        <v>914</v>
      </c>
      <c r="D62" s="32">
        <v>150</v>
      </c>
      <c r="E62" s="124"/>
      <c r="F62" s="15"/>
    </row>
    <row r="63" spans="1:6" ht="15.75" x14ac:dyDescent="0.25">
      <c r="A63" s="41"/>
      <c r="B63" s="22"/>
      <c r="C63" s="41" t="s">
        <v>906</v>
      </c>
      <c r="D63" s="32">
        <v>15</v>
      </c>
      <c r="E63" s="124"/>
      <c r="F63" s="15"/>
    </row>
    <row r="64" spans="1:6" ht="15.75" x14ac:dyDescent="0.25">
      <c r="A64" s="41"/>
      <c r="B64" s="22"/>
      <c r="C64" s="41" t="s">
        <v>907</v>
      </c>
      <c r="D64" s="32">
        <v>30</v>
      </c>
      <c r="E64" s="124"/>
      <c r="F64" s="15"/>
    </row>
    <row r="65" spans="1:6" ht="15.75" x14ac:dyDescent="0.25">
      <c r="A65" s="41"/>
      <c r="B65" s="22"/>
      <c r="C65" s="41" t="s">
        <v>428</v>
      </c>
      <c r="D65" s="32">
        <v>5</v>
      </c>
      <c r="E65" s="124"/>
      <c r="F65" s="15"/>
    </row>
    <row r="66" spans="1:6" ht="15.75" x14ac:dyDescent="0.25">
      <c r="A66" s="41"/>
      <c r="B66" s="22"/>
      <c r="C66" s="20" t="s">
        <v>73</v>
      </c>
      <c r="D66" s="32">
        <v>38</v>
      </c>
      <c r="E66" s="124"/>
      <c r="F66" s="15"/>
    </row>
    <row r="67" spans="1:6" ht="15.75" x14ac:dyDescent="0.25">
      <c r="A67" s="41"/>
      <c r="B67" s="22"/>
      <c r="C67" s="41" t="s">
        <v>464</v>
      </c>
      <c r="D67" s="32">
        <v>10</v>
      </c>
      <c r="E67" s="124"/>
      <c r="F67" s="15"/>
    </row>
    <row r="68" spans="1:6" ht="15.75" x14ac:dyDescent="0.25">
      <c r="A68" s="41"/>
      <c r="B68" s="22"/>
      <c r="C68" s="41" t="s">
        <v>87</v>
      </c>
      <c r="D68" s="32">
        <v>100</v>
      </c>
      <c r="E68" s="124"/>
      <c r="F68" s="15"/>
    </row>
    <row r="69" spans="1:6" x14ac:dyDescent="0.25">
      <c r="A69" s="41"/>
      <c r="B69" s="22"/>
      <c r="C69" s="41" t="s">
        <v>339</v>
      </c>
      <c r="D69" s="32">
        <v>90</v>
      </c>
      <c r="E69" s="124"/>
    </row>
    <row r="70" spans="1:6" x14ac:dyDescent="0.25">
      <c r="A70" s="41"/>
      <c r="B70" s="22"/>
      <c r="C70" s="41" t="s">
        <v>91</v>
      </c>
      <c r="D70" s="32">
        <v>100</v>
      </c>
      <c r="E70" s="124"/>
    </row>
    <row r="71" spans="1:6" x14ac:dyDescent="0.25">
      <c r="A71" s="41"/>
      <c r="B71" s="22"/>
      <c r="C71" s="41" t="s">
        <v>903</v>
      </c>
      <c r="D71" s="32">
        <v>100</v>
      </c>
      <c r="E71" s="124"/>
    </row>
    <row r="72" spans="1:6" x14ac:dyDescent="0.25">
      <c r="A72" s="41"/>
      <c r="B72" s="22"/>
      <c r="C72" s="41" t="s">
        <v>14</v>
      </c>
      <c r="D72" s="32">
        <v>1320</v>
      </c>
      <c r="E72" s="124"/>
    </row>
    <row r="73" spans="1:6" x14ac:dyDescent="0.25">
      <c r="A73" s="41"/>
      <c r="B73" s="22"/>
      <c r="C73" s="41" t="s">
        <v>918</v>
      </c>
      <c r="D73" s="32">
        <v>10000</v>
      </c>
      <c r="E73" s="124"/>
    </row>
    <row r="74" spans="1:6" ht="21" x14ac:dyDescent="0.35">
      <c r="A74" s="41"/>
      <c r="B74" s="22"/>
      <c r="C74" s="41" t="s">
        <v>919</v>
      </c>
      <c r="D74" s="32">
        <v>2000</v>
      </c>
      <c r="E74" s="124"/>
      <c r="F74" s="133"/>
    </row>
    <row r="75" spans="1:6" x14ac:dyDescent="0.25">
      <c r="A75" s="41"/>
      <c r="B75" s="22"/>
      <c r="C75" s="41" t="s">
        <v>920</v>
      </c>
      <c r="D75" s="32">
        <v>5000</v>
      </c>
      <c r="E75" s="124"/>
    </row>
    <row r="76" spans="1:6" x14ac:dyDescent="0.25">
      <c r="A76" s="41"/>
      <c r="B76" s="22"/>
      <c r="C76" s="41" t="s">
        <v>27</v>
      </c>
      <c r="D76" s="32">
        <v>465</v>
      </c>
      <c r="E76" s="124"/>
    </row>
    <row r="77" spans="1:6" x14ac:dyDescent="0.25">
      <c r="A77" s="41"/>
      <c r="B77" s="22"/>
      <c r="C77" s="41"/>
      <c r="D77" s="32"/>
      <c r="E77" s="124"/>
    </row>
    <row r="78" spans="1:6" x14ac:dyDescent="0.25">
      <c r="A78" s="41"/>
      <c r="B78" s="22"/>
      <c r="C78" s="41"/>
      <c r="D78" s="32"/>
      <c r="E78" s="124"/>
    </row>
    <row r="79" spans="1:6" x14ac:dyDescent="0.25">
      <c r="A79" s="41"/>
      <c r="B79" s="22"/>
      <c r="C79" s="41"/>
      <c r="D79" s="32"/>
      <c r="E79" s="124"/>
    </row>
    <row r="80" spans="1:6" x14ac:dyDescent="0.25">
      <c r="A80" s="41"/>
      <c r="B80" s="22"/>
      <c r="C80" s="41"/>
      <c r="D80" s="32"/>
      <c r="E80" s="124"/>
    </row>
    <row r="81" spans="1:5" x14ac:dyDescent="0.25">
      <c r="A81" s="41"/>
      <c r="B81" s="22"/>
      <c r="C81" s="41"/>
      <c r="D81" s="32"/>
      <c r="E81" s="124"/>
    </row>
    <row r="82" spans="1:5" x14ac:dyDescent="0.25">
      <c r="A82" s="41"/>
      <c r="B82" s="22"/>
      <c r="C82" s="41"/>
      <c r="D82" s="32"/>
      <c r="E82" s="124"/>
    </row>
    <row r="83" spans="1:5" ht="23.25" customHeight="1" x14ac:dyDescent="0.25">
      <c r="A83" s="41"/>
      <c r="B83" s="22"/>
      <c r="C83" s="41"/>
      <c r="D83" s="32"/>
      <c r="E83" s="124"/>
    </row>
    <row r="84" spans="1:5" x14ac:dyDescent="0.25">
      <c r="A84" s="41"/>
      <c r="B84" s="22"/>
      <c r="C84" s="41"/>
      <c r="D84" s="32"/>
      <c r="E84" s="124"/>
    </row>
    <row r="85" spans="1:5" x14ac:dyDescent="0.25">
      <c r="A85" s="41"/>
      <c r="B85" s="22"/>
      <c r="C85" s="41"/>
      <c r="D85" s="32"/>
      <c r="E85" s="124"/>
    </row>
    <row r="86" spans="1:5" x14ac:dyDescent="0.25">
      <c r="A86" s="41"/>
      <c r="B86" s="22"/>
      <c r="C86" s="41"/>
      <c r="D86" s="32"/>
      <c r="E86" s="124"/>
    </row>
    <row r="87" spans="1:5" x14ac:dyDescent="0.25">
      <c r="A87" s="41"/>
      <c r="B87" s="22"/>
      <c r="C87" s="41"/>
      <c r="D87" s="32"/>
      <c r="E87" s="124"/>
    </row>
    <row r="88" spans="1:5" x14ac:dyDescent="0.25">
      <c r="A88" s="41"/>
      <c r="B88" s="22"/>
      <c r="C88" s="20"/>
      <c r="D88" s="32"/>
      <c r="E88" s="124"/>
    </row>
    <row r="89" spans="1:5" x14ac:dyDescent="0.25">
      <c r="A89" s="41"/>
      <c r="B89" s="22"/>
      <c r="C89" s="20" t="s">
        <v>234</v>
      </c>
      <c r="D89" s="32">
        <v>20</v>
      </c>
      <c r="E89" s="124"/>
    </row>
    <row r="90" spans="1:5" x14ac:dyDescent="0.25">
      <c r="A90" s="20"/>
      <c r="B90" s="22"/>
      <c r="C90" s="212"/>
      <c r="D90" s="209"/>
      <c r="E90" s="124"/>
    </row>
    <row r="91" spans="1:5" x14ac:dyDescent="0.25">
      <c r="A91" s="41"/>
      <c r="B91" s="22"/>
      <c r="C91" s="212"/>
      <c r="D91" s="209"/>
      <c r="E91" s="124"/>
    </row>
    <row r="92" spans="1:5" ht="24.75" customHeight="1" x14ac:dyDescent="0.25">
      <c r="A92" s="20"/>
      <c r="B92" s="117"/>
      <c r="C92" s="212"/>
      <c r="D92" s="209"/>
      <c r="E92" s="124"/>
    </row>
    <row r="93" spans="1:5" x14ac:dyDescent="0.25">
      <c r="A93" s="41"/>
      <c r="B93" s="22"/>
      <c r="C93" s="212"/>
      <c r="D93" s="209"/>
      <c r="E93" s="124"/>
    </row>
    <row r="94" spans="1:5" x14ac:dyDescent="0.25">
      <c r="A94" s="20"/>
      <c r="B94" s="21"/>
      <c r="C94" s="212"/>
      <c r="D94" s="209"/>
      <c r="E94" s="126"/>
    </row>
    <row r="95" spans="1:5" x14ac:dyDescent="0.25">
      <c r="A95" s="20"/>
      <c r="B95" s="21"/>
      <c r="C95" s="205" t="s">
        <v>50</v>
      </c>
      <c r="D95" s="210">
        <v>500</v>
      </c>
      <c r="E95" s="126"/>
    </row>
    <row r="96" spans="1:5" ht="21.75" thickBot="1" x14ac:dyDescent="0.4">
      <c r="A96" s="130"/>
      <c r="B96" s="131">
        <f>SUBTOTAL(109,Table1372023[Column1])</f>
        <v>122191</v>
      </c>
      <c r="C96" s="132"/>
      <c r="D96" s="133">
        <f>SUBTOTAL(109,Table1372023[Column2])</f>
        <v>108969</v>
      </c>
      <c r="E96" s="133"/>
    </row>
    <row r="97" spans="1:5" ht="27" thickTop="1" x14ac:dyDescent="0.25">
      <c r="D97" s="16">
        <f>Table1372023[[#Totals],[Column1]]-Table1372023[[#Totals],[Column2]]</f>
        <v>13222</v>
      </c>
    </row>
    <row r="98" spans="1:5" ht="15.75" thickBot="1" x14ac:dyDescent="0.3"/>
    <row r="99" spans="1:5" ht="24" thickBot="1" x14ac:dyDescent="0.3">
      <c r="A99" s="76" t="s">
        <v>9</v>
      </c>
      <c r="B99" s="460">
        <v>45120</v>
      </c>
      <c r="C99" s="461"/>
    </row>
    <row r="100" spans="1:5" ht="21" thickBot="1" x14ac:dyDescent="0.3">
      <c r="A100" s="53" t="s">
        <v>137</v>
      </c>
      <c r="B100" s="53" t="s">
        <v>138</v>
      </c>
      <c r="C100" s="53" t="s">
        <v>3</v>
      </c>
    </row>
    <row r="101" spans="1:5" ht="18" x14ac:dyDescent="0.25">
      <c r="A101" s="55">
        <f>800+195</f>
        <v>995</v>
      </c>
      <c r="B101" s="216" t="s">
        <v>569</v>
      </c>
      <c r="C101" s="107">
        <v>907</v>
      </c>
      <c r="E101">
        <f>7837-600</f>
        <v>7237</v>
      </c>
    </row>
    <row r="102" spans="1:5" ht="18" x14ac:dyDescent="0.25">
      <c r="A102" s="60"/>
      <c r="B102" s="94" t="s">
        <v>357</v>
      </c>
      <c r="C102" s="56">
        <v>83</v>
      </c>
      <c r="E102">
        <f>7341</f>
        <v>7341</v>
      </c>
    </row>
    <row r="103" spans="1:5" ht="18" x14ac:dyDescent="0.25">
      <c r="A103" s="60"/>
      <c r="B103" s="94" t="s">
        <v>78</v>
      </c>
      <c r="C103" s="56">
        <v>500</v>
      </c>
      <c r="E103">
        <f>5500+1150+125+465</f>
        <v>7240</v>
      </c>
    </row>
    <row r="104" spans="1:5" ht="18" x14ac:dyDescent="0.25">
      <c r="A104" s="60"/>
      <c r="B104" s="94" t="s">
        <v>33</v>
      </c>
      <c r="C104" s="56">
        <v>25</v>
      </c>
    </row>
    <row r="105" spans="1:5" ht="18" x14ac:dyDescent="0.25">
      <c r="A105" s="60"/>
      <c r="B105" s="94" t="s">
        <v>10</v>
      </c>
      <c r="C105" s="56">
        <v>80</v>
      </c>
    </row>
    <row r="106" spans="1:5" ht="18" x14ac:dyDescent="0.25">
      <c r="A106" s="60"/>
      <c r="B106" s="94" t="s">
        <v>266</v>
      </c>
      <c r="C106" s="56">
        <v>13420</v>
      </c>
    </row>
    <row r="107" spans="1:5" ht="18" x14ac:dyDescent="0.25">
      <c r="A107" s="60"/>
      <c r="B107" s="94" t="s">
        <v>726</v>
      </c>
      <c r="C107" s="56">
        <v>120</v>
      </c>
    </row>
    <row r="108" spans="1:5" ht="18.75" thickBot="1" x14ac:dyDescent="0.3">
      <c r="A108" s="60"/>
      <c r="B108" s="94" t="s">
        <v>358</v>
      </c>
      <c r="C108" s="56">
        <v>20</v>
      </c>
    </row>
    <row r="109" spans="1:5" ht="24" thickBot="1" x14ac:dyDescent="0.3">
      <c r="A109" s="66"/>
      <c r="B109" s="153"/>
      <c r="C109" s="152"/>
      <c r="D109" s="134" t="s">
        <v>43</v>
      </c>
      <c r="E109" s="99">
        <f>E115-E110</f>
        <v>46</v>
      </c>
    </row>
    <row r="110" spans="1:5" ht="21.75" thickBot="1" x14ac:dyDescent="0.3">
      <c r="A110" s="68">
        <f>SUM(A101:A109)</f>
        <v>995</v>
      </c>
      <c r="C110" s="69">
        <f>SUM(C101:C109)</f>
        <v>15155</v>
      </c>
      <c r="D110" s="135" t="s">
        <v>94</v>
      </c>
      <c r="E110" s="85">
        <f>8955-8263</f>
        <v>692</v>
      </c>
    </row>
    <row r="111" spans="1:5" ht="21.75" thickBot="1" x14ac:dyDescent="0.3">
      <c r="A111" s="462" t="s">
        <v>139</v>
      </c>
      <c r="B111" s="463"/>
      <c r="C111" s="71" t="s">
        <v>75</v>
      </c>
      <c r="D111" s="136" t="s">
        <v>65</v>
      </c>
      <c r="E111" s="83">
        <f>530+45+7</f>
        <v>582</v>
      </c>
    </row>
    <row r="112" spans="1:5" ht="24" thickBot="1" x14ac:dyDescent="0.3">
      <c r="A112" s="464">
        <f>C110+A110</f>
        <v>16150</v>
      </c>
      <c r="B112" s="465"/>
      <c r="C112" s="81"/>
      <c r="D112" s="136" t="s">
        <v>25</v>
      </c>
      <c r="E112" s="83">
        <v>28</v>
      </c>
    </row>
    <row r="113" spans="1:5" ht="24" thickBot="1" x14ac:dyDescent="0.3">
      <c r="A113" s="466" t="s">
        <v>99</v>
      </c>
      <c r="B113" s="467"/>
      <c r="C113" s="78">
        <f>A114-C114</f>
        <v>271</v>
      </c>
      <c r="D113" s="82" t="s">
        <v>78</v>
      </c>
      <c r="E113" s="83">
        <v>100</v>
      </c>
    </row>
    <row r="114" spans="1:5" ht="27.75" customHeight="1" thickBot="1" x14ac:dyDescent="0.3">
      <c r="A114" s="468">
        <f>C112+A112</f>
        <v>16150</v>
      </c>
      <c r="B114" s="469"/>
      <c r="C114" s="121">
        <v>15879</v>
      </c>
      <c r="D114" s="82" t="s">
        <v>74</v>
      </c>
      <c r="E114" s="83">
        <v>28</v>
      </c>
    </row>
    <row r="115" spans="1:5" ht="24" thickBot="1" x14ac:dyDescent="0.3">
      <c r="A115"/>
      <c r="B115"/>
      <c r="C115" s="314" t="str">
        <f>IF(C113&gt;0,"زيادة","عجز")</f>
        <v>زيادة</v>
      </c>
      <c r="D115" s="82" t="s">
        <v>164</v>
      </c>
      <c r="E115" s="83">
        <f>SUM(E111:E114)</f>
        <v>738</v>
      </c>
    </row>
    <row r="116" spans="1:5" ht="15.75" thickBot="1" x14ac:dyDescent="0.3">
      <c r="A116"/>
      <c r="B116"/>
    </row>
    <row r="117" spans="1:5" ht="24" thickBot="1" x14ac:dyDescent="0.3">
      <c r="A117" s="76" t="s">
        <v>80</v>
      </c>
      <c r="B117" s="460">
        <v>45120</v>
      </c>
      <c r="C117" s="461"/>
    </row>
    <row r="118" spans="1:5" ht="21" thickBot="1" x14ac:dyDescent="0.3">
      <c r="A118" s="53" t="s">
        <v>137</v>
      </c>
      <c r="B118" s="53" t="s">
        <v>138</v>
      </c>
      <c r="C118" s="53" t="s">
        <v>3</v>
      </c>
    </row>
    <row r="119" spans="1:5" ht="18" x14ac:dyDescent="0.25">
      <c r="A119" s="55">
        <f>10000+2000+500+205</f>
        <v>12705</v>
      </c>
      <c r="B119" s="216" t="s">
        <v>10</v>
      </c>
      <c r="C119" s="107">
        <v>60</v>
      </c>
    </row>
    <row r="120" spans="1:5" ht="18" x14ac:dyDescent="0.25">
      <c r="A120" s="60"/>
      <c r="B120" s="94" t="s">
        <v>8</v>
      </c>
      <c r="C120" s="56">
        <v>255</v>
      </c>
    </row>
    <row r="121" spans="1:5" ht="18" x14ac:dyDescent="0.25">
      <c r="A121" s="60"/>
      <c r="B121" s="94" t="s">
        <v>7</v>
      </c>
      <c r="C121" s="56">
        <v>170</v>
      </c>
    </row>
    <row r="122" spans="1:5" ht="18" x14ac:dyDescent="0.25">
      <c r="A122" s="60"/>
      <c r="B122" s="94" t="s">
        <v>727</v>
      </c>
      <c r="C122" s="56">
        <v>300</v>
      </c>
    </row>
    <row r="123" spans="1:5" ht="18" x14ac:dyDescent="0.25">
      <c r="A123" s="60"/>
      <c r="B123" s="94" t="s">
        <v>11</v>
      </c>
      <c r="C123" s="56">
        <v>300</v>
      </c>
    </row>
    <row r="124" spans="1:5" ht="18" x14ac:dyDescent="0.25">
      <c r="A124" s="60"/>
      <c r="B124" s="94" t="s">
        <v>728</v>
      </c>
      <c r="C124" s="56">
        <v>1610</v>
      </c>
    </row>
    <row r="125" spans="1:5" ht="18" x14ac:dyDescent="0.25">
      <c r="A125" s="60"/>
      <c r="B125" s="94" t="s">
        <v>31</v>
      </c>
      <c r="C125" s="56">
        <v>35</v>
      </c>
    </row>
    <row r="126" spans="1:5" ht="24" customHeight="1" thickBot="1" x14ac:dyDescent="0.3">
      <c r="A126" s="60"/>
      <c r="B126" s="94"/>
      <c r="C126" s="56"/>
    </row>
    <row r="127" spans="1:5" ht="24" thickBot="1" x14ac:dyDescent="0.3">
      <c r="A127" s="66"/>
      <c r="B127" s="153"/>
      <c r="C127" s="152"/>
      <c r="D127" s="134" t="s">
        <v>43</v>
      </c>
      <c r="E127" s="99">
        <f>E133-E128</f>
        <v>42</v>
      </c>
    </row>
    <row r="128" spans="1:5" ht="21.75" thickBot="1" x14ac:dyDescent="0.3">
      <c r="A128" s="68">
        <f>SUM(A119:A127)</f>
        <v>12705</v>
      </c>
      <c r="C128" s="69">
        <f>SUM(C119:C127)</f>
        <v>2730</v>
      </c>
      <c r="D128" s="135" t="s">
        <v>94</v>
      </c>
      <c r="E128" s="85">
        <f>8263-6928</f>
        <v>1335</v>
      </c>
    </row>
    <row r="129" spans="1:5" ht="21.75" thickBot="1" x14ac:dyDescent="0.3">
      <c r="A129" s="462" t="s">
        <v>139</v>
      </c>
      <c r="B129" s="463"/>
      <c r="C129" s="71" t="s">
        <v>75</v>
      </c>
      <c r="D129" s="136" t="s">
        <v>65</v>
      </c>
      <c r="E129" s="83">
        <f>1200+35</f>
        <v>1235</v>
      </c>
    </row>
    <row r="130" spans="1:5" ht="24" thickBot="1" x14ac:dyDescent="0.3">
      <c r="A130" s="464">
        <f>C128+A128</f>
        <v>15435</v>
      </c>
      <c r="B130" s="465"/>
      <c r="C130" s="81"/>
      <c r="D130" s="136" t="s">
        <v>54</v>
      </c>
      <c r="E130" s="83">
        <v>142</v>
      </c>
    </row>
    <row r="131" spans="1:5" ht="24" thickBot="1" x14ac:dyDescent="0.3">
      <c r="A131" s="466" t="s">
        <v>99</v>
      </c>
      <c r="B131" s="467"/>
      <c r="C131" s="78">
        <f>A132-C132</f>
        <v>367</v>
      </c>
      <c r="D131" s="82"/>
      <c r="E131" s="83"/>
    </row>
    <row r="132" spans="1:5" ht="24" thickBot="1" x14ac:dyDescent="0.3">
      <c r="A132" s="468">
        <f>C130+A130</f>
        <v>15435</v>
      </c>
      <c r="B132" s="469"/>
      <c r="C132" s="121">
        <v>15068</v>
      </c>
      <c r="D132" s="82"/>
      <c r="E132" s="83"/>
    </row>
    <row r="133" spans="1:5" ht="24" thickBot="1" x14ac:dyDescent="0.3">
      <c r="A133"/>
      <c r="B133"/>
      <c r="C133" s="314" t="str">
        <f>IF(C131&gt;0,"زيادة","عجز")</f>
        <v>زيادة</v>
      </c>
      <c r="D133" s="82" t="s">
        <v>164</v>
      </c>
      <c r="E133" s="83">
        <f>SUM(E129:E132)</f>
        <v>1377</v>
      </c>
    </row>
    <row r="134" spans="1:5" x14ac:dyDescent="0.25">
      <c r="A134"/>
      <c r="B134"/>
    </row>
    <row r="135" spans="1:5" ht="15.75" thickBot="1" x14ac:dyDescent="0.3">
      <c r="A135"/>
      <c r="B135"/>
    </row>
    <row r="136" spans="1:5" ht="24" thickBot="1" x14ac:dyDescent="0.3">
      <c r="A136" s="76" t="s">
        <v>6</v>
      </c>
      <c r="B136" s="460">
        <v>45120</v>
      </c>
      <c r="C136" s="461"/>
    </row>
    <row r="137" spans="1:5" ht="21" thickBot="1" x14ac:dyDescent="0.3">
      <c r="A137" s="53" t="s">
        <v>137</v>
      </c>
      <c r="B137" s="53" t="s">
        <v>138</v>
      </c>
      <c r="C137" s="53" t="s">
        <v>3</v>
      </c>
    </row>
    <row r="138" spans="1:5" ht="18" x14ac:dyDescent="0.25">
      <c r="A138" s="55">
        <v>55</v>
      </c>
      <c r="B138" s="216" t="s">
        <v>735</v>
      </c>
      <c r="C138" s="107">
        <v>6000</v>
      </c>
    </row>
    <row r="139" spans="1:5" ht="18" x14ac:dyDescent="0.25">
      <c r="A139" s="60"/>
      <c r="B139" s="94" t="s">
        <v>910</v>
      </c>
      <c r="C139" s="56">
        <v>705</v>
      </c>
    </row>
    <row r="140" spans="1:5" ht="18" x14ac:dyDescent="0.25">
      <c r="A140" s="60"/>
      <c r="B140" s="94"/>
      <c r="C140" s="56"/>
    </row>
    <row r="141" spans="1:5" ht="18" x14ac:dyDescent="0.25">
      <c r="A141" s="60"/>
      <c r="B141" s="94"/>
      <c r="C141" s="56"/>
    </row>
    <row r="142" spans="1:5" ht="18" x14ac:dyDescent="0.25">
      <c r="A142" s="60"/>
      <c r="B142" s="94"/>
      <c r="C142" s="56"/>
    </row>
    <row r="143" spans="1:5" ht="18" x14ac:dyDescent="0.25">
      <c r="A143" s="60"/>
      <c r="B143" s="94"/>
      <c r="C143" s="56"/>
    </row>
    <row r="144" spans="1:5" ht="18" x14ac:dyDescent="0.25">
      <c r="A144" s="60"/>
      <c r="B144" s="94"/>
      <c r="C144" s="56"/>
    </row>
    <row r="145" spans="1:5" ht="18.75" thickBot="1" x14ac:dyDescent="0.3">
      <c r="A145" s="60"/>
      <c r="B145" s="94"/>
      <c r="C145" s="56"/>
    </row>
    <row r="146" spans="1:5" ht="24" thickBot="1" x14ac:dyDescent="0.3">
      <c r="A146" s="66"/>
      <c r="B146" s="153"/>
      <c r="C146" s="152"/>
      <c r="D146" s="134" t="s">
        <v>43</v>
      </c>
      <c r="E146" s="99">
        <f>E152-E147</f>
        <v>0</v>
      </c>
    </row>
    <row r="147" spans="1:5" ht="21.75" thickBot="1" x14ac:dyDescent="0.3">
      <c r="A147" s="68">
        <f>SUM(A138:A146)</f>
        <v>55</v>
      </c>
      <c r="C147" s="69">
        <f>SUM(C138:C146)</f>
        <v>6705</v>
      </c>
      <c r="D147" s="135" t="s">
        <v>94</v>
      </c>
      <c r="E147" s="85"/>
    </row>
    <row r="148" spans="1:5" ht="21.75" thickBot="1" x14ac:dyDescent="0.3">
      <c r="A148" s="462" t="s">
        <v>139</v>
      </c>
      <c r="B148" s="463"/>
      <c r="C148" s="71" t="s">
        <v>75</v>
      </c>
      <c r="D148" s="136" t="s">
        <v>65</v>
      </c>
      <c r="E148" s="83"/>
    </row>
    <row r="149" spans="1:5" ht="24" thickBot="1" x14ac:dyDescent="0.3">
      <c r="A149" s="464">
        <f>C147+A147</f>
        <v>6760</v>
      </c>
      <c r="B149" s="465"/>
      <c r="C149" s="81"/>
      <c r="D149" s="136"/>
      <c r="E149" s="83"/>
    </row>
    <row r="150" spans="1:5" ht="24" thickBot="1" x14ac:dyDescent="0.3">
      <c r="A150" s="466" t="s">
        <v>99</v>
      </c>
      <c r="B150" s="467"/>
      <c r="C150" s="78">
        <f>A151-C151</f>
        <v>32</v>
      </c>
      <c r="D150" s="82"/>
      <c r="E150" s="83"/>
    </row>
    <row r="151" spans="1:5" ht="24" thickBot="1" x14ac:dyDescent="0.3">
      <c r="A151" s="468">
        <f>C149+A149</f>
        <v>6760</v>
      </c>
      <c r="B151" s="469"/>
      <c r="C151" s="121">
        <v>6728</v>
      </c>
      <c r="D151" s="82"/>
      <c r="E151" s="83"/>
    </row>
    <row r="152" spans="1:5" ht="24" thickBot="1" x14ac:dyDescent="0.3">
      <c r="A152"/>
      <c r="B152"/>
      <c r="C152" s="314" t="str">
        <f>IF(C150&gt;0,"زيادة","عجز")</f>
        <v>زيادة</v>
      </c>
      <c r="D152" s="82" t="s">
        <v>164</v>
      </c>
      <c r="E152" s="83">
        <f>SUM(E148:E151)</f>
        <v>0</v>
      </c>
    </row>
    <row r="153" spans="1:5" x14ac:dyDescent="0.25">
      <c r="A153"/>
      <c r="B153"/>
    </row>
    <row r="154" spans="1:5" ht="15.75" thickBot="1" x14ac:dyDescent="0.3">
      <c r="A154"/>
      <c r="B154"/>
    </row>
    <row r="155" spans="1:5" ht="24" thickBot="1" x14ac:dyDescent="0.3">
      <c r="A155" s="76" t="s">
        <v>736</v>
      </c>
      <c r="B155" s="460">
        <v>45119</v>
      </c>
      <c r="C155" s="461"/>
    </row>
    <row r="156" spans="1:5" ht="21" thickBot="1" x14ac:dyDescent="0.3">
      <c r="A156" s="53" t="s">
        <v>137</v>
      </c>
      <c r="B156" s="53" t="s">
        <v>138</v>
      </c>
      <c r="C156" s="53" t="s">
        <v>3</v>
      </c>
    </row>
    <row r="157" spans="1:5" ht="18" x14ac:dyDescent="0.25">
      <c r="A157" s="55">
        <v>520</v>
      </c>
      <c r="B157" s="216" t="s">
        <v>735</v>
      </c>
      <c r="C157" s="107">
        <v>1800</v>
      </c>
    </row>
    <row r="158" spans="1:5" ht="18" x14ac:dyDescent="0.25">
      <c r="A158" s="60"/>
      <c r="B158" s="94" t="s">
        <v>230</v>
      </c>
      <c r="C158" s="56">
        <v>300</v>
      </c>
    </row>
    <row r="159" spans="1:5" ht="18" x14ac:dyDescent="0.25">
      <c r="A159" s="60"/>
      <c r="B159" s="94" t="s">
        <v>738</v>
      </c>
      <c r="C159" s="56">
        <v>1500</v>
      </c>
    </row>
    <row r="160" spans="1:5" ht="18" x14ac:dyDescent="0.25">
      <c r="A160" s="60"/>
      <c r="B160" s="94" t="s">
        <v>739</v>
      </c>
      <c r="C160" s="56">
        <v>2000</v>
      </c>
    </row>
    <row r="161" spans="1:5" ht="18" x14ac:dyDescent="0.25">
      <c r="A161" s="60"/>
      <c r="B161" s="94" t="s">
        <v>16</v>
      </c>
      <c r="C161" s="56">
        <v>4000</v>
      </c>
      <c r="E161">
        <f>227-36</f>
        <v>191</v>
      </c>
    </row>
    <row r="162" spans="1:5" ht="18" x14ac:dyDescent="0.25">
      <c r="A162" s="60"/>
      <c r="B162" s="94" t="s">
        <v>741</v>
      </c>
      <c r="C162" s="56">
        <v>190</v>
      </c>
    </row>
    <row r="163" spans="1:5" ht="18" x14ac:dyDescent="0.25">
      <c r="A163" s="60"/>
      <c r="B163" s="94" t="s">
        <v>510</v>
      </c>
      <c r="C163" s="56">
        <v>90</v>
      </c>
    </row>
    <row r="164" spans="1:5" ht="18" x14ac:dyDescent="0.25">
      <c r="A164" s="60"/>
      <c r="B164" s="94" t="s">
        <v>41</v>
      </c>
      <c r="C164" s="56">
        <v>200</v>
      </c>
    </row>
    <row r="165" spans="1:5" ht="24" customHeight="1" x14ac:dyDescent="0.25">
      <c r="A165" s="60"/>
      <c r="B165" s="94" t="s">
        <v>743</v>
      </c>
      <c r="C165" s="56">
        <v>31</v>
      </c>
    </row>
    <row r="166" spans="1:5" ht="18" x14ac:dyDescent="0.25">
      <c r="A166" s="60"/>
      <c r="B166" s="94" t="s">
        <v>9</v>
      </c>
      <c r="C166" s="56">
        <v>95</v>
      </c>
    </row>
    <row r="167" spans="1:5" ht="18" x14ac:dyDescent="0.25">
      <c r="A167" s="60"/>
      <c r="B167" s="94" t="s">
        <v>744</v>
      </c>
      <c r="C167" s="56">
        <v>280</v>
      </c>
    </row>
    <row r="168" spans="1:5" ht="18" x14ac:dyDescent="0.25">
      <c r="A168" s="60"/>
      <c r="B168" s="94" t="s">
        <v>505</v>
      </c>
      <c r="C168" s="56">
        <v>257</v>
      </c>
    </row>
    <row r="169" spans="1:5" ht="18" x14ac:dyDescent="0.25">
      <c r="A169" s="60"/>
      <c r="B169" s="94" t="s">
        <v>39</v>
      </c>
      <c r="C169" s="56">
        <v>100</v>
      </c>
    </row>
    <row r="170" spans="1:5" ht="18" customHeight="1" x14ac:dyDescent="0.25">
      <c r="A170" s="60"/>
      <c r="B170" s="94" t="s">
        <v>746</v>
      </c>
      <c r="C170" s="56">
        <v>180</v>
      </c>
    </row>
    <row r="171" spans="1:5" ht="18" customHeight="1" x14ac:dyDescent="0.25">
      <c r="A171" s="60"/>
      <c r="B171" s="94" t="s">
        <v>155</v>
      </c>
      <c r="C171" s="56">
        <v>850</v>
      </c>
    </row>
    <row r="172" spans="1:5" ht="18" x14ac:dyDescent="0.25">
      <c r="A172" s="60"/>
      <c r="B172" s="94" t="s">
        <v>745</v>
      </c>
      <c r="C172" s="56">
        <v>1950</v>
      </c>
    </row>
    <row r="173" spans="1:5" ht="18" x14ac:dyDescent="0.25">
      <c r="A173" s="60"/>
      <c r="B173" s="94" t="s">
        <v>728</v>
      </c>
      <c r="C173" s="56">
        <v>930</v>
      </c>
    </row>
    <row r="174" spans="1:5" ht="18" x14ac:dyDescent="0.25">
      <c r="A174" s="60"/>
      <c r="B174" s="94"/>
      <c r="C174" s="56"/>
    </row>
    <row r="175" spans="1:5" ht="18.75" thickBot="1" x14ac:dyDescent="0.3">
      <c r="A175" s="60"/>
      <c r="B175" s="94"/>
      <c r="C175" s="56"/>
    </row>
    <row r="176" spans="1:5" ht="24" thickBot="1" x14ac:dyDescent="0.3">
      <c r="A176" s="66"/>
      <c r="B176" s="153"/>
      <c r="C176" s="152"/>
      <c r="D176" s="134" t="s">
        <v>43</v>
      </c>
      <c r="E176" s="99">
        <f>E182-E177</f>
        <v>8</v>
      </c>
    </row>
    <row r="177" spans="1:5" ht="21.75" thickBot="1" x14ac:dyDescent="0.3">
      <c r="A177" s="68">
        <f>SUM(A157:A176)</f>
        <v>520</v>
      </c>
      <c r="C177" s="69">
        <f>SUM(C157:C176)</f>
        <v>14753</v>
      </c>
      <c r="D177" s="135" t="s">
        <v>94</v>
      </c>
      <c r="E177" s="85">
        <f>6701-6606</f>
        <v>95</v>
      </c>
    </row>
    <row r="178" spans="1:5" ht="21.75" customHeight="1" thickBot="1" x14ac:dyDescent="0.3">
      <c r="A178" s="462" t="s">
        <v>139</v>
      </c>
      <c r="B178" s="463"/>
      <c r="C178" s="71" t="s">
        <v>75</v>
      </c>
      <c r="D178" s="136" t="s">
        <v>65</v>
      </c>
      <c r="E178" s="83">
        <f>2+101</f>
        <v>103</v>
      </c>
    </row>
    <row r="179" spans="1:5" ht="24" thickBot="1" x14ac:dyDescent="0.3">
      <c r="A179" s="464">
        <f>C177+A177</f>
        <v>15273</v>
      </c>
      <c r="B179" s="465"/>
      <c r="C179" s="81">
        <f>150+199+145</f>
        <v>494</v>
      </c>
      <c r="D179" s="136"/>
      <c r="E179" s="83"/>
    </row>
    <row r="180" spans="1:5" ht="18" customHeight="1" thickBot="1" x14ac:dyDescent="0.3">
      <c r="A180" s="466" t="s">
        <v>99</v>
      </c>
      <c r="B180" s="467"/>
      <c r="C180" s="78">
        <f>A181-C181</f>
        <v>91</v>
      </c>
      <c r="D180" s="82"/>
      <c r="E180" s="83"/>
    </row>
    <row r="181" spans="1:5" ht="24" thickBot="1" x14ac:dyDescent="0.3">
      <c r="A181" s="468">
        <f>C179+A179</f>
        <v>15767</v>
      </c>
      <c r="B181" s="469"/>
      <c r="C181" s="121">
        <v>15676</v>
      </c>
      <c r="D181" s="82"/>
      <c r="E181" s="83"/>
    </row>
    <row r="182" spans="1:5" ht="18" customHeight="1" thickBot="1" x14ac:dyDescent="0.3">
      <c r="A182"/>
      <c r="B182"/>
      <c r="C182" s="314" t="str">
        <f>IF(C180&gt;0,"زيادة","عجز")</f>
        <v>زيادة</v>
      </c>
      <c r="D182" s="82" t="s">
        <v>164</v>
      </c>
      <c r="E182" s="83">
        <f>SUM(E178:E181)</f>
        <v>103</v>
      </c>
    </row>
    <row r="183" spans="1:5" ht="18" customHeight="1" thickBot="1" x14ac:dyDescent="0.3">
      <c r="A183"/>
      <c r="B183"/>
    </row>
    <row r="184" spans="1:5" ht="24" thickBot="1" x14ac:dyDescent="0.3">
      <c r="A184" s="76" t="s">
        <v>363</v>
      </c>
      <c r="B184" s="460">
        <v>45120</v>
      </c>
      <c r="C184" s="461"/>
    </row>
    <row r="185" spans="1:5" ht="21" thickBot="1" x14ac:dyDescent="0.3">
      <c r="A185" s="53" t="s">
        <v>137</v>
      </c>
      <c r="B185" s="53" t="s">
        <v>138</v>
      </c>
      <c r="C185" s="53" t="s">
        <v>3</v>
      </c>
    </row>
    <row r="186" spans="1:5" ht="18" x14ac:dyDescent="0.25">
      <c r="A186" s="55">
        <f>4000+1000+500+40</f>
        <v>5540</v>
      </c>
      <c r="B186" s="216" t="s">
        <v>905</v>
      </c>
      <c r="C186" s="107">
        <v>5000</v>
      </c>
    </row>
    <row r="187" spans="1:5" ht="18" x14ac:dyDescent="0.25">
      <c r="A187" s="60"/>
      <c r="B187" s="94" t="s">
        <v>50</v>
      </c>
      <c r="C187" s="56">
        <v>150</v>
      </c>
    </row>
    <row r="188" spans="1:5" ht="18" x14ac:dyDescent="0.25">
      <c r="A188" s="60"/>
      <c r="B188" s="94" t="s">
        <v>906</v>
      </c>
      <c r="C188" s="56">
        <v>15</v>
      </c>
    </row>
    <row r="189" spans="1:5" ht="18" x14ac:dyDescent="0.25">
      <c r="A189" s="60"/>
      <c r="B189" s="94" t="s">
        <v>907</v>
      </c>
      <c r="C189" s="56">
        <v>30</v>
      </c>
    </row>
    <row r="190" spans="1:5" ht="18" x14ac:dyDescent="0.25">
      <c r="A190" s="60"/>
      <c r="B190" s="94" t="s">
        <v>368</v>
      </c>
      <c r="C190" s="56">
        <v>4000</v>
      </c>
    </row>
    <row r="191" spans="1:5" ht="18" x14ac:dyDescent="0.25">
      <c r="A191" s="60"/>
      <c r="B191" s="94" t="s">
        <v>428</v>
      </c>
      <c r="C191" s="56">
        <v>5</v>
      </c>
    </row>
    <row r="192" spans="1:5" ht="18" x14ac:dyDescent="0.25">
      <c r="A192" s="60"/>
      <c r="B192" s="94"/>
      <c r="C192" s="56"/>
    </row>
    <row r="193" spans="1:5" ht="23.25" customHeight="1" thickBot="1" x14ac:dyDescent="0.3">
      <c r="A193" s="60"/>
      <c r="B193" s="94"/>
      <c r="C193" s="56"/>
    </row>
    <row r="194" spans="1:5" ht="21.75" customHeight="1" thickBot="1" x14ac:dyDescent="0.3">
      <c r="A194" s="66"/>
      <c r="B194" s="153"/>
      <c r="C194" s="152"/>
      <c r="D194" s="134" t="s">
        <v>43</v>
      </c>
      <c r="E194" s="99">
        <f>E200-E195</f>
        <v>77</v>
      </c>
    </row>
    <row r="195" spans="1:5" ht="18" customHeight="1" thickBot="1" x14ac:dyDescent="0.3">
      <c r="A195" s="69">
        <f>SUM(A186:A194)</f>
        <v>5540</v>
      </c>
      <c r="C195" s="69">
        <f>SUM(C186:C194)</f>
        <v>9200</v>
      </c>
      <c r="D195" s="135" t="s">
        <v>94</v>
      </c>
      <c r="E195" s="85">
        <f>6928-6000</f>
        <v>928</v>
      </c>
    </row>
    <row r="196" spans="1:5" ht="21.75" thickBot="1" x14ac:dyDescent="0.3">
      <c r="A196" s="462" t="s">
        <v>139</v>
      </c>
      <c r="B196" s="463"/>
      <c r="C196" s="71" t="s">
        <v>75</v>
      </c>
      <c r="D196" s="136" t="s">
        <v>65</v>
      </c>
      <c r="E196" s="83">
        <f>850+135</f>
        <v>985</v>
      </c>
    </row>
    <row r="197" spans="1:5" ht="24" thickBot="1" x14ac:dyDescent="0.3">
      <c r="A197" s="464">
        <f>C195+A195</f>
        <v>14740</v>
      </c>
      <c r="B197" s="465"/>
      <c r="C197" s="81"/>
      <c r="D197" s="136" t="s">
        <v>234</v>
      </c>
      <c r="E197" s="83">
        <v>20</v>
      </c>
    </row>
    <row r="198" spans="1:5" ht="24" thickBot="1" x14ac:dyDescent="0.3">
      <c r="A198" s="466" t="s">
        <v>99</v>
      </c>
      <c r="B198" s="467"/>
      <c r="C198" s="78">
        <f>A199-C199</f>
        <v>-179</v>
      </c>
      <c r="D198" s="82"/>
      <c r="E198" s="83"/>
    </row>
    <row r="199" spans="1:5" ht="24" thickBot="1" x14ac:dyDescent="0.3">
      <c r="A199" s="468">
        <f>C197+A197</f>
        <v>14740</v>
      </c>
      <c r="B199" s="469"/>
      <c r="C199" s="121">
        <v>14919</v>
      </c>
      <c r="D199" s="82"/>
      <c r="E199" s="83"/>
    </row>
    <row r="200" spans="1:5" ht="24" thickBot="1" x14ac:dyDescent="0.3">
      <c r="A200"/>
      <c r="B200" s="9" t="s">
        <v>1056</v>
      </c>
      <c r="C200" s="314" t="str">
        <f>IF(C198&gt;0,"زيادة","عجز")</f>
        <v>عجز</v>
      </c>
      <c r="D200" s="82" t="s">
        <v>164</v>
      </c>
      <c r="E200" s="83">
        <f>SUM(E196:E199)</f>
        <v>1005</v>
      </c>
    </row>
    <row r="201" spans="1:5" x14ac:dyDescent="0.25">
      <c r="A201"/>
      <c r="B201"/>
    </row>
    <row r="202" spans="1:5" ht="15.75" thickBot="1" x14ac:dyDescent="0.3">
      <c r="A202"/>
      <c r="B202"/>
    </row>
    <row r="203" spans="1:5" ht="24" thickBot="1" x14ac:dyDescent="0.3">
      <c r="A203" s="76" t="s">
        <v>15</v>
      </c>
      <c r="B203" s="460">
        <v>45120</v>
      </c>
      <c r="C203" s="461"/>
    </row>
    <row r="204" spans="1:5" ht="21" thickBot="1" x14ac:dyDescent="0.3">
      <c r="A204" s="53" t="s">
        <v>137</v>
      </c>
      <c r="B204" s="53" t="s">
        <v>138</v>
      </c>
      <c r="C204" s="53" t="s">
        <v>3</v>
      </c>
    </row>
    <row r="205" spans="1:5" ht="18" x14ac:dyDescent="0.25">
      <c r="A205" s="55">
        <f>10000+4800+50+500+80</f>
        <v>15430</v>
      </c>
      <c r="B205" s="216" t="s">
        <v>73</v>
      </c>
      <c r="C205" s="107">
        <v>38</v>
      </c>
    </row>
    <row r="206" spans="1:5" ht="18" x14ac:dyDescent="0.25">
      <c r="A206" s="60"/>
      <c r="B206" s="94" t="s">
        <v>464</v>
      </c>
      <c r="C206" s="56">
        <v>10</v>
      </c>
    </row>
    <row r="207" spans="1:5" ht="18" x14ac:dyDescent="0.25">
      <c r="A207" s="60"/>
      <c r="B207" s="94" t="s">
        <v>87</v>
      </c>
      <c r="C207" s="56">
        <v>100</v>
      </c>
    </row>
    <row r="208" spans="1:5" ht="18" x14ac:dyDescent="0.25">
      <c r="A208" s="60"/>
      <c r="B208" s="94" t="s">
        <v>339</v>
      </c>
      <c r="C208" s="56">
        <v>90</v>
      </c>
    </row>
    <row r="209" spans="1:5" ht="18" x14ac:dyDescent="0.25">
      <c r="A209" s="60"/>
      <c r="B209" s="94" t="s">
        <v>91</v>
      </c>
      <c r="C209" s="56">
        <v>100</v>
      </c>
    </row>
    <row r="210" spans="1:5" ht="18" x14ac:dyDescent="0.25">
      <c r="A210" s="60"/>
      <c r="B210" s="94" t="s">
        <v>903</v>
      </c>
      <c r="C210" s="56">
        <v>100</v>
      </c>
    </row>
    <row r="211" spans="1:5" ht="18" x14ac:dyDescent="0.25">
      <c r="A211" s="60"/>
      <c r="B211" s="94"/>
      <c r="C211" s="56"/>
    </row>
    <row r="212" spans="1:5" ht="18.75" thickBot="1" x14ac:dyDescent="0.3">
      <c r="A212" s="60"/>
      <c r="B212" s="94"/>
      <c r="C212" s="56"/>
    </row>
    <row r="213" spans="1:5" ht="24" thickBot="1" x14ac:dyDescent="0.3">
      <c r="A213" s="66"/>
      <c r="B213" s="153"/>
      <c r="C213" s="152"/>
      <c r="D213" s="134" t="s">
        <v>43</v>
      </c>
      <c r="E213" s="99">
        <f>E219-E214</f>
        <v>2</v>
      </c>
    </row>
    <row r="214" spans="1:5" ht="21.75" thickBot="1" x14ac:dyDescent="0.3">
      <c r="A214" s="69">
        <f>SUM(A205:A213)</f>
        <v>15430</v>
      </c>
      <c r="C214" s="69">
        <f>SUM(C205:C213)</f>
        <v>438</v>
      </c>
      <c r="D214" s="135" t="s">
        <v>94</v>
      </c>
      <c r="E214" s="85">
        <f>6462-6222</f>
        <v>240</v>
      </c>
    </row>
    <row r="215" spans="1:5" ht="21.75" thickBot="1" x14ac:dyDescent="0.3">
      <c r="A215" s="462" t="s">
        <v>139</v>
      </c>
      <c r="B215" s="463"/>
      <c r="C215" s="71" t="s">
        <v>75</v>
      </c>
      <c r="D215" s="136" t="s">
        <v>65</v>
      </c>
      <c r="E215" s="83">
        <f>2+240</f>
        <v>242</v>
      </c>
    </row>
    <row r="216" spans="1:5" ht="24" thickBot="1" x14ac:dyDescent="0.3">
      <c r="A216" s="464">
        <f>C214+A214</f>
        <v>15868</v>
      </c>
      <c r="B216" s="465"/>
      <c r="C216" s="81"/>
      <c r="D216" s="136"/>
      <c r="E216" s="83"/>
    </row>
    <row r="217" spans="1:5" ht="23.25" customHeight="1" thickBot="1" x14ac:dyDescent="0.3">
      <c r="A217" s="466" t="s">
        <v>99</v>
      </c>
      <c r="B217" s="467"/>
      <c r="C217" s="78">
        <f>A218-C218</f>
        <v>-28</v>
      </c>
      <c r="D217" s="82"/>
      <c r="E217" s="83"/>
    </row>
    <row r="218" spans="1:5" ht="24" thickBot="1" x14ac:dyDescent="0.3">
      <c r="A218" s="468">
        <f>C216+A216</f>
        <v>15868</v>
      </c>
      <c r="B218" s="469"/>
      <c r="C218" s="121">
        <v>15896</v>
      </c>
      <c r="D218" s="82"/>
      <c r="E218" s="83"/>
    </row>
    <row r="219" spans="1:5" ht="24" thickBot="1" x14ac:dyDescent="0.3">
      <c r="A219"/>
      <c r="B219"/>
      <c r="C219" s="314" t="str">
        <f>IF(C217&gt;0,"زيادة","عجز")</f>
        <v>عجز</v>
      </c>
      <c r="D219" s="82" t="s">
        <v>164</v>
      </c>
      <c r="E219" s="83">
        <f>SUM(E215:E218)</f>
        <v>242</v>
      </c>
    </row>
    <row r="220" spans="1:5" x14ac:dyDescent="0.25">
      <c r="A220"/>
      <c r="B220"/>
    </row>
    <row r="221" spans="1:5" x14ac:dyDescent="0.25">
      <c r="A221"/>
      <c r="B221"/>
    </row>
    <row r="222" spans="1:5" x14ac:dyDescent="0.25">
      <c r="A222"/>
      <c r="B222"/>
    </row>
    <row r="223" spans="1:5" x14ac:dyDescent="0.25">
      <c r="A223"/>
      <c r="B223"/>
    </row>
    <row r="224" spans="1:5" x14ac:dyDescent="0.25">
      <c r="A224"/>
      <c r="B224"/>
    </row>
    <row r="225" spans="1:2" x14ac:dyDescent="0.25">
      <c r="A225"/>
      <c r="B225">
        <f>5*82</f>
        <v>410</v>
      </c>
    </row>
    <row r="226" spans="1:2" x14ac:dyDescent="0.25">
      <c r="A226"/>
      <c r="B226">
        <f>770</f>
        <v>770</v>
      </c>
    </row>
    <row r="227" spans="1:2" x14ac:dyDescent="0.25">
      <c r="A227"/>
      <c r="B227">
        <f>5*77</f>
        <v>385</v>
      </c>
    </row>
    <row r="228" spans="1:2" x14ac:dyDescent="0.25">
      <c r="A228"/>
      <c r="B228">
        <f>5*72</f>
        <v>360</v>
      </c>
    </row>
    <row r="229" spans="1:2" x14ac:dyDescent="0.25">
      <c r="A229"/>
      <c r="B229">
        <f>15*127</f>
        <v>1905</v>
      </c>
    </row>
    <row r="230" spans="1:2" x14ac:dyDescent="0.25">
      <c r="A230"/>
      <c r="B230">
        <f>62*5</f>
        <v>310</v>
      </c>
    </row>
    <row r="231" spans="1:2" ht="21.75" customHeight="1" x14ac:dyDescent="0.25">
      <c r="A231"/>
      <c r="B231">
        <v>306</v>
      </c>
    </row>
    <row r="232" spans="1:2" ht="21" customHeight="1" x14ac:dyDescent="0.25">
      <c r="A232"/>
      <c r="B232">
        <f>140*4</f>
        <v>560</v>
      </c>
    </row>
    <row r="233" spans="1:2" x14ac:dyDescent="0.25">
      <c r="A233"/>
      <c r="B233">
        <f>306</f>
        <v>306</v>
      </c>
    </row>
    <row r="234" spans="1:2" ht="19.5" customHeight="1" x14ac:dyDescent="0.25">
      <c r="A234"/>
      <c r="B234">
        <v>72</v>
      </c>
    </row>
    <row r="235" spans="1:2" ht="19.5" customHeight="1" x14ac:dyDescent="0.25">
      <c r="A235"/>
      <c r="B235">
        <v>250</v>
      </c>
    </row>
    <row r="236" spans="1:2" x14ac:dyDescent="0.25">
      <c r="A236"/>
      <c r="B236">
        <f>120*4</f>
        <v>480</v>
      </c>
    </row>
    <row r="237" spans="1:2" x14ac:dyDescent="0.25">
      <c r="A237"/>
      <c r="B237">
        <f>115*4</f>
        <v>460</v>
      </c>
    </row>
    <row r="238" spans="1:2" x14ac:dyDescent="0.25">
      <c r="A238"/>
      <c r="B238">
        <f>115*4</f>
        <v>460</v>
      </c>
    </row>
    <row r="239" spans="1:2" x14ac:dyDescent="0.25">
      <c r="A239"/>
      <c r="B239">
        <f>95*5</f>
        <v>475</v>
      </c>
    </row>
    <row r="240" spans="1:2" x14ac:dyDescent="0.25">
      <c r="A240"/>
      <c r="B240">
        <f>45*5</f>
        <v>225</v>
      </c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6" x14ac:dyDescent="0.25">
      <c r="A353"/>
      <c r="B353"/>
      <c r="F353">
        <f>2778+2841-2043-2544</f>
        <v>1032</v>
      </c>
    </row>
    <row r="354" spans="1:6" x14ac:dyDescent="0.25">
      <c r="A354"/>
      <c r="B354"/>
      <c r="F354">
        <v>920</v>
      </c>
    </row>
    <row r="355" spans="1:6" x14ac:dyDescent="0.25">
      <c r="A355"/>
      <c r="B355"/>
    </row>
    <row r="356" spans="1:6" x14ac:dyDescent="0.25">
      <c r="A356"/>
      <c r="B356"/>
    </row>
    <row r="357" spans="1:6" x14ac:dyDescent="0.25">
      <c r="A357"/>
      <c r="B357"/>
    </row>
    <row r="358" spans="1:6" x14ac:dyDescent="0.25">
      <c r="A358"/>
      <c r="B358"/>
    </row>
    <row r="359" spans="1:6" x14ac:dyDescent="0.25">
      <c r="A359"/>
      <c r="B359"/>
    </row>
    <row r="360" spans="1:6" x14ac:dyDescent="0.25">
      <c r="A360"/>
      <c r="B360"/>
    </row>
    <row r="361" spans="1:6" x14ac:dyDescent="0.25">
      <c r="A361"/>
      <c r="B361"/>
    </row>
    <row r="362" spans="1:6" x14ac:dyDescent="0.25">
      <c r="A362"/>
      <c r="B362"/>
    </row>
    <row r="363" spans="1:6" x14ac:dyDescent="0.25">
      <c r="A363"/>
      <c r="B363"/>
    </row>
    <row r="364" spans="1:6" x14ac:dyDescent="0.25">
      <c r="A364"/>
      <c r="B364"/>
    </row>
    <row r="365" spans="1:6" x14ac:dyDescent="0.25">
      <c r="A365"/>
      <c r="B365"/>
    </row>
    <row r="366" spans="1:6" x14ac:dyDescent="0.25">
      <c r="A366"/>
      <c r="B366"/>
    </row>
    <row r="367" spans="1:6" x14ac:dyDescent="0.25">
      <c r="A367"/>
      <c r="B367"/>
    </row>
    <row r="368" spans="1:6" x14ac:dyDescent="0.25">
      <c r="A368"/>
      <c r="B368"/>
    </row>
    <row r="369" spans="1:7" x14ac:dyDescent="0.25">
      <c r="A369"/>
      <c r="B369"/>
    </row>
    <row r="370" spans="1:7" x14ac:dyDescent="0.25">
      <c r="A370"/>
      <c r="B370"/>
    </row>
    <row r="371" spans="1:7" x14ac:dyDescent="0.25">
      <c r="A371"/>
      <c r="B371"/>
    </row>
    <row r="372" spans="1:7" x14ac:dyDescent="0.25">
      <c r="A372"/>
      <c r="B372"/>
    </row>
    <row r="373" spans="1:7" x14ac:dyDescent="0.25">
      <c r="A373"/>
      <c r="B373"/>
      <c r="G373" t="e">
        <f>#REF!-#REF!</f>
        <v>#REF!</v>
      </c>
    </row>
    <row r="374" spans="1:7" x14ac:dyDescent="0.25">
      <c r="A374"/>
      <c r="B374"/>
    </row>
    <row r="375" spans="1:7" x14ac:dyDescent="0.25">
      <c r="A375"/>
      <c r="B375"/>
    </row>
    <row r="376" spans="1:7" x14ac:dyDescent="0.25">
      <c r="A376"/>
      <c r="B376"/>
    </row>
    <row r="377" spans="1:7" x14ac:dyDescent="0.25">
      <c r="A377"/>
      <c r="B377"/>
    </row>
    <row r="378" spans="1:7" x14ac:dyDescent="0.25">
      <c r="A378"/>
      <c r="B378"/>
    </row>
    <row r="379" spans="1:7" x14ac:dyDescent="0.25">
      <c r="A379"/>
      <c r="B379"/>
    </row>
    <row r="380" spans="1:7" x14ac:dyDescent="0.25">
      <c r="A380"/>
      <c r="B380"/>
    </row>
    <row r="381" spans="1:7" x14ac:dyDescent="0.25">
      <c r="A381"/>
      <c r="B381"/>
    </row>
    <row r="382" spans="1:7" x14ac:dyDescent="0.25">
      <c r="A382"/>
      <c r="B382"/>
    </row>
    <row r="383" spans="1:7" x14ac:dyDescent="0.25">
      <c r="A383"/>
      <c r="B383"/>
    </row>
    <row r="384" spans="1:7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</sheetData>
  <mergeCells count="30">
    <mergeCell ref="B203:C203"/>
    <mergeCell ref="A215:B215"/>
    <mergeCell ref="A216:B216"/>
    <mergeCell ref="A217:B217"/>
    <mergeCell ref="A218:B218"/>
    <mergeCell ref="B117:C117"/>
    <mergeCell ref="A129:B129"/>
    <mergeCell ref="A130:B130"/>
    <mergeCell ref="A131:B131"/>
    <mergeCell ref="A132:B132"/>
    <mergeCell ref="B99:C99"/>
    <mergeCell ref="A111:B111"/>
    <mergeCell ref="A112:B112"/>
    <mergeCell ref="A113:B113"/>
    <mergeCell ref="A114:B114"/>
    <mergeCell ref="B136:C136"/>
    <mergeCell ref="A148:B148"/>
    <mergeCell ref="A149:B149"/>
    <mergeCell ref="A150:B150"/>
    <mergeCell ref="A151:B151"/>
    <mergeCell ref="B155:C155"/>
    <mergeCell ref="A178:B178"/>
    <mergeCell ref="A179:B179"/>
    <mergeCell ref="A180:B180"/>
    <mergeCell ref="A181:B181"/>
    <mergeCell ref="B184:C184"/>
    <mergeCell ref="A196:B196"/>
    <mergeCell ref="A197:B197"/>
    <mergeCell ref="A198:B198"/>
    <mergeCell ref="A199:B199"/>
  </mergeCells>
  <conditionalFormatting sqref="C115">
    <cfRule type="expression" dxfId="39" priority="11">
      <formula>C115="عجز"</formula>
    </cfRule>
    <cfRule type="expression" dxfId="38" priority="12">
      <formula>C115="زيادة"</formula>
    </cfRule>
  </conditionalFormatting>
  <conditionalFormatting sqref="C133">
    <cfRule type="expression" dxfId="37" priority="9">
      <formula>C133="عجز"</formula>
    </cfRule>
    <cfRule type="expression" dxfId="36" priority="10">
      <formula>C133="زيادة"</formula>
    </cfRule>
  </conditionalFormatting>
  <conditionalFormatting sqref="C152">
    <cfRule type="expression" dxfId="35" priority="7">
      <formula>C152="عجز"</formula>
    </cfRule>
    <cfRule type="expression" dxfId="34" priority="8">
      <formula>C152="زيادة"</formula>
    </cfRule>
  </conditionalFormatting>
  <conditionalFormatting sqref="C182">
    <cfRule type="expression" dxfId="33" priority="5">
      <formula>C182="عجز"</formula>
    </cfRule>
    <cfRule type="expression" dxfId="32" priority="6">
      <formula>C182="زيادة"</formula>
    </cfRule>
  </conditionalFormatting>
  <conditionalFormatting sqref="C200">
    <cfRule type="expression" dxfId="31" priority="3">
      <formula>C200="عجز"</formula>
    </cfRule>
    <cfRule type="expression" dxfId="30" priority="4">
      <formula>C200="زيادة"</formula>
    </cfRule>
  </conditionalFormatting>
  <conditionalFormatting sqref="C219">
    <cfRule type="expression" dxfId="29" priority="1">
      <formula>C219="عجز"</formula>
    </cfRule>
    <cfRule type="expression" dxfId="28" priority="2">
      <formula>C219="زيادة"</formula>
    </cfRule>
  </conditionalFormatting>
  <pageMargins left="0.7" right="0.7" top="0.75" bottom="0.75" header="0.3" footer="0.3"/>
  <pageSetup paperSize="260" orientation="portrait" horizontalDpi="203" verticalDpi="20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949854-2380-4452-8ED0-EC741E7DF494}">
          <x14:formula1>
            <xm:f>data!$A$57:$A$70</xm:f>
          </x14:formula1>
          <xm:sqref>C90:C95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5609-DE93-4A1C-8913-82BCC6D6420A}">
  <sheetPr codeName="Sheet26"/>
  <dimension ref="A1:G401"/>
  <sheetViews>
    <sheetView rightToLeft="1" topLeftCell="A48" zoomScale="115" zoomScaleNormal="115" workbookViewId="0">
      <selection activeCell="C171" sqref="C171"/>
    </sheetView>
  </sheetViews>
  <sheetFormatPr defaultRowHeight="15" x14ac:dyDescent="0.25"/>
  <cols>
    <col min="1" max="1" width="32.85546875" style="9" bestFit="1" customWidth="1"/>
    <col min="2" max="2" width="23.42578125" style="10" customWidth="1"/>
    <col min="3" max="3" width="21.42578125" customWidth="1"/>
    <col min="4" max="4" width="21" customWidth="1"/>
    <col min="5" max="5" width="24.140625" customWidth="1"/>
    <col min="6" max="6" width="6.7109375" bestFit="1" customWidth="1"/>
    <col min="7" max="7" width="45.85546875" customWidth="1"/>
    <col min="8" max="8" width="14.5703125" customWidth="1"/>
    <col min="9" max="9" width="10.7109375" customWidth="1"/>
  </cols>
  <sheetData>
    <row r="1" spans="1:5" ht="18.75" x14ac:dyDescent="0.3">
      <c r="A1" s="1" t="s">
        <v>0</v>
      </c>
      <c r="B1" s="2">
        <v>45115</v>
      </c>
      <c r="C1" s="3"/>
      <c r="D1" s="3"/>
    </row>
    <row r="2" spans="1:5" x14ac:dyDescent="0.25">
      <c r="A2" s="4" t="s">
        <v>1</v>
      </c>
      <c r="B2" s="5" t="s">
        <v>2</v>
      </c>
      <c r="C2" s="5" t="s">
        <v>3</v>
      </c>
      <c r="D2" s="6" t="s">
        <v>4</v>
      </c>
      <c r="E2" s="5" t="s">
        <v>5</v>
      </c>
    </row>
    <row r="3" spans="1:5" ht="15.75" x14ac:dyDescent="0.25">
      <c r="A3" s="282"/>
      <c r="B3" s="283"/>
      <c r="C3" s="7"/>
      <c r="D3" s="30"/>
      <c r="E3" s="284"/>
    </row>
    <row r="4" spans="1:5" ht="15.75" x14ac:dyDescent="0.25">
      <c r="A4" s="7" t="s">
        <v>948</v>
      </c>
      <c r="B4" s="283">
        <v>2120</v>
      </c>
      <c r="C4" s="7"/>
      <c r="D4" s="30"/>
      <c r="E4" s="285"/>
    </row>
    <row r="5" spans="1:5" ht="15.75" x14ac:dyDescent="0.25">
      <c r="A5" s="7" t="s">
        <v>27</v>
      </c>
      <c r="B5" s="140">
        <v>2020</v>
      </c>
      <c r="C5" s="7" t="s">
        <v>73</v>
      </c>
      <c r="D5" s="30">
        <v>121</v>
      </c>
      <c r="E5" s="285"/>
    </row>
    <row r="6" spans="1:5" ht="15.75" x14ac:dyDescent="0.25">
      <c r="A6" s="7" t="s">
        <v>949</v>
      </c>
      <c r="B6" s="140">
        <v>21345</v>
      </c>
      <c r="C6" s="7" t="s">
        <v>553</v>
      </c>
      <c r="D6" s="30">
        <v>400</v>
      </c>
      <c r="E6" s="285"/>
    </row>
    <row r="7" spans="1:5" ht="15.75" x14ac:dyDescent="0.25">
      <c r="A7" s="7" t="s">
        <v>950</v>
      </c>
      <c r="B7" s="140">
        <v>1684</v>
      </c>
      <c r="C7" s="7" t="s">
        <v>951</v>
      </c>
      <c r="D7" s="30">
        <v>50</v>
      </c>
      <c r="E7" s="285"/>
    </row>
    <row r="8" spans="1:5" ht="15.75" x14ac:dyDescent="0.25">
      <c r="A8" s="7" t="s">
        <v>363</v>
      </c>
      <c r="B8" s="30">
        <v>11085</v>
      </c>
      <c r="C8" s="7" t="s">
        <v>7</v>
      </c>
      <c r="D8" s="286">
        <v>110</v>
      </c>
      <c r="E8" s="285"/>
    </row>
    <row r="9" spans="1:5" ht="15.75" x14ac:dyDescent="0.25">
      <c r="A9" s="7" t="s">
        <v>913</v>
      </c>
      <c r="B9" s="30">
        <v>640</v>
      </c>
      <c r="C9" s="7" t="s">
        <v>952</v>
      </c>
      <c r="D9" s="30">
        <v>750</v>
      </c>
      <c r="E9" s="287"/>
    </row>
    <row r="10" spans="1:5" ht="15.75" x14ac:dyDescent="0.25">
      <c r="A10" s="7" t="s">
        <v>937</v>
      </c>
      <c r="B10" s="30">
        <v>105</v>
      </c>
      <c r="C10" s="7" t="s">
        <v>953</v>
      </c>
      <c r="D10" s="140">
        <v>1500</v>
      </c>
      <c r="E10" s="155"/>
    </row>
    <row r="11" spans="1:5" ht="15.75" x14ac:dyDescent="0.25">
      <c r="A11" s="7"/>
      <c r="B11" s="30"/>
      <c r="C11" s="7" t="s">
        <v>33</v>
      </c>
      <c r="D11" s="140">
        <v>50</v>
      </c>
      <c r="E11" s="287"/>
    </row>
    <row r="12" spans="1:5" ht="15.75" x14ac:dyDescent="0.25">
      <c r="A12" s="7"/>
      <c r="B12" s="30"/>
      <c r="C12" s="7" t="s">
        <v>393</v>
      </c>
      <c r="D12" s="140">
        <v>120</v>
      </c>
      <c r="E12" s="287"/>
    </row>
    <row r="13" spans="1:5" ht="15.75" x14ac:dyDescent="0.25">
      <c r="A13" s="7"/>
      <c r="B13" s="30"/>
      <c r="C13" s="7" t="s">
        <v>73</v>
      </c>
      <c r="D13" s="140">
        <v>10</v>
      </c>
      <c r="E13" s="287"/>
    </row>
    <row r="14" spans="1:5" ht="15.75" x14ac:dyDescent="0.25">
      <c r="A14" s="7"/>
      <c r="B14" s="7"/>
      <c r="C14" s="7" t="s">
        <v>373</v>
      </c>
      <c r="D14" s="286">
        <v>30</v>
      </c>
      <c r="E14" s="287"/>
    </row>
    <row r="15" spans="1:5" ht="15.75" x14ac:dyDescent="0.25">
      <c r="A15" s="7"/>
      <c r="B15" s="140"/>
      <c r="C15" s="7" t="s">
        <v>954</v>
      </c>
      <c r="D15" s="30">
        <v>8</v>
      </c>
      <c r="E15" s="288"/>
    </row>
    <row r="16" spans="1:5" ht="15.75" x14ac:dyDescent="0.25">
      <c r="A16" s="7"/>
      <c r="B16" s="140"/>
      <c r="C16" s="7" t="s">
        <v>11</v>
      </c>
      <c r="D16" s="30">
        <v>340</v>
      </c>
      <c r="E16" s="288"/>
    </row>
    <row r="17" spans="1:7" ht="15.75" x14ac:dyDescent="0.25">
      <c r="A17" s="7"/>
      <c r="B17" s="140"/>
      <c r="C17" s="7" t="s">
        <v>551</v>
      </c>
      <c r="D17" s="30">
        <v>130</v>
      </c>
      <c r="E17" s="288"/>
    </row>
    <row r="18" spans="1:7" ht="15.75" x14ac:dyDescent="0.25">
      <c r="A18" s="7"/>
      <c r="B18" s="140"/>
      <c r="C18" s="7" t="s">
        <v>955</v>
      </c>
      <c r="D18" s="286">
        <v>200</v>
      </c>
      <c r="E18" s="288"/>
      <c r="G18" s="97"/>
    </row>
    <row r="19" spans="1:7" ht="15.75" x14ac:dyDescent="0.25">
      <c r="A19" s="7"/>
      <c r="B19" s="140"/>
      <c r="C19" s="7" t="s">
        <v>956</v>
      </c>
      <c r="D19" s="286">
        <v>315</v>
      </c>
      <c r="E19" s="288"/>
      <c r="G19" s="97"/>
    </row>
    <row r="20" spans="1:7" ht="15.75" x14ac:dyDescent="0.25">
      <c r="A20" s="7"/>
      <c r="B20" s="140"/>
      <c r="C20" s="7"/>
      <c r="D20" s="286"/>
      <c r="E20" s="288"/>
      <c r="G20" s="97"/>
    </row>
    <row r="21" spans="1:7" ht="15.75" x14ac:dyDescent="0.25">
      <c r="A21" s="7"/>
      <c r="B21" s="140"/>
      <c r="C21" s="7"/>
      <c r="D21" s="286"/>
      <c r="E21" s="288"/>
      <c r="G21" s="97"/>
    </row>
    <row r="22" spans="1:7" ht="15.75" x14ac:dyDescent="0.25">
      <c r="A22" s="7"/>
      <c r="B22" s="140"/>
      <c r="C22" s="7"/>
      <c r="D22" s="286"/>
      <c r="E22" s="288"/>
      <c r="F22" s="15"/>
      <c r="G22" s="97"/>
    </row>
    <row r="23" spans="1:7" ht="15.75" x14ac:dyDescent="0.25">
      <c r="A23" s="7"/>
      <c r="B23" s="140"/>
      <c r="C23" s="7"/>
      <c r="D23" s="286"/>
      <c r="E23" s="288"/>
      <c r="F23" s="15"/>
      <c r="G23" s="97"/>
    </row>
    <row r="24" spans="1:7" ht="15.75" x14ac:dyDescent="0.25">
      <c r="A24" s="7"/>
      <c r="B24" s="140"/>
      <c r="C24" s="7"/>
      <c r="D24" s="286"/>
      <c r="E24" s="288"/>
      <c r="F24" s="15"/>
    </row>
    <row r="25" spans="1:7" ht="15.75" x14ac:dyDescent="0.25">
      <c r="A25" s="7"/>
      <c r="B25" s="140"/>
      <c r="C25" s="7"/>
      <c r="D25" s="286"/>
      <c r="E25" s="288"/>
      <c r="F25" s="15"/>
      <c r="G25" s="97"/>
    </row>
    <row r="26" spans="1:7" ht="15.75" x14ac:dyDescent="0.25">
      <c r="A26" s="7"/>
      <c r="B26" s="140"/>
      <c r="C26" s="7"/>
      <c r="D26" s="286"/>
      <c r="E26" s="288"/>
      <c r="F26" s="15"/>
      <c r="G26" s="97"/>
    </row>
    <row r="27" spans="1:7" ht="15.75" x14ac:dyDescent="0.25">
      <c r="A27" s="7"/>
      <c r="B27" s="140"/>
      <c r="C27" s="7"/>
      <c r="D27" s="286"/>
      <c r="E27" s="288"/>
      <c r="F27" s="15"/>
      <c r="G27" s="97"/>
    </row>
    <row r="28" spans="1:7" ht="15.75" x14ac:dyDescent="0.25">
      <c r="A28" s="7"/>
      <c r="B28" s="140"/>
      <c r="C28" s="289"/>
      <c r="D28" s="286"/>
      <c r="E28" s="288"/>
      <c r="F28" s="15"/>
      <c r="G28" s="97"/>
    </row>
    <row r="29" spans="1:7" ht="15.75" x14ac:dyDescent="0.25">
      <c r="A29" s="7"/>
      <c r="B29" s="140"/>
      <c r="C29" s="290" t="s">
        <v>532</v>
      </c>
      <c r="D29" s="291">
        <v>500</v>
      </c>
      <c r="E29" s="287"/>
      <c r="F29" s="15"/>
      <c r="G29" s="97"/>
    </row>
    <row r="30" spans="1:7" ht="15.75" x14ac:dyDescent="0.25">
      <c r="A30" s="7"/>
      <c r="B30" s="140"/>
      <c r="C30" s="289"/>
      <c r="D30" s="30"/>
      <c r="E30" s="287"/>
      <c r="F30" s="15"/>
      <c r="G30" s="97"/>
    </row>
    <row r="31" spans="1:7" ht="15.75" x14ac:dyDescent="0.25">
      <c r="A31" s="7"/>
      <c r="B31" s="140"/>
      <c r="C31" s="289"/>
      <c r="D31" s="30"/>
      <c r="E31" s="287"/>
      <c r="F31" s="15"/>
      <c r="G31" s="97"/>
    </row>
    <row r="32" spans="1:7" ht="15.75" x14ac:dyDescent="0.25">
      <c r="A32" s="7"/>
      <c r="B32" s="140"/>
      <c r="C32" s="7" t="s">
        <v>957</v>
      </c>
      <c r="D32" s="140">
        <v>10</v>
      </c>
      <c r="E32" s="287"/>
      <c r="F32" s="15"/>
      <c r="G32" s="97"/>
    </row>
    <row r="33" spans="1:7" ht="15.75" x14ac:dyDescent="0.25">
      <c r="A33" s="7"/>
      <c r="B33" s="140"/>
      <c r="C33" s="7" t="s">
        <v>12</v>
      </c>
      <c r="D33" s="140">
        <v>1520</v>
      </c>
      <c r="E33" s="287"/>
      <c r="F33" s="15"/>
      <c r="G33" s="97"/>
    </row>
    <row r="34" spans="1:7" ht="15.75" x14ac:dyDescent="0.25">
      <c r="A34" s="7"/>
      <c r="B34" s="140"/>
      <c r="C34" s="7" t="s">
        <v>27</v>
      </c>
      <c r="D34" s="140">
        <v>200</v>
      </c>
      <c r="E34" s="287"/>
      <c r="F34" s="15"/>
      <c r="G34" s="97"/>
    </row>
    <row r="35" spans="1:7" ht="15.75" x14ac:dyDescent="0.25">
      <c r="A35" s="7"/>
      <c r="B35" s="140"/>
      <c r="C35" s="292"/>
      <c r="D35" s="293"/>
      <c r="E35" s="287"/>
      <c r="F35" s="15"/>
    </row>
    <row r="36" spans="1:7" ht="15.75" x14ac:dyDescent="0.25">
      <c r="A36" s="7"/>
      <c r="B36" s="140"/>
      <c r="C36" s="292"/>
      <c r="D36" s="293"/>
      <c r="E36" s="287"/>
      <c r="F36" s="15"/>
    </row>
    <row r="37" spans="1:7" ht="15.75" x14ac:dyDescent="0.25">
      <c r="A37" s="7"/>
      <c r="B37" s="140"/>
      <c r="C37" s="292"/>
      <c r="D37" s="293"/>
      <c r="E37" s="287"/>
      <c r="F37" s="15"/>
    </row>
    <row r="38" spans="1:7" ht="15.75" x14ac:dyDescent="0.25">
      <c r="A38" s="7"/>
      <c r="B38" s="140"/>
      <c r="C38" s="292"/>
      <c r="D38" s="293"/>
      <c r="E38" s="287"/>
      <c r="F38" s="15"/>
    </row>
    <row r="39" spans="1:7" ht="15.75" x14ac:dyDescent="0.25">
      <c r="A39" s="7"/>
      <c r="B39" s="30"/>
      <c r="C39" s="292"/>
      <c r="D39" s="293"/>
      <c r="E39" s="285"/>
      <c r="F39" s="15"/>
    </row>
    <row r="40" spans="1:7" ht="15.75" x14ac:dyDescent="0.25">
      <c r="A40" s="7"/>
      <c r="B40" s="30"/>
      <c r="C40" s="292"/>
      <c r="D40" s="293"/>
      <c r="E40" s="285"/>
      <c r="F40" s="15"/>
    </row>
    <row r="41" spans="1:7" ht="15.75" x14ac:dyDescent="0.25">
      <c r="A41" s="7"/>
      <c r="B41" s="30"/>
      <c r="C41" s="294"/>
      <c r="D41" s="293"/>
      <c r="E41" s="285"/>
      <c r="F41" s="15"/>
    </row>
    <row r="42" spans="1:7" ht="21.75" thickBot="1" x14ac:dyDescent="0.4">
      <c r="A42" s="130"/>
      <c r="B42" s="131">
        <f>SUBTOTAL(109,Table147202318[Column1])</f>
        <v>38999</v>
      </c>
      <c r="C42" s="132"/>
      <c r="D42" s="133">
        <f>SUBTOTAL(109,Table147202318[Column2])</f>
        <v>6364</v>
      </c>
      <c r="E42" s="133"/>
      <c r="F42" s="15"/>
    </row>
    <row r="43" spans="1:7" ht="27" thickTop="1" x14ac:dyDescent="0.25">
      <c r="D43" s="16">
        <f>Table147202318[[#Totals],[Column1]]-Table147202318[[#Totals],[Column2]]</f>
        <v>32635</v>
      </c>
      <c r="F43" s="15"/>
    </row>
    <row r="44" spans="1:7" ht="16.5" thickBot="1" x14ac:dyDescent="0.3">
      <c r="F44" s="15"/>
    </row>
    <row r="45" spans="1:7" ht="24" thickBot="1" x14ac:dyDescent="0.3">
      <c r="A45" s="76" t="s">
        <v>19</v>
      </c>
      <c r="B45" s="460">
        <v>45121</v>
      </c>
      <c r="C45" s="461"/>
      <c r="F45" s="15"/>
    </row>
    <row r="46" spans="1:7" ht="21" thickBot="1" x14ac:dyDescent="0.3">
      <c r="A46" s="53" t="s">
        <v>137</v>
      </c>
      <c r="B46" s="53" t="s">
        <v>138</v>
      </c>
      <c r="C46" s="53" t="s">
        <v>3</v>
      </c>
      <c r="F46" s="15"/>
    </row>
    <row r="47" spans="1:7" ht="18" x14ac:dyDescent="0.25">
      <c r="A47" s="55">
        <f>10000+5000+1800</f>
        <v>16800</v>
      </c>
      <c r="B47" s="57" t="s">
        <v>73</v>
      </c>
      <c r="C47" s="77">
        <v>121</v>
      </c>
      <c r="F47" s="15"/>
    </row>
    <row r="48" spans="1:7" ht="18" x14ac:dyDescent="0.25">
      <c r="A48" s="60">
        <v>395</v>
      </c>
      <c r="B48" s="94" t="s">
        <v>553</v>
      </c>
      <c r="C48" s="56">
        <v>400</v>
      </c>
      <c r="F48" s="15"/>
    </row>
    <row r="49" spans="1:6" ht="18" x14ac:dyDescent="0.25">
      <c r="A49" s="60">
        <v>1000</v>
      </c>
      <c r="B49" s="57" t="s">
        <v>951</v>
      </c>
      <c r="C49" s="77">
        <v>50</v>
      </c>
      <c r="F49" s="15"/>
    </row>
    <row r="50" spans="1:6" ht="18" x14ac:dyDescent="0.25">
      <c r="A50" s="60">
        <v>1</v>
      </c>
      <c r="B50" s="57" t="s">
        <v>7</v>
      </c>
      <c r="C50" s="77">
        <v>110</v>
      </c>
      <c r="F50" s="15"/>
    </row>
    <row r="51" spans="1:6" ht="18" x14ac:dyDescent="0.25">
      <c r="A51" s="60">
        <v>105</v>
      </c>
      <c r="B51" s="57" t="s">
        <v>952</v>
      </c>
      <c r="C51" s="56">
        <v>750</v>
      </c>
      <c r="F51" s="15"/>
    </row>
    <row r="52" spans="1:6" ht="18" x14ac:dyDescent="0.25">
      <c r="A52" s="60"/>
      <c r="B52" s="57" t="s">
        <v>953</v>
      </c>
      <c r="C52" s="56">
        <v>1500</v>
      </c>
      <c r="F52" s="15"/>
    </row>
    <row r="53" spans="1:6" ht="18" x14ac:dyDescent="0.25">
      <c r="A53" s="60"/>
      <c r="B53" s="57" t="s">
        <v>33</v>
      </c>
      <c r="C53" s="56">
        <v>50</v>
      </c>
      <c r="F53" s="15"/>
    </row>
    <row r="54" spans="1:6" ht="18" x14ac:dyDescent="0.25">
      <c r="A54" s="60"/>
      <c r="B54" s="57" t="s">
        <v>393</v>
      </c>
      <c r="C54" s="56">
        <v>120</v>
      </c>
      <c r="F54" s="15"/>
    </row>
    <row r="55" spans="1:6" ht="18" x14ac:dyDescent="0.25">
      <c r="A55" s="60"/>
      <c r="B55" s="94" t="s">
        <v>73</v>
      </c>
      <c r="C55" s="295">
        <v>10</v>
      </c>
      <c r="F55" s="15"/>
    </row>
    <row r="56" spans="1:6" ht="18" x14ac:dyDescent="0.25">
      <c r="A56" s="60"/>
      <c r="B56" s="94" t="s">
        <v>373</v>
      </c>
      <c r="C56" s="296">
        <v>30</v>
      </c>
      <c r="F56" s="15"/>
    </row>
    <row r="57" spans="1:6" ht="18" x14ac:dyDescent="0.25">
      <c r="A57" s="60"/>
      <c r="B57" s="94" t="s">
        <v>954</v>
      </c>
      <c r="C57" s="296">
        <v>8</v>
      </c>
    </row>
    <row r="58" spans="1:6" ht="18.75" thickBot="1" x14ac:dyDescent="0.3">
      <c r="A58" s="60"/>
      <c r="B58" s="94"/>
    </row>
    <row r="59" spans="1:6" ht="24" thickBot="1" x14ac:dyDescent="0.3">
      <c r="A59" s="66"/>
      <c r="B59" s="64"/>
      <c r="C59" s="67"/>
      <c r="D59" s="134" t="s">
        <v>43</v>
      </c>
      <c r="E59" s="99">
        <f>E64-E60</f>
        <v>-24</v>
      </c>
    </row>
    <row r="60" spans="1:6" ht="21.75" thickBot="1" x14ac:dyDescent="0.3">
      <c r="A60" s="68">
        <f>SUM(A47:A59)</f>
        <v>18301</v>
      </c>
      <c r="C60" s="69">
        <f>SUM(C47:C59)</f>
        <v>3149</v>
      </c>
      <c r="D60" s="135" t="s">
        <v>94</v>
      </c>
      <c r="E60" s="85">
        <f>6000-4292</f>
        <v>1708</v>
      </c>
    </row>
    <row r="61" spans="1:6" ht="21.75" thickBot="1" x14ac:dyDescent="0.3">
      <c r="A61" s="462" t="s">
        <v>139</v>
      </c>
      <c r="B61" s="463"/>
      <c r="C61" s="71" t="s">
        <v>75</v>
      </c>
      <c r="D61" s="136" t="s">
        <v>65</v>
      </c>
      <c r="E61" s="83">
        <f>1672+2</f>
        <v>1674</v>
      </c>
    </row>
    <row r="62" spans="1:6" ht="24" thickBot="1" x14ac:dyDescent="0.4">
      <c r="A62" s="464">
        <f>C60+A60</f>
        <v>21450</v>
      </c>
      <c r="B62" s="465"/>
      <c r="C62" s="81">
        <f>183+565</f>
        <v>748</v>
      </c>
      <c r="D62" s="82" t="s">
        <v>957</v>
      </c>
      <c r="E62" s="83">
        <v>10</v>
      </c>
      <c r="F62" s="133"/>
    </row>
    <row r="63" spans="1:6" ht="24" thickBot="1" x14ac:dyDescent="0.3">
      <c r="A63" s="466" t="s">
        <v>99</v>
      </c>
      <c r="B63" s="467"/>
      <c r="C63" s="78">
        <f>A64-C64</f>
        <v>12</v>
      </c>
      <c r="D63" s="82"/>
      <c r="E63" s="83"/>
    </row>
    <row r="64" spans="1:6" ht="24" thickBot="1" x14ac:dyDescent="0.3">
      <c r="A64" s="468">
        <f>C62+A62</f>
        <v>22198</v>
      </c>
      <c r="B64" s="469"/>
      <c r="C64" s="121">
        <v>22186</v>
      </c>
      <c r="D64" s="82" t="s">
        <v>164</v>
      </c>
      <c r="E64" s="83">
        <f>SUM(E61:E63)</f>
        <v>1684</v>
      </c>
    </row>
    <row r="65" spans="1:5" ht="24" thickBot="1" x14ac:dyDescent="0.3">
      <c r="A65"/>
      <c r="B65"/>
      <c r="C65" s="314" t="str">
        <f>IF(C63&gt;0,"زيادة","عجز")</f>
        <v>زيادة</v>
      </c>
    </row>
    <row r="66" spans="1:5" ht="24" thickBot="1" x14ac:dyDescent="0.3">
      <c r="A66" s="76" t="s">
        <v>29</v>
      </c>
      <c r="B66" s="460">
        <v>45121</v>
      </c>
      <c r="C66" s="461"/>
    </row>
    <row r="67" spans="1:5" ht="21" thickBot="1" x14ac:dyDescent="0.3">
      <c r="A67" s="53" t="s">
        <v>137</v>
      </c>
      <c r="B67" s="53" t="s">
        <v>138</v>
      </c>
      <c r="C67" s="53" t="s">
        <v>3</v>
      </c>
    </row>
    <row r="68" spans="1:5" ht="18" x14ac:dyDescent="0.25">
      <c r="A68" s="55">
        <f>10000+100</f>
        <v>10100</v>
      </c>
      <c r="B68" s="57" t="s">
        <v>11</v>
      </c>
      <c r="C68" s="77">
        <v>340</v>
      </c>
    </row>
    <row r="69" spans="1:5" ht="18" x14ac:dyDescent="0.25">
      <c r="A69" s="60"/>
      <c r="B69" s="94" t="s">
        <v>551</v>
      </c>
      <c r="C69" s="56">
        <v>130</v>
      </c>
    </row>
    <row r="70" spans="1:5" ht="18" x14ac:dyDescent="0.25">
      <c r="A70" s="60"/>
      <c r="B70" s="57" t="s">
        <v>955</v>
      </c>
      <c r="C70" s="77">
        <v>200</v>
      </c>
    </row>
    <row r="71" spans="1:5" ht="23.25" customHeight="1" x14ac:dyDescent="0.25">
      <c r="A71" s="60"/>
      <c r="B71" s="57" t="s">
        <v>956</v>
      </c>
      <c r="C71" s="77">
        <v>315</v>
      </c>
    </row>
    <row r="72" spans="1:5" ht="18" x14ac:dyDescent="0.25">
      <c r="A72" s="60"/>
      <c r="B72" s="57"/>
      <c r="C72" s="56"/>
    </row>
    <row r="73" spans="1:5" ht="18" x14ac:dyDescent="0.25">
      <c r="A73" s="60"/>
      <c r="B73" s="57"/>
      <c r="C73" s="56"/>
    </row>
    <row r="74" spans="1:5" ht="18" x14ac:dyDescent="0.25">
      <c r="A74" s="60"/>
      <c r="B74" s="57"/>
      <c r="C74" s="56"/>
    </row>
    <row r="75" spans="1:5" ht="18" x14ac:dyDescent="0.25">
      <c r="A75" s="60"/>
      <c r="B75" s="57"/>
      <c r="C75" s="56"/>
    </row>
    <row r="76" spans="1:5" ht="18" x14ac:dyDescent="0.25">
      <c r="A76" s="60"/>
      <c r="B76" s="94"/>
      <c r="C76" s="295"/>
    </row>
    <row r="77" spans="1:5" ht="18" x14ac:dyDescent="0.25">
      <c r="A77" s="60"/>
      <c r="B77" s="94"/>
      <c r="C77" s="296"/>
    </row>
    <row r="78" spans="1:5" ht="18" x14ac:dyDescent="0.25">
      <c r="A78" s="60"/>
      <c r="B78" s="94"/>
      <c r="C78" s="296"/>
    </row>
    <row r="79" spans="1:5" ht="18.75" thickBot="1" x14ac:dyDescent="0.3">
      <c r="A79" s="60"/>
      <c r="B79" s="94"/>
    </row>
    <row r="80" spans="1:5" ht="24.75" customHeight="1" thickBot="1" x14ac:dyDescent="0.3">
      <c r="A80" s="66"/>
      <c r="B80" s="64"/>
      <c r="C80" s="67"/>
      <c r="D80" s="134" t="s">
        <v>43</v>
      </c>
      <c r="E80" s="99">
        <f>E85-E81</f>
        <v>14</v>
      </c>
    </row>
    <row r="81" spans="1:5" ht="21.75" thickBot="1" x14ac:dyDescent="0.3">
      <c r="A81" s="68">
        <f>SUM(A68:A80)</f>
        <v>10100</v>
      </c>
      <c r="C81" s="69">
        <f>SUM(C68:C80)</f>
        <v>985</v>
      </c>
      <c r="D81" s="135" t="s">
        <v>94</v>
      </c>
      <c r="E81" s="85">
        <f>4292-3656</f>
        <v>636</v>
      </c>
    </row>
    <row r="82" spans="1:5" ht="21.75" thickBot="1" x14ac:dyDescent="0.3">
      <c r="A82" s="462" t="s">
        <v>139</v>
      </c>
      <c r="B82" s="463"/>
      <c r="C82" s="71" t="s">
        <v>75</v>
      </c>
      <c r="D82" s="136" t="s">
        <v>65</v>
      </c>
      <c r="E82" s="83">
        <f>500+140</f>
        <v>640</v>
      </c>
    </row>
    <row r="83" spans="1:5" ht="24" thickBot="1" x14ac:dyDescent="0.3">
      <c r="A83" s="464">
        <f>C81+A81</f>
        <v>11085</v>
      </c>
      <c r="B83" s="465"/>
      <c r="C83" s="81">
        <f>47+412+150+423</f>
        <v>1032</v>
      </c>
      <c r="D83" s="82" t="s">
        <v>977</v>
      </c>
      <c r="E83" s="83">
        <v>10</v>
      </c>
    </row>
    <row r="84" spans="1:5" ht="24" thickBot="1" x14ac:dyDescent="0.3">
      <c r="A84" s="466" t="s">
        <v>99</v>
      </c>
      <c r="B84" s="467"/>
      <c r="C84" s="78">
        <f>A85-C85</f>
        <v>-10</v>
      </c>
      <c r="D84" s="82"/>
      <c r="E84" s="83"/>
    </row>
    <row r="85" spans="1:5" ht="24" thickBot="1" x14ac:dyDescent="0.3">
      <c r="A85" s="468">
        <f>C83+A83</f>
        <v>12117</v>
      </c>
      <c r="B85" s="469"/>
      <c r="C85" s="121">
        <v>12127</v>
      </c>
      <c r="D85" s="82" t="s">
        <v>164</v>
      </c>
      <c r="E85" s="83">
        <f>SUM(E82:E84)</f>
        <v>650</v>
      </c>
    </row>
    <row r="86" spans="1:5" ht="24" thickBot="1" x14ac:dyDescent="0.3">
      <c r="A86"/>
      <c r="B86"/>
      <c r="C86" s="314" t="str">
        <f>IF(C84&gt;0,"زيادة","عجز")</f>
        <v>عجز</v>
      </c>
    </row>
    <row r="87" spans="1:5" ht="24" thickBot="1" x14ac:dyDescent="0.3">
      <c r="A87" s="76" t="s">
        <v>80</v>
      </c>
      <c r="B87" s="460">
        <v>45121</v>
      </c>
      <c r="C87" s="461"/>
    </row>
    <row r="88" spans="1:5" ht="21" thickBot="1" x14ac:dyDescent="0.3">
      <c r="A88" s="53" t="s">
        <v>137</v>
      </c>
      <c r="B88" s="53" t="s">
        <v>138</v>
      </c>
      <c r="C88" s="53" t="s">
        <v>3</v>
      </c>
    </row>
    <row r="89" spans="1:5" ht="18" x14ac:dyDescent="0.25">
      <c r="A89" s="55">
        <f>10000+5000+1800</f>
        <v>16800</v>
      </c>
      <c r="B89" s="57" t="s">
        <v>41</v>
      </c>
      <c r="C89" s="77">
        <v>550</v>
      </c>
    </row>
    <row r="90" spans="1:5" ht="18" x14ac:dyDescent="0.25">
      <c r="A90" s="60">
        <v>1000</v>
      </c>
      <c r="B90" s="94" t="s">
        <v>978</v>
      </c>
      <c r="C90" s="56">
        <v>235</v>
      </c>
    </row>
    <row r="91" spans="1:5" ht="18" x14ac:dyDescent="0.25">
      <c r="A91" s="60">
        <v>200</v>
      </c>
      <c r="B91" s="57"/>
      <c r="C91" s="77"/>
    </row>
    <row r="92" spans="1:5" ht="18" x14ac:dyDescent="0.25">
      <c r="A92" s="60">
        <v>10</v>
      </c>
      <c r="B92" s="57"/>
      <c r="C92" s="77"/>
    </row>
    <row r="93" spans="1:5" ht="18" x14ac:dyDescent="0.25">
      <c r="A93" s="60"/>
      <c r="B93" s="57"/>
      <c r="C93" s="56"/>
    </row>
    <row r="94" spans="1:5" ht="18" x14ac:dyDescent="0.25">
      <c r="A94" s="60"/>
      <c r="B94" s="57"/>
      <c r="C94" s="56"/>
    </row>
    <row r="95" spans="1:5" ht="18" x14ac:dyDescent="0.25">
      <c r="A95" s="60"/>
      <c r="B95" s="57"/>
      <c r="C95" s="56"/>
    </row>
    <row r="96" spans="1:5" ht="18" x14ac:dyDescent="0.25">
      <c r="A96" s="60"/>
      <c r="B96" s="57"/>
      <c r="C96" s="56"/>
    </row>
    <row r="97" spans="1:6" ht="18" x14ac:dyDescent="0.25">
      <c r="A97" s="60"/>
      <c r="B97" s="94"/>
      <c r="C97" s="295"/>
    </row>
    <row r="98" spans="1:6" ht="18" x14ac:dyDescent="0.25">
      <c r="A98" s="60"/>
      <c r="B98" s="94"/>
      <c r="C98" s="296"/>
    </row>
    <row r="99" spans="1:6" ht="18" x14ac:dyDescent="0.25">
      <c r="A99" s="60"/>
      <c r="B99" s="94"/>
      <c r="C99" s="296"/>
    </row>
    <row r="100" spans="1:6" ht="18.75" thickBot="1" x14ac:dyDescent="0.3">
      <c r="A100" s="60"/>
      <c r="B100" s="94"/>
    </row>
    <row r="101" spans="1:6" ht="24" thickBot="1" x14ac:dyDescent="0.3">
      <c r="A101" s="66"/>
      <c r="B101" s="64"/>
      <c r="C101" s="67"/>
      <c r="D101" s="134" t="s">
        <v>43</v>
      </c>
      <c r="E101" s="99">
        <f>E106-E102</f>
        <v>51</v>
      </c>
    </row>
    <row r="102" spans="1:6" ht="27.75" customHeight="1" thickBot="1" x14ac:dyDescent="0.3">
      <c r="A102" s="69">
        <f>SUM(A89:A101)</f>
        <v>18010</v>
      </c>
      <c r="C102" s="69">
        <f>SUM(C89:C101)</f>
        <v>785</v>
      </c>
      <c r="D102" s="135" t="s">
        <v>94</v>
      </c>
      <c r="E102" s="85">
        <f>3656-2334</f>
        <v>1322</v>
      </c>
    </row>
    <row r="103" spans="1:6" ht="21.75" thickBot="1" x14ac:dyDescent="0.3">
      <c r="A103" s="462" t="s">
        <v>139</v>
      </c>
      <c r="B103" s="463"/>
      <c r="C103" s="71" t="s">
        <v>75</v>
      </c>
      <c r="D103" s="136" t="s">
        <v>65</v>
      </c>
      <c r="E103" s="83">
        <f>1150+195</f>
        <v>1345</v>
      </c>
    </row>
    <row r="104" spans="1:6" ht="24" thickBot="1" x14ac:dyDescent="0.3">
      <c r="A104" s="464">
        <f>C102+A102</f>
        <v>18795</v>
      </c>
      <c r="B104" s="465"/>
      <c r="C104" s="81">
        <f>50+183+32+145+26+15+64</f>
        <v>515</v>
      </c>
      <c r="D104" s="82" t="s">
        <v>451</v>
      </c>
      <c r="E104" s="83">
        <v>28</v>
      </c>
    </row>
    <row r="105" spans="1:6" ht="24" thickBot="1" x14ac:dyDescent="0.3">
      <c r="A105" s="466" t="s">
        <v>99</v>
      </c>
      <c r="B105" s="467"/>
      <c r="C105" s="78">
        <f>A106-C106</f>
        <v>81</v>
      </c>
      <c r="D105" s="82"/>
      <c r="E105" s="83"/>
    </row>
    <row r="106" spans="1:6" ht="24" thickBot="1" x14ac:dyDescent="0.3">
      <c r="A106" s="468">
        <f>C104+A104</f>
        <v>19310</v>
      </c>
      <c r="B106" s="469"/>
      <c r="C106" s="121">
        <v>19229</v>
      </c>
      <c r="D106" s="82" t="s">
        <v>164</v>
      </c>
      <c r="E106" s="83">
        <f>SUM(E103:E105)</f>
        <v>1373</v>
      </c>
    </row>
    <row r="107" spans="1:6" ht="24" thickBot="1" x14ac:dyDescent="0.3">
      <c r="A107"/>
      <c r="B107"/>
      <c r="C107" s="314" t="str">
        <f>IF(C105&gt;0,"زيادة","عجز")</f>
        <v>زيادة</v>
      </c>
    </row>
    <row r="108" spans="1:6" ht="24" thickBot="1" x14ac:dyDescent="0.3">
      <c r="A108" s="76" t="s">
        <v>85</v>
      </c>
      <c r="B108" s="460">
        <v>45121</v>
      </c>
      <c r="C108" s="461"/>
    </row>
    <row r="109" spans="1:6" ht="21" thickBot="1" x14ac:dyDescent="0.3">
      <c r="A109" s="53" t="s">
        <v>137</v>
      </c>
      <c r="B109" s="53" t="s">
        <v>138</v>
      </c>
      <c r="C109" s="53" t="s">
        <v>3</v>
      </c>
    </row>
    <row r="110" spans="1:6" ht="18" x14ac:dyDescent="0.25">
      <c r="A110" s="55">
        <f>5000+3700+210</f>
        <v>8910</v>
      </c>
      <c r="B110" s="57" t="s">
        <v>86</v>
      </c>
      <c r="C110" s="77">
        <v>170</v>
      </c>
    </row>
    <row r="111" spans="1:6" ht="18" x14ac:dyDescent="0.25">
      <c r="A111" s="60"/>
      <c r="B111" s="94" t="s">
        <v>498</v>
      </c>
      <c r="C111" s="56">
        <v>145</v>
      </c>
    </row>
    <row r="112" spans="1:6" ht="18" x14ac:dyDescent="0.25">
      <c r="A112" s="60"/>
      <c r="B112" s="57" t="s">
        <v>15</v>
      </c>
      <c r="C112" s="77">
        <v>165</v>
      </c>
      <c r="F112" t="s">
        <v>441</v>
      </c>
    </row>
    <row r="113" spans="1:6" ht="18" x14ac:dyDescent="0.25">
      <c r="A113" s="60"/>
      <c r="B113" s="57" t="s">
        <v>552</v>
      </c>
      <c r="C113" s="77">
        <v>80</v>
      </c>
      <c r="F113" t="s">
        <v>439</v>
      </c>
    </row>
    <row r="114" spans="1:6" ht="24" customHeight="1" x14ac:dyDescent="0.25">
      <c r="A114" s="60"/>
      <c r="B114" s="57" t="s">
        <v>32</v>
      </c>
      <c r="C114" s="56">
        <v>90</v>
      </c>
      <c r="F114" t="s">
        <v>440</v>
      </c>
    </row>
    <row r="115" spans="1:6" ht="18" x14ac:dyDescent="0.25">
      <c r="A115" s="60"/>
      <c r="B115" s="57" t="s">
        <v>510</v>
      </c>
      <c r="C115" s="56">
        <v>100</v>
      </c>
      <c r="F115" t="s">
        <v>442</v>
      </c>
    </row>
    <row r="116" spans="1:6" ht="18" x14ac:dyDescent="0.25">
      <c r="A116" s="60"/>
      <c r="B116" s="57" t="s">
        <v>31</v>
      </c>
      <c r="C116" s="56">
        <v>125</v>
      </c>
    </row>
    <row r="117" spans="1:6" ht="18" x14ac:dyDescent="0.25">
      <c r="A117" s="60"/>
      <c r="B117" s="57" t="s">
        <v>954</v>
      </c>
      <c r="C117" s="56">
        <v>43</v>
      </c>
    </row>
    <row r="118" spans="1:6" ht="18" x14ac:dyDescent="0.25">
      <c r="A118" s="60"/>
      <c r="B118" s="94"/>
      <c r="C118" s="295"/>
    </row>
    <row r="119" spans="1:6" ht="18" x14ac:dyDescent="0.25">
      <c r="A119" s="60"/>
      <c r="B119" s="94"/>
      <c r="C119" s="296"/>
    </row>
    <row r="120" spans="1:6" ht="18" x14ac:dyDescent="0.25">
      <c r="A120" s="60"/>
      <c r="B120" s="94"/>
      <c r="C120" s="296"/>
    </row>
    <row r="121" spans="1:6" ht="18.75" thickBot="1" x14ac:dyDescent="0.3">
      <c r="A121" s="60"/>
      <c r="B121" s="94"/>
    </row>
    <row r="122" spans="1:6" ht="24" thickBot="1" x14ac:dyDescent="0.3">
      <c r="A122" s="66"/>
      <c r="B122" s="64"/>
      <c r="C122" s="67"/>
      <c r="D122" s="134" t="s">
        <v>43</v>
      </c>
      <c r="E122" s="99">
        <f>E127-E123</f>
        <v>0</v>
      </c>
    </row>
    <row r="123" spans="1:6" ht="21.75" thickBot="1" x14ac:dyDescent="0.3">
      <c r="A123" s="69">
        <f>SUM(A110:A122)</f>
        <v>8910</v>
      </c>
      <c r="C123" s="69">
        <f>SUM(C110:C122)</f>
        <v>918</v>
      </c>
      <c r="D123" s="135" t="s">
        <v>94</v>
      </c>
      <c r="E123" s="85"/>
    </row>
    <row r="124" spans="1:6" ht="21.75" thickBot="1" x14ac:dyDescent="0.3">
      <c r="A124" s="462" t="s">
        <v>139</v>
      </c>
      <c r="B124" s="463"/>
      <c r="C124" s="71" t="s">
        <v>75</v>
      </c>
      <c r="D124" s="136" t="s">
        <v>65</v>
      </c>
      <c r="E124" s="83"/>
    </row>
    <row r="125" spans="1:6" ht="24" thickBot="1" x14ac:dyDescent="0.3">
      <c r="A125" s="464">
        <f>C123+A123</f>
        <v>9828</v>
      </c>
      <c r="B125" s="465"/>
      <c r="C125" s="81">
        <f>112+513+46</f>
        <v>671</v>
      </c>
      <c r="D125" s="82"/>
      <c r="E125" s="83"/>
    </row>
    <row r="126" spans="1:6" ht="24" thickBot="1" x14ac:dyDescent="0.3">
      <c r="A126" s="466" t="s">
        <v>99</v>
      </c>
      <c r="B126" s="467"/>
      <c r="C126" s="78">
        <f>A127-C127</f>
        <v>45</v>
      </c>
      <c r="D126" s="82"/>
      <c r="E126" s="83"/>
    </row>
    <row r="127" spans="1:6" ht="24" thickBot="1" x14ac:dyDescent="0.3">
      <c r="A127" s="468">
        <f>C125+A125</f>
        <v>10499</v>
      </c>
      <c r="B127" s="469"/>
      <c r="C127" s="121">
        <v>10454</v>
      </c>
      <c r="D127" s="82" t="s">
        <v>164</v>
      </c>
      <c r="E127" s="83">
        <f>SUM(E124:E126)</f>
        <v>0</v>
      </c>
    </row>
    <row r="128" spans="1:6" ht="24" thickBot="1" x14ac:dyDescent="0.3">
      <c r="A128"/>
      <c r="B128"/>
      <c r="C128" s="314" t="str">
        <f>IF(C126&gt;0,"زيادة","عجز")</f>
        <v>زيادة</v>
      </c>
    </row>
    <row r="129" spans="1:5" ht="15.75" thickBot="1" x14ac:dyDescent="0.3">
      <c r="A129"/>
      <c r="B129"/>
    </row>
    <row r="130" spans="1:5" ht="24" thickBot="1" x14ac:dyDescent="0.3">
      <c r="A130" s="76" t="s">
        <v>15</v>
      </c>
      <c r="B130" s="460">
        <v>45121</v>
      </c>
      <c r="C130" s="461"/>
    </row>
    <row r="131" spans="1:5" ht="21" thickBot="1" x14ac:dyDescent="0.3">
      <c r="A131" s="53" t="s">
        <v>137</v>
      </c>
      <c r="B131" s="53" t="s">
        <v>138</v>
      </c>
      <c r="C131" s="53" t="s">
        <v>3</v>
      </c>
    </row>
    <row r="132" spans="1:5" ht="18" x14ac:dyDescent="0.25">
      <c r="A132" s="55">
        <f>10000+5000+550+500+300</f>
        <v>16350</v>
      </c>
      <c r="B132" s="57" t="s">
        <v>458</v>
      </c>
      <c r="C132" s="77">
        <v>114</v>
      </c>
    </row>
    <row r="133" spans="1:5" ht="18" x14ac:dyDescent="0.25">
      <c r="A133" s="94"/>
      <c r="B133" s="94" t="s">
        <v>708</v>
      </c>
      <c r="C133" s="56">
        <v>150</v>
      </c>
    </row>
    <row r="134" spans="1:5" ht="18" x14ac:dyDescent="0.25">
      <c r="A134" s="94"/>
      <c r="B134" s="94" t="s">
        <v>339</v>
      </c>
      <c r="C134" s="77">
        <v>90</v>
      </c>
    </row>
    <row r="135" spans="1:5" ht="18" x14ac:dyDescent="0.25">
      <c r="A135" s="94"/>
      <c r="B135" s="94" t="s">
        <v>494</v>
      </c>
      <c r="C135" s="77">
        <v>45</v>
      </c>
    </row>
    <row r="136" spans="1:5" ht="15.75" x14ac:dyDescent="0.25">
      <c r="A136" s="94"/>
      <c r="B136" s="94"/>
      <c r="C136" s="94"/>
    </row>
    <row r="137" spans="1:5" ht="15.75" x14ac:dyDescent="0.25">
      <c r="A137" s="94"/>
      <c r="B137" s="94"/>
      <c r="C137" s="94"/>
    </row>
    <row r="138" spans="1:5" ht="15.75" x14ac:dyDescent="0.25">
      <c r="A138" s="94"/>
      <c r="B138" s="94"/>
      <c r="C138" s="94"/>
    </row>
    <row r="139" spans="1:5" ht="15.75" x14ac:dyDescent="0.25">
      <c r="A139" s="94"/>
      <c r="B139" s="94"/>
      <c r="C139" s="94"/>
    </row>
    <row r="140" spans="1:5" ht="15.75" x14ac:dyDescent="0.25">
      <c r="A140" s="94"/>
      <c r="B140" s="94"/>
      <c r="C140" s="94"/>
    </row>
    <row r="141" spans="1:5" ht="15.75" x14ac:dyDescent="0.25">
      <c r="A141" s="94"/>
      <c r="B141" s="94"/>
      <c r="C141" s="94"/>
    </row>
    <row r="142" spans="1:5" ht="24" customHeight="1" x14ac:dyDescent="0.25">
      <c r="A142" s="94"/>
      <c r="B142" s="94"/>
      <c r="C142" s="94"/>
    </row>
    <row r="143" spans="1:5" ht="16.5" thickBot="1" x14ac:dyDescent="0.3">
      <c r="A143" s="94"/>
      <c r="B143" s="94"/>
      <c r="C143" s="94"/>
    </row>
    <row r="144" spans="1:5" ht="24" thickBot="1" x14ac:dyDescent="0.3">
      <c r="A144" s="66"/>
      <c r="B144" s="94"/>
      <c r="C144" s="67"/>
      <c r="D144" s="134" t="s">
        <v>43</v>
      </c>
      <c r="E144" s="99">
        <f>E149-E145</f>
        <v>0</v>
      </c>
    </row>
    <row r="145" spans="1:5" ht="21.75" thickBot="1" x14ac:dyDescent="0.3">
      <c r="A145" s="69">
        <f>SUM(A132:A144)</f>
        <v>16350</v>
      </c>
      <c r="C145" s="69">
        <f>SUM(C132:C144)</f>
        <v>399</v>
      </c>
      <c r="D145" s="135" t="s">
        <v>94</v>
      </c>
      <c r="E145" s="85"/>
    </row>
    <row r="146" spans="1:5" ht="21.75" thickBot="1" x14ac:dyDescent="0.3">
      <c r="A146" s="462" t="s">
        <v>139</v>
      </c>
      <c r="B146" s="463"/>
      <c r="C146" s="71" t="s">
        <v>75</v>
      </c>
      <c r="D146" s="136" t="s">
        <v>65</v>
      </c>
      <c r="E146" s="83"/>
    </row>
    <row r="147" spans="1:5" ht="18" customHeight="1" thickBot="1" x14ac:dyDescent="0.3">
      <c r="A147" s="464">
        <f>C145+A145</f>
        <v>16749</v>
      </c>
      <c r="B147" s="465"/>
      <c r="C147" s="81"/>
      <c r="D147" s="82"/>
      <c r="E147" s="83"/>
    </row>
    <row r="148" spans="1:5" ht="18" customHeight="1" thickBot="1" x14ac:dyDescent="0.3">
      <c r="A148" s="466" t="s">
        <v>99</v>
      </c>
      <c r="B148" s="467"/>
      <c r="C148" s="78">
        <f>A149-C149</f>
        <v>4</v>
      </c>
      <c r="D148" s="82"/>
      <c r="E148" s="83"/>
    </row>
    <row r="149" spans="1:5" ht="24" thickBot="1" x14ac:dyDescent="0.3">
      <c r="A149" s="468">
        <f>C147+A147</f>
        <v>16749</v>
      </c>
      <c r="B149" s="469"/>
      <c r="C149" s="121">
        <v>16745</v>
      </c>
      <c r="D149" s="82" t="s">
        <v>164</v>
      </c>
      <c r="E149" s="83">
        <f>SUM(E146:E148)</f>
        <v>0</v>
      </c>
    </row>
    <row r="150" spans="1:5" ht="24" thickBot="1" x14ac:dyDescent="0.3">
      <c r="A150"/>
      <c r="B150"/>
      <c r="C150" s="314" t="str">
        <f>IF(C148&gt;0,"زيادة","عجز")</f>
        <v>زيادة</v>
      </c>
    </row>
    <row r="151" spans="1:5" ht="24" thickBot="1" x14ac:dyDescent="0.3">
      <c r="A151" s="76" t="s">
        <v>60</v>
      </c>
      <c r="B151" s="460">
        <v>45121</v>
      </c>
      <c r="C151" s="461"/>
    </row>
    <row r="152" spans="1:5" ht="21" thickBot="1" x14ac:dyDescent="0.3">
      <c r="A152" s="53" t="s">
        <v>137</v>
      </c>
      <c r="B152" s="53" t="s">
        <v>138</v>
      </c>
      <c r="C152" s="53" t="s">
        <v>3</v>
      </c>
    </row>
    <row r="153" spans="1:5" ht="18" x14ac:dyDescent="0.25">
      <c r="A153" s="55">
        <f>5000+1800+515</f>
        <v>7315</v>
      </c>
      <c r="B153" s="57" t="s">
        <v>27</v>
      </c>
      <c r="C153" s="77">
        <v>195</v>
      </c>
    </row>
    <row r="154" spans="1:5" ht="18" x14ac:dyDescent="0.25">
      <c r="A154" s="94">
        <v>3</v>
      </c>
      <c r="B154" s="94" t="s">
        <v>981</v>
      </c>
      <c r="C154" s="56">
        <v>28</v>
      </c>
    </row>
    <row r="155" spans="1:5" ht="21.75" customHeight="1" x14ac:dyDescent="0.25">
      <c r="A155" s="94"/>
      <c r="B155" s="94"/>
      <c r="C155" s="77"/>
    </row>
    <row r="156" spans="1:5" ht="18" x14ac:dyDescent="0.25">
      <c r="A156" s="94"/>
      <c r="B156" s="94" t="s">
        <v>982</v>
      </c>
      <c r="C156" s="77">
        <v>15</v>
      </c>
    </row>
    <row r="157" spans="1:5" ht="18" customHeight="1" x14ac:dyDescent="0.25">
      <c r="A157" s="94"/>
      <c r="B157" s="94" t="s">
        <v>983</v>
      </c>
      <c r="C157" s="94">
        <v>250</v>
      </c>
    </row>
    <row r="158" spans="1:5" ht="15.75" x14ac:dyDescent="0.25">
      <c r="A158" s="94">
        <v>100</v>
      </c>
      <c r="B158" s="94"/>
      <c r="C158" s="94"/>
    </row>
    <row r="159" spans="1:5" ht="18" customHeight="1" x14ac:dyDescent="0.25">
      <c r="A159" s="94"/>
      <c r="B159" s="94"/>
      <c r="C159" s="94"/>
    </row>
    <row r="160" spans="1:5" ht="18" customHeight="1" x14ac:dyDescent="0.25">
      <c r="A160" s="94"/>
      <c r="B160" s="94"/>
      <c r="C160" s="94"/>
    </row>
    <row r="161" spans="1:5" ht="15.75" x14ac:dyDescent="0.25">
      <c r="A161" s="94"/>
      <c r="B161" s="94"/>
      <c r="C161" s="94"/>
    </row>
    <row r="162" spans="1:5" ht="15.75" x14ac:dyDescent="0.25">
      <c r="A162" s="94"/>
      <c r="B162" s="94"/>
      <c r="C162" s="94"/>
    </row>
    <row r="163" spans="1:5" ht="15.75" x14ac:dyDescent="0.25">
      <c r="A163" s="94"/>
      <c r="B163" s="94"/>
      <c r="C163" s="94"/>
    </row>
    <row r="164" spans="1:5" ht="16.5" thickBot="1" x14ac:dyDescent="0.3">
      <c r="A164" s="94"/>
      <c r="B164" s="94"/>
      <c r="C164" s="94"/>
    </row>
    <row r="165" spans="1:5" ht="24" thickBot="1" x14ac:dyDescent="0.3">
      <c r="A165" s="66"/>
      <c r="B165" s="94"/>
      <c r="C165" s="67"/>
      <c r="D165" s="134" t="s">
        <v>43</v>
      </c>
      <c r="E165" s="99">
        <f>E170-E166</f>
        <v>0</v>
      </c>
    </row>
    <row r="166" spans="1:5" ht="21.75" thickBot="1" x14ac:dyDescent="0.3">
      <c r="A166" s="69">
        <f>SUM(A153:A165)</f>
        <v>7418</v>
      </c>
      <c r="C166" s="69">
        <f>SUM(C153:C165)</f>
        <v>488</v>
      </c>
      <c r="D166" s="135" t="s">
        <v>94</v>
      </c>
      <c r="E166" s="85"/>
    </row>
    <row r="167" spans="1:5" ht="21.75" thickBot="1" x14ac:dyDescent="0.3">
      <c r="A167" s="462" t="s">
        <v>139</v>
      </c>
      <c r="B167" s="463"/>
      <c r="C167" s="71" t="s">
        <v>75</v>
      </c>
      <c r="D167" s="136" t="s">
        <v>65</v>
      </c>
      <c r="E167" s="83"/>
    </row>
    <row r="168" spans="1:5" ht="24" thickBot="1" x14ac:dyDescent="0.3">
      <c r="A168" s="464">
        <f>C166+A166</f>
        <v>7906</v>
      </c>
      <c r="B168" s="465"/>
      <c r="C168" s="81"/>
      <c r="D168" s="82"/>
      <c r="E168" s="83"/>
    </row>
    <row r="169" spans="1:5" ht="24" thickBot="1" x14ac:dyDescent="0.3">
      <c r="A169" s="466" t="s">
        <v>99</v>
      </c>
      <c r="B169" s="467"/>
      <c r="C169" s="78">
        <f>A170-C170</f>
        <v>-84</v>
      </c>
      <c r="D169" s="82"/>
      <c r="E169" s="83"/>
    </row>
    <row r="170" spans="1:5" ht="23.25" customHeight="1" thickBot="1" x14ac:dyDescent="0.3">
      <c r="A170" s="468">
        <f>C168+A168</f>
        <v>7906</v>
      </c>
      <c r="B170" s="469"/>
      <c r="C170" s="121">
        <v>7990</v>
      </c>
      <c r="D170" s="82" t="s">
        <v>164</v>
      </c>
      <c r="E170" s="83">
        <f>SUM(E167:E169)</f>
        <v>0</v>
      </c>
    </row>
    <row r="171" spans="1:5" ht="21.75" customHeight="1" thickBot="1" x14ac:dyDescent="0.3">
      <c r="A171"/>
      <c r="B171"/>
      <c r="C171" s="314" t="str">
        <f>IF(C169&gt;0,"زيادة","عجز")</f>
        <v>عجز</v>
      </c>
    </row>
    <row r="172" spans="1:5" ht="18" customHeight="1" x14ac:dyDescent="0.25">
      <c r="A172"/>
      <c r="B172"/>
    </row>
    <row r="173" spans="1:5" x14ac:dyDescent="0.25">
      <c r="A173"/>
      <c r="B173" s="97"/>
    </row>
    <row r="174" spans="1:5" x14ac:dyDescent="0.25">
      <c r="A174"/>
      <c r="B174"/>
    </row>
    <row r="175" spans="1:5" x14ac:dyDescent="0.25">
      <c r="A175"/>
      <c r="B175"/>
    </row>
    <row r="176" spans="1:5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ht="23.25" customHeight="1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ht="21.75" customHeight="1" x14ac:dyDescent="0.25">
      <c r="A208"/>
      <c r="B208"/>
    </row>
    <row r="209" spans="1:2" ht="21" customHeight="1" x14ac:dyDescent="0.25">
      <c r="A209"/>
      <c r="B209"/>
    </row>
    <row r="210" spans="1:2" x14ac:dyDescent="0.25">
      <c r="A210"/>
      <c r="B210"/>
    </row>
    <row r="211" spans="1:2" ht="19.5" customHeight="1" x14ac:dyDescent="0.25">
      <c r="A211"/>
      <c r="B211"/>
    </row>
    <row r="212" spans="1:2" ht="19.5" customHeight="1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6" x14ac:dyDescent="0.25">
      <c r="A321"/>
      <c r="B321"/>
    </row>
    <row r="322" spans="1:6" x14ac:dyDescent="0.25">
      <c r="A322"/>
      <c r="B322"/>
    </row>
    <row r="323" spans="1:6" x14ac:dyDescent="0.25">
      <c r="A323"/>
      <c r="B323"/>
    </row>
    <row r="324" spans="1:6" x14ac:dyDescent="0.25">
      <c r="A324"/>
      <c r="B324"/>
    </row>
    <row r="325" spans="1:6" x14ac:dyDescent="0.25">
      <c r="A325"/>
      <c r="B325"/>
    </row>
    <row r="326" spans="1:6" x14ac:dyDescent="0.25">
      <c r="A326"/>
      <c r="B326"/>
    </row>
    <row r="327" spans="1:6" x14ac:dyDescent="0.25">
      <c r="A327"/>
      <c r="B327"/>
    </row>
    <row r="328" spans="1:6" x14ac:dyDescent="0.25">
      <c r="A328"/>
      <c r="B328"/>
    </row>
    <row r="329" spans="1:6" x14ac:dyDescent="0.25">
      <c r="A329"/>
      <c r="B329"/>
    </row>
    <row r="330" spans="1:6" x14ac:dyDescent="0.25">
      <c r="A330"/>
      <c r="B330"/>
      <c r="F330">
        <f>2778+2841-2043-2544</f>
        <v>1032</v>
      </c>
    </row>
    <row r="331" spans="1:6" x14ac:dyDescent="0.25">
      <c r="A331"/>
      <c r="B331"/>
      <c r="F331">
        <v>920</v>
      </c>
    </row>
    <row r="332" spans="1:6" x14ac:dyDescent="0.25">
      <c r="A332"/>
      <c r="B332"/>
    </row>
    <row r="333" spans="1:6" x14ac:dyDescent="0.25">
      <c r="A333"/>
      <c r="B333"/>
    </row>
    <row r="334" spans="1:6" x14ac:dyDescent="0.25">
      <c r="A334"/>
      <c r="B334"/>
    </row>
    <row r="335" spans="1:6" x14ac:dyDescent="0.25">
      <c r="A335"/>
      <c r="B335"/>
    </row>
    <row r="336" spans="1:6" x14ac:dyDescent="0.25">
      <c r="A336"/>
      <c r="B336"/>
    </row>
    <row r="337" spans="1:7" x14ac:dyDescent="0.25">
      <c r="A337"/>
      <c r="B337"/>
    </row>
    <row r="338" spans="1:7" x14ac:dyDescent="0.25">
      <c r="A338"/>
      <c r="B338"/>
    </row>
    <row r="339" spans="1:7" x14ac:dyDescent="0.25">
      <c r="A339"/>
      <c r="B339"/>
    </row>
    <row r="340" spans="1:7" x14ac:dyDescent="0.25">
      <c r="A340"/>
      <c r="B340"/>
    </row>
    <row r="341" spans="1:7" x14ac:dyDescent="0.25">
      <c r="A341"/>
      <c r="B341"/>
    </row>
    <row r="342" spans="1:7" x14ac:dyDescent="0.25">
      <c r="A342"/>
      <c r="B342"/>
    </row>
    <row r="343" spans="1:7" x14ac:dyDescent="0.25">
      <c r="A343"/>
      <c r="B343"/>
    </row>
    <row r="344" spans="1:7" x14ac:dyDescent="0.25">
      <c r="A344"/>
      <c r="B344"/>
    </row>
    <row r="345" spans="1:7" x14ac:dyDescent="0.25">
      <c r="A345"/>
      <c r="B345"/>
    </row>
    <row r="346" spans="1:7" x14ac:dyDescent="0.25">
      <c r="A346"/>
      <c r="B346"/>
    </row>
    <row r="347" spans="1:7" x14ac:dyDescent="0.25">
      <c r="A347"/>
      <c r="B347"/>
    </row>
    <row r="348" spans="1:7" x14ac:dyDescent="0.25">
      <c r="A348"/>
      <c r="B348"/>
    </row>
    <row r="349" spans="1:7" x14ac:dyDescent="0.25">
      <c r="A349"/>
      <c r="B349"/>
    </row>
    <row r="350" spans="1:7" x14ac:dyDescent="0.25">
      <c r="A350"/>
      <c r="B350"/>
      <c r="G350" t="e">
        <f>#REF!-#REF!</f>
        <v>#REF!</v>
      </c>
    </row>
    <row r="351" spans="1:7" x14ac:dyDescent="0.25">
      <c r="A351"/>
      <c r="B351"/>
    </row>
    <row r="352" spans="1:7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</sheetData>
  <mergeCells count="30">
    <mergeCell ref="A170:B170"/>
    <mergeCell ref="A126:B126"/>
    <mergeCell ref="A127:B127"/>
    <mergeCell ref="B130:C130"/>
    <mergeCell ref="A146:B146"/>
    <mergeCell ref="A147:B147"/>
    <mergeCell ref="A148:B148"/>
    <mergeCell ref="A149:B149"/>
    <mergeCell ref="B151:C151"/>
    <mergeCell ref="A167:B167"/>
    <mergeCell ref="A168:B168"/>
    <mergeCell ref="A169:B169"/>
    <mergeCell ref="A125:B125"/>
    <mergeCell ref="A82:B82"/>
    <mergeCell ref="A83:B83"/>
    <mergeCell ref="A84:B84"/>
    <mergeCell ref="A85:B85"/>
    <mergeCell ref="B87:C87"/>
    <mergeCell ref="A103:B103"/>
    <mergeCell ref="A104:B104"/>
    <mergeCell ref="A105:B105"/>
    <mergeCell ref="A106:B106"/>
    <mergeCell ref="B108:C108"/>
    <mergeCell ref="A124:B124"/>
    <mergeCell ref="B66:C66"/>
    <mergeCell ref="B45:C45"/>
    <mergeCell ref="A61:B61"/>
    <mergeCell ref="A62:B62"/>
    <mergeCell ref="A63:B63"/>
    <mergeCell ref="A64:B64"/>
  </mergeCells>
  <conditionalFormatting sqref="C65">
    <cfRule type="expression" dxfId="27" priority="11">
      <formula>C65="عجز"</formula>
    </cfRule>
    <cfRule type="expression" dxfId="26" priority="12">
      <formula>C65="زيادة"</formula>
    </cfRule>
  </conditionalFormatting>
  <conditionalFormatting sqref="C86">
    <cfRule type="expression" dxfId="25" priority="9">
      <formula>C86="عجز"</formula>
    </cfRule>
    <cfRule type="expression" dxfId="24" priority="10">
      <formula>C86="زيادة"</formula>
    </cfRule>
  </conditionalFormatting>
  <conditionalFormatting sqref="C107">
    <cfRule type="expression" dxfId="23" priority="7">
      <formula>C107="عجز"</formula>
    </cfRule>
    <cfRule type="expression" dxfId="22" priority="8">
      <formula>C107="زيادة"</formula>
    </cfRule>
  </conditionalFormatting>
  <conditionalFormatting sqref="C128">
    <cfRule type="expression" dxfId="21" priority="5">
      <formula>C128="عجز"</formula>
    </cfRule>
    <cfRule type="expression" dxfId="20" priority="6">
      <formula>C128="زيادة"</formula>
    </cfRule>
  </conditionalFormatting>
  <conditionalFormatting sqref="C150">
    <cfRule type="expression" dxfId="19" priority="3">
      <formula>C150="عجز"</formula>
    </cfRule>
    <cfRule type="expression" dxfId="18" priority="4">
      <formula>C150="زيادة"</formula>
    </cfRule>
  </conditionalFormatting>
  <conditionalFormatting sqref="C171">
    <cfRule type="expression" dxfId="17" priority="1">
      <formula>C171="عجز"</formula>
    </cfRule>
    <cfRule type="expression" dxfId="16" priority="2">
      <formula>C171="زيادة"</formula>
    </cfRule>
  </conditionalFormatting>
  <pageMargins left="0.7" right="0.7" top="0.75" bottom="0.75" header="0.3" footer="0.3"/>
  <pageSetup paperSize="260" orientation="portrait" horizontalDpi="203" verticalDpi="203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90CE-D205-4048-85A2-80BDFCE5631B}">
  <sheetPr codeName="Sheet27"/>
  <dimension ref="A1:G406"/>
  <sheetViews>
    <sheetView rightToLeft="1" topLeftCell="A51" zoomScale="115" zoomScaleNormal="115" workbookViewId="0">
      <selection activeCell="C194" sqref="C194"/>
    </sheetView>
  </sheetViews>
  <sheetFormatPr defaultRowHeight="15" x14ac:dyDescent="0.25"/>
  <cols>
    <col min="1" max="1" width="32.85546875" style="9" bestFit="1" customWidth="1"/>
    <col min="2" max="2" width="23.42578125" style="10" customWidth="1"/>
    <col min="3" max="3" width="21.42578125" customWidth="1"/>
    <col min="4" max="4" width="21" customWidth="1"/>
    <col min="5" max="5" width="24.140625" customWidth="1"/>
    <col min="6" max="6" width="6.7109375" bestFit="1" customWidth="1"/>
    <col min="7" max="7" width="45.85546875" customWidth="1"/>
    <col min="8" max="8" width="14.5703125" customWidth="1"/>
    <col min="9" max="9" width="10.7109375" customWidth="1"/>
  </cols>
  <sheetData>
    <row r="1" spans="1:5" ht="18.75" x14ac:dyDescent="0.3">
      <c r="A1" s="1" t="s">
        <v>0</v>
      </c>
      <c r="B1" s="2">
        <v>45115</v>
      </c>
      <c r="C1" s="3"/>
      <c r="D1" s="3"/>
    </row>
    <row r="2" spans="1:5" x14ac:dyDescent="0.25">
      <c r="A2" s="4" t="s">
        <v>1</v>
      </c>
      <c r="B2" s="5" t="s">
        <v>2</v>
      </c>
      <c r="C2" s="5" t="s">
        <v>3</v>
      </c>
      <c r="D2" s="6" t="s">
        <v>4</v>
      </c>
      <c r="E2" s="5" t="s">
        <v>5</v>
      </c>
    </row>
    <row r="3" spans="1:5" x14ac:dyDescent="0.25">
      <c r="A3" s="19"/>
      <c r="B3" s="31"/>
      <c r="C3" s="90"/>
      <c r="D3" s="21"/>
      <c r="E3" s="122"/>
    </row>
    <row r="4" spans="1:5" x14ac:dyDescent="0.25">
      <c r="A4" s="20"/>
      <c r="B4" s="22"/>
      <c r="C4" s="90"/>
      <c r="D4" s="21"/>
      <c r="E4" s="123"/>
    </row>
    <row r="5" spans="1:5" x14ac:dyDescent="0.25">
      <c r="A5" s="20"/>
      <c r="B5" s="22"/>
      <c r="C5" s="90"/>
      <c r="D5" s="21"/>
      <c r="E5" s="123"/>
    </row>
    <row r="6" spans="1:5" x14ac:dyDescent="0.25">
      <c r="A6" s="20"/>
      <c r="B6" s="22"/>
      <c r="C6" s="90"/>
      <c r="D6" s="21"/>
      <c r="E6" s="123"/>
    </row>
    <row r="7" spans="1:5" x14ac:dyDescent="0.25">
      <c r="A7" s="20"/>
      <c r="B7" s="22"/>
      <c r="C7" s="20"/>
      <c r="D7" s="21"/>
      <c r="E7" s="123"/>
    </row>
    <row r="8" spans="1:5" x14ac:dyDescent="0.25">
      <c r="A8" s="20"/>
      <c r="B8" s="21"/>
      <c r="C8" s="20"/>
      <c r="D8" s="91"/>
      <c r="E8" s="123"/>
    </row>
    <row r="9" spans="1:5" x14ac:dyDescent="0.25">
      <c r="A9" s="20"/>
      <c r="B9" s="21"/>
      <c r="C9" s="90"/>
      <c r="D9" s="96"/>
      <c r="E9" s="124"/>
    </row>
    <row r="10" spans="1:5" x14ac:dyDescent="0.25">
      <c r="A10" s="20"/>
      <c r="B10" s="21"/>
      <c r="C10" s="90"/>
      <c r="D10" s="96"/>
      <c r="E10" s="124"/>
    </row>
    <row r="11" spans="1:5" x14ac:dyDescent="0.25">
      <c r="A11" s="20"/>
      <c r="B11" s="21"/>
      <c r="C11" s="90"/>
      <c r="D11" s="96"/>
      <c r="E11" s="124"/>
    </row>
    <row r="12" spans="1:5" x14ac:dyDescent="0.25">
      <c r="A12" s="20"/>
      <c r="B12" s="21"/>
      <c r="C12" s="20"/>
      <c r="D12" s="96"/>
      <c r="E12" s="125"/>
    </row>
    <row r="13" spans="1:5" ht="18" x14ac:dyDescent="0.25">
      <c r="A13" s="20"/>
      <c r="B13" s="96"/>
      <c r="C13" s="90"/>
      <c r="D13" s="96"/>
      <c r="E13" s="77"/>
    </row>
    <row r="14" spans="1:5" ht="18" x14ac:dyDescent="0.25">
      <c r="A14" s="20"/>
      <c r="B14" s="96"/>
      <c r="C14" s="90"/>
      <c r="D14" s="96"/>
      <c r="E14" s="77"/>
    </row>
    <row r="15" spans="1:5" ht="18" x14ac:dyDescent="0.25">
      <c r="A15" s="20"/>
      <c r="B15" s="96"/>
      <c r="C15" s="20"/>
      <c r="D15" s="96"/>
      <c r="E15" s="56"/>
    </row>
    <row r="16" spans="1:5" ht="18" x14ac:dyDescent="0.25">
      <c r="A16" s="20"/>
      <c r="B16" s="96"/>
      <c r="C16" s="20"/>
      <c r="D16" s="117"/>
      <c r="E16" s="56"/>
    </row>
    <row r="17" spans="1:7" ht="18" x14ac:dyDescent="0.25">
      <c r="A17" s="20"/>
      <c r="B17" s="96"/>
      <c r="C17" s="90"/>
      <c r="D17" s="117"/>
      <c r="E17" s="56"/>
    </row>
    <row r="18" spans="1:7" ht="18" x14ac:dyDescent="0.25">
      <c r="A18" s="20"/>
      <c r="B18" s="96"/>
      <c r="C18" s="90"/>
      <c r="D18" s="117"/>
      <c r="E18" s="56"/>
      <c r="G18" s="97"/>
    </row>
    <row r="19" spans="1:7" x14ac:dyDescent="0.25">
      <c r="A19" s="20"/>
      <c r="B19" s="96"/>
      <c r="C19" s="90"/>
      <c r="D19" s="117"/>
      <c r="E19" s="124"/>
      <c r="G19" s="97"/>
    </row>
    <row r="20" spans="1:7" x14ac:dyDescent="0.25">
      <c r="A20" s="20"/>
      <c r="B20" s="96"/>
      <c r="C20" s="90"/>
      <c r="D20" s="117"/>
      <c r="E20" s="124"/>
      <c r="G20" s="97"/>
    </row>
    <row r="21" spans="1:7" x14ac:dyDescent="0.25">
      <c r="A21" s="20"/>
      <c r="B21" s="96"/>
      <c r="C21" s="20"/>
      <c r="D21" s="117"/>
      <c r="E21" s="124"/>
      <c r="G21" s="97"/>
    </row>
    <row r="22" spans="1:7" ht="15.75" x14ac:dyDescent="0.25">
      <c r="A22" s="20"/>
      <c r="B22" s="20"/>
      <c r="C22" s="20"/>
      <c r="D22" s="91"/>
      <c r="E22" s="124"/>
      <c r="F22" s="15"/>
      <c r="G22" s="97"/>
    </row>
    <row r="23" spans="1:7" ht="15.75" x14ac:dyDescent="0.25">
      <c r="A23" s="20"/>
      <c r="B23" s="117"/>
      <c r="C23" s="20"/>
      <c r="D23" s="96"/>
      <c r="E23" s="128"/>
      <c r="F23" s="15"/>
      <c r="G23" s="97"/>
    </row>
    <row r="24" spans="1:7" ht="15.75" x14ac:dyDescent="0.25">
      <c r="A24" s="20"/>
      <c r="B24" s="117"/>
      <c r="C24" s="20"/>
      <c r="D24" s="96"/>
      <c r="E24" s="128"/>
      <c r="F24" s="15"/>
    </row>
    <row r="25" spans="1:7" ht="15.75" x14ac:dyDescent="0.25">
      <c r="A25" s="20"/>
      <c r="B25" s="117"/>
      <c r="C25" s="20"/>
      <c r="D25" s="96"/>
      <c r="E25" s="128"/>
      <c r="F25" s="15"/>
      <c r="G25" s="97"/>
    </row>
    <row r="26" spans="1:7" ht="15.75" x14ac:dyDescent="0.25">
      <c r="A26" s="20"/>
      <c r="B26" s="22"/>
      <c r="C26" s="41"/>
      <c r="D26" s="32"/>
      <c r="E26" s="128"/>
      <c r="F26" s="15"/>
      <c r="G26" s="97"/>
    </row>
    <row r="27" spans="1:7" ht="15.75" x14ac:dyDescent="0.25">
      <c r="A27" s="20"/>
      <c r="B27" s="117"/>
      <c r="C27" s="41"/>
      <c r="D27" s="21"/>
      <c r="E27" s="124"/>
      <c r="F27" s="15"/>
      <c r="G27" s="97"/>
    </row>
    <row r="28" spans="1:7" ht="15.75" x14ac:dyDescent="0.25">
      <c r="A28" s="20"/>
      <c r="B28" s="117"/>
      <c r="C28" s="41"/>
      <c r="D28" s="21"/>
      <c r="E28" s="124"/>
      <c r="F28" s="15"/>
      <c r="G28" s="97"/>
    </row>
    <row r="29" spans="1:7" ht="15.75" x14ac:dyDescent="0.25">
      <c r="A29" s="20"/>
      <c r="B29" s="117"/>
      <c r="C29" s="41"/>
      <c r="D29" s="21"/>
      <c r="E29" s="124"/>
      <c r="F29" s="15"/>
      <c r="G29" s="97"/>
    </row>
    <row r="30" spans="1:7" ht="15.75" x14ac:dyDescent="0.25">
      <c r="A30" s="20"/>
      <c r="B30" s="22"/>
      <c r="C30" s="20"/>
      <c r="D30" s="21"/>
      <c r="E30" s="124"/>
      <c r="F30" s="15"/>
      <c r="G30" s="97"/>
    </row>
    <row r="31" spans="1:7" ht="15.75" x14ac:dyDescent="0.25">
      <c r="A31" s="20"/>
      <c r="B31" s="22"/>
      <c r="C31" s="20"/>
      <c r="D31" s="21"/>
      <c r="E31" s="124"/>
      <c r="F31" s="15"/>
      <c r="G31" s="97"/>
    </row>
    <row r="32" spans="1:7" ht="15.75" x14ac:dyDescent="0.25">
      <c r="A32" s="20"/>
      <c r="B32" s="22"/>
      <c r="C32" s="20"/>
      <c r="D32" s="21"/>
      <c r="E32" s="124"/>
      <c r="F32" s="15"/>
      <c r="G32" s="97"/>
    </row>
    <row r="33" spans="1:7" ht="15.75" x14ac:dyDescent="0.25">
      <c r="A33" s="20"/>
      <c r="B33" s="22"/>
      <c r="C33" s="41"/>
      <c r="D33" s="21"/>
      <c r="E33" s="124"/>
      <c r="F33" s="15"/>
      <c r="G33" s="97"/>
    </row>
    <row r="34" spans="1:7" ht="15.75" x14ac:dyDescent="0.25">
      <c r="A34" s="20"/>
      <c r="B34" s="22"/>
      <c r="C34" s="41"/>
      <c r="D34" s="21"/>
      <c r="E34" s="124"/>
      <c r="F34" s="15"/>
      <c r="G34" s="97"/>
    </row>
    <row r="35" spans="1:7" ht="15.75" x14ac:dyDescent="0.25">
      <c r="A35" s="20"/>
      <c r="B35" s="22"/>
      <c r="C35" s="20"/>
      <c r="D35" s="21"/>
      <c r="E35" s="124"/>
      <c r="F35" s="15"/>
    </row>
    <row r="36" spans="1:7" ht="15.75" x14ac:dyDescent="0.25">
      <c r="A36" s="20"/>
      <c r="B36" s="22"/>
      <c r="C36" s="20"/>
      <c r="D36" s="21"/>
      <c r="E36" s="124"/>
      <c r="F36" s="15"/>
    </row>
    <row r="37" spans="1:7" ht="15.75" x14ac:dyDescent="0.25">
      <c r="A37" s="20"/>
      <c r="B37" s="22"/>
      <c r="C37" s="20"/>
      <c r="D37" s="22"/>
      <c r="E37" s="124"/>
      <c r="F37" s="15"/>
    </row>
    <row r="38" spans="1:7" ht="15.75" x14ac:dyDescent="0.25">
      <c r="A38" s="20"/>
      <c r="B38" s="22"/>
      <c r="C38" s="20"/>
      <c r="D38" s="22"/>
      <c r="E38" s="124"/>
      <c r="F38" s="15"/>
    </row>
    <row r="39" spans="1:7" ht="15.75" x14ac:dyDescent="0.25">
      <c r="A39" s="20"/>
      <c r="B39" s="22"/>
      <c r="C39" s="20"/>
      <c r="D39" s="22"/>
      <c r="E39" s="124"/>
      <c r="F39" s="15"/>
    </row>
    <row r="40" spans="1:7" ht="15.75" x14ac:dyDescent="0.25">
      <c r="A40" s="20"/>
      <c r="B40" s="22"/>
      <c r="C40" s="20"/>
      <c r="D40" s="22"/>
      <c r="E40" s="124"/>
      <c r="F40" s="15"/>
    </row>
    <row r="41" spans="1:7" ht="15.75" x14ac:dyDescent="0.25">
      <c r="A41" s="20"/>
      <c r="B41" s="22"/>
      <c r="C41" s="20"/>
      <c r="D41" s="117"/>
      <c r="E41" s="124"/>
      <c r="F41" s="15"/>
    </row>
    <row r="42" spans="1:7" ht="15.75" x14ac:dyDescent="0.25">
      <c r="A42" s="20"/>
      <c r="B42" s="22"/>
      <c r="C42" s="20"/>
      <c r="D42" s="22"/>
      <c r="E42" s="124"/>
      <c r="F42" s="15"/>
    </row>
    <row r="43" spans="1:7" ht="15.75" x14ac:dyDescent="0.25">
      <c r="A43" s="20"/>
      <c r="B43" s="22"/>
      <c r="C43" s="20"/>
      <c r="D43" s="22"/>
      <c r="E43" s="124"/>
      <c r="F43" s="15"/>
    </row>
    <row r="44" spans="1:7" ht="15.75" x14ac:dyDescent="0.25">
      <c r="A44" s="20"/>
      <c r="B44" s="22"/>
      <c r="C44" s="20"/>
      <c r="D44" s="22"/>
      <c r="E44" s="124"/>
      <c r="F44" s="15"/>
    </row>
    <row r="45" spans="1:7" ht="15.75" x14ac:dyDescent="0.25">
      <c r="A45" s="20"/>
      <c r="B45" s="22"/>
      <c r="C45" s="20"/>
      <c r="D45" s="22"/>
      <c r="E45" s="124"/>
      <c r="F45" s="15"/>
    </row>
    <row r="46" spans="1:7" ht="15.75" x14ac:dyDescent="0.25">
      <c r="A46" s="20"/>
      <c r="B46" s="22"/>
      <c r="C46" s="212"/>
      <c r="D46" s="209"/>
      <c r="E46" s="124"/>
      <c r="F46" s="15"/>
    </row>
    <row r="47" spans="1:7" ht="15.75" x14ac:dyDescent="0.25">
      <c r="A47" s="20"/>
      <c r="B47" s="22"/>
      <c r="C47" s="212"/>
      <c r="D47" s="209"/>
      <c r="E47" s="124"/>
      <c r="F47" s="15"/>
    </row>
    <row r="48" spans="1:7" ht="15.75" x14ac:dyDescent="0.25">
      <c r="A48" s="20"/>
      <c r="B48" s="117"/>
      <c r="C48" s="212"/>
      <c r="D48" s="209"/>
      <c r="E48" s="124"/>
      <c r="F48" s="15"/>
    </row>
    <row r="49" spans="1:6" ht="15.75" x14ac:dyDescent="0.25">
      <c r="A49" s="20"/>
      <c r="B49" s="117"/>
      <c r="C49" s="212"/>
      <c r="D49" s="209"/>
      <c r="E49" s="124"/>
      <c r="F49" s="15"/>
    </row>
    <row r="50" spans="1:6" ht="15.75" x14ac:dyDescent="0.25">
      <c r="A50" s="20"/>
      <c r="B50" s="21"/>
      <c r="C50" s="212"/>
      <c r="D50" s="209"/>
      <c r="E50" s="126"/>
      <c r="F50" s="15"/>
    </row>
    <row r="51" spans="1:6" ht="15.75" x14ac:dyDescent="0.25">
      <c r="A51" s="20"/>
      <c r="B51" s="21"/>
      <c r="C51" s="212"/>
      <c r="D51" s="209"/>
      <c r="E51" s="126"/>
      <c r="F51" s="15"/>
    </row>
    <row r="52" spans="1:6" ht="15.75" x14ac:dyDescent="0.25">
      <c r="A52" s="20"/>
      <c r="B52" s="21"/>
      <c r="C52" s="205"/>
      <c r="D52" s="210"/>
      <c r="E52" s="126"/>
      <c r="F52" s="15"/>
    </row>
    <row r="53" spans="1:6" ht="21.75" thickBot="1" x14ac:dyDescent="0.4">
      <c r="A53" s="130"/>
      <c r="B53" s="131">
        <f>SUBTOTAL(109,Table1572023[Column1])</f>
        <v>0</v>
      </c>
      <c r="C53" s="132"/>
      <c r="D53" s="133">
        <f>SUBTOTAL(109,Table1572023[Column2])</f>
        <v>0</v>
      </c>
      <c r="E53" s="133"/>
    </row>
    <row r="54" spans="1:6" ht="27" thickTop="1" x14ac:dyDescent="0.25">
      <c r="D54" s="16">
        <f>Table1572023[[#Totals],[Column1]]-Table1572023[[#Totals],[Column2]]</f>
        <v>0</v>
      </c>
    </row>
    <row r="55" spans="1:6" ht="15.75" thickBot="1" x14ac:dyDescent="0.3"/>
    <row r="56" spans="1:6" ht="24" thickBot="1" x14ac:dyDescent="0.3">
      <c r="A56" s="76" t="s">
        <v>19</v>
      </c>
      <c r="B56" s="460">
        <v>45122</v>
      </c>
      <c r="C56" s="461"/>
    </row>
    <row r="57" spans="1:6" ht="21" thickBot="1" x14ac:dyDescent="0.3">
      <c r="A57" s="53" t="s">
        <v>137</v>
      </c>
      <c r="B57" s="53" t="s">
        <v>3</v>
      </c>
      <c r="C57" s="53" t="s">
        <v>138</v>
      </c>
    </row>
    <row r="58" spans="1:6" ht="21" x14ac:dyDescent="0.35">
      <c r="A58" s="55">
        <f>3300+5000+3400+2</f>
        <v>11702</v>
      </c>
      <c r="B58" s="57">
        <v>400</v>
      </c>
      <c r="C58" s="77" t="s">
        <v>985</v>
      </c>
      <c r="F58" s="133"/>
    </row>
    <row r="59" spans="1:6" ht="18" x14ac:dyDescent="0.25">
      <c r="A59" s="60">
        <v>445</v>
      </c>
      <c r="B59" s="94">
        <v>215</v>
      </c>
      <c r="C59" s="56" t="s">
        <v>7</v>
      </c>
    </row>
    <row r="60" spans="1:6" ht="18" x14ac:dyDescent="0.25">
      <c r="A60" s="60">
        <v>500</v>
      </c>
      <c r="B60" s="57">
        <v>150</v>
      </c>
      <c r="C60" s="77" t="s">
        <v>373</v>
      </c>
    </row>
    <row r="61" spans="1:6" ht="18" x14ac:dyDescent="0.25">
      <c r="A61" s="60">
        <v>200</v>
      </c>
      <c r="B61" s="57">
        <v>15</v>
      </c>
      <c r="C61" s="77" t="s">
        <v>33</v>
      </c>
    </row>
    <row r="62" spans="1:6" ht="18" x14ac:dyDescent="0.25">
      <c r="A62" s="60"/>
      <c r="B62" s="94">
        <v>177</v>
      </c>
      <c r="C62" s="56" t="s">
        <v>357</v>
      </c>
    </row>
    <row r="63" spans="1:6" ht="18" x14ac:dyDescent="0.25">
      <c r="A63" s="60"/>
      <c r="B63" s="94">
        <v>1285</v>
      </c>
      <c r="C63" s="56" t="s">
        <v>470</v>
      </c>
    </row>
    <row r="64" spans="1:6" ht="18" x14ac:dyDescent="0.25">
      <c r="A64" s="60"/>
      <c r="B64" s="94"/>
      <c r="C64" s="56"/>
    </row>
    <row r="65" spans="1:5" ht="18.75" thickBot="1" x14ac:dyDescent="0.3">
      <c r="A65" s="60"/>
      <c r="B65" s="94"/>
      <c r="C65" s="56"/>
    </row>
    <row r="66" spans="1:5" ht="24" thickBot="1" x14ac:dyDescent="0.3">
      <c r="A66" s="66"/>
      <c r="B66" s="64"/>
      <c r="C66" s="67"/>
      <c r="D66" s="134" t="s">
        <v>43</v>
      </c>
      <c r="E66" s="99">
        <f>E71-E67</f>
        <v>26</v>
      </c>
    </row>
    <row r="67" spans="1:5" ht="23.25" customHeight="1" thickBot="1" x14ac:dyDescent="0.3">
      <c r="A67" s="68">
        <f>SUM(A58:A66)</f>
        <v>12847</v>
      </c>
      <c r="B67" s="69">
        <f>SUM(B58:B66)</f>
        <v>2242</v>
      </c>
      <c r="D67" s="135" t="s">
        <v>94</v>
      </c>
      <c r="E67" s="85">
        <f>2334-5247+4000</f>
        <v>1087</v>
      </c>
    </row>
    <row r="68" spans="1:5" ht="21.75" thickBot="1" x14ac:dyDescent="0.3">
      <c r="A68" s="462" t="s">
        <v>139</v>
      </c>
      <c r="B68" s="463"/>
      <c r="C68" s="71" t="s">
        <v>75</v>
      </c>
      <c r="D68" s="136" t="s">
        <v>65</v>
      </c>
      <c r="E68" s="83">
        <f>4+700+307</f>
        <v>1011</v>
      </c>
    </row>
    <row r="69" spans="1:5" ht="24" thickBot="1" x14ac:dyDescent="0.3">
      <c r="A69" s="464">
        <f>B67+A67</f>
        <v>15089</v>
      </c>
      <c r="B69" s="465"/>
      <c r="C69" s="81">
        <f>40+622+300+275+89+44</f>
        <v>1370</v>
      </c>
      <c r="D69" s="82" t="s">
        <v>25</v>
      </c>
      <c r="E69" s="83">
        <v>20</v>
      </c>
    </row>
    <row r="70" spans="1:5" ht="24" thickBot="1" x14ac:dyDescent="0.3">
      <c r="A70" s="466" t="s">
        <v>99</v>
      </c>
      <c r="B70" s="467"/>
      <c r="C70" s="78">
        <f>A71-C71</f>
        <v>25</v>
      </c>
      <c r="D70" s="82" t="s">
        <v>75</v>
      </c>
      <c r="E70" s="83">
        <v>82</v>
      </c>
    </row>
    <row r="71" spans="1:5" ht="24" thickBot="1" x14ac:dyDescent="0.3">
      <c r="A71" s="468">
        <f>C69+A69</f>
        <v>16459</v>
      </c>
      <c r="B71" s="469"/>
      <c r="C71" s="121">
        <v>16434</v>
      </c>
      <c r="D71" s="82" t="s">
        <v>164</v>
      </c>
      <c r="E71" s="83">
        <f>SUM(E68:E70)</f>
        <v>1113</v>
      </c>
    </row>
    <row r="72" spans="1:5" ht="24" thickBot="1" x14ac:dyDescent="0.3">
      <c r="A72"/>
      <c r="B72"/>
      <c r="C72" s="314" t="str">
        <f>IF(C70&gt;0,"زيادة","عجز")</f>
        <v>زيادة</v>
      </c>
    </row>
    <row r="73" spans="1:5" ht="24" thickBot="1" x14ac:dyDescent="0.3">
      <c r="A73" s="76" t="s">
        <v>80</v>
      </c>
      <c r="B73" s="460">
        <v>45122</v>
      </c>
      <c r="C73" s="461"/>
    </row>
    <row r="74" spans="1:5" ht="21" thickBot="1" x14ac:dyDescent="0.3">
      <c r="A74" s="53" t="s">
        <v>137</v>
      </c>
      <c r="B74" s="53" t="s">
        <v>3</v>
      </c>
      <c r="C74" s="53" t="s">
        <v>138</v>
      </c>
    </row>
    <row r="75" spans="1:5" ht="18" x14ac:dyDescent="0.25">
      <c r="A75" s="55">
        <f>5000+2950+500+275</f>
        <v>8725</v>
      </c>
      <c r="B75" s="57">
        <v>200</v>
      </c>
      <c r="C75" s="77" t="s">
        <v>955</v>
      </c>
    </row>
    <row r="76" spans="1:5" ht="24.75" customHeight="1" x14ac:dyDescent="0.25">
      <c r="A76" s="60"/>
      <c r="B76" s="94">
        <v>140</v>
      </c>
      <c r="C76" s="56" t="s">
        <v>265</v>
      </c>
    </row>
    <row r="77" spans="1:5" ht="18" x14ac:dyDescent="0.25">
      <c r="A77" s="60"/>
      <c r="B77" s="57">
        <v>875</v>
      </c>
      <c r="C77" s="77" t="s">
        <v>17</v>
      </c>
    </row>
    <row r="78" spans="1:5" ht="18" x14ac:dyDescent="0.25">
      <c r="A78" s="60"/>
      <c r="B78" s="57">
        <v>315</v>
      </c>
      <c r="C78" s="77" t="s">
        <v>209</v>
      </c>
    </row>
    <row r="79" spans="1:5" ht="18" x14ac:dyDescent="0.25">
      <c r="A79" s="60"/>
      <c r="B79" s="94">
        <v>295</v>
      </c>
      <c r="C79" s="56" t="s">
        <v>8</v>
      </c>
    </row>
    <row r="80" spans="1:5" ht="18" x14ac:dyDescent="0.25">
      <c r="A80" s="60"/>
      <c r="B80" s="94">
        <v>1770</v>
      </c>
      <c r="C80" s="56" t="s">
        <v>12</v>
      </c>
    </row>
    <row r="81" spans="1:5" ht="18" x14ac:dyDescent="0.25">
      <c r="A81" s="60"/>
      <c r="B81" s="94"/>
      <c r="C81" s="56"/>
    </row>
    <row r="82" spans="1:5" ht="18.75" thickBot="1" x14ac:dyDescent="0.3">
      <c r="A82" s="60"/>
      <c r="B82" s="94"/>
      <c r="C82" s="56"/>
    </row>
    <row r="83" spans="1:5" ht="24" thickBot="1" x14ac:dyDescent="0.3">
      <c r="A83" s="66"/>
      <c r="B83" s="64"/>
      <c r="C83" s="67"/>
      <c r="D83" s="308" t="s">
        <v>43</v>
      </c>
      <c r="E83" s="307">
        <f>E88-E84</f>
        <v>41</v>
      </c>
    </row>
    <row r="84" spans="1:5" ht="21.75" thickBot="1" x14ac:dyDescent="0.3">
      <c r="A84" s="68">
        <f>SUM(A75:A83)</f>
        <v>8725</v>
      </c>
      <c r="B84" s="69">
        <f>SUM(B75:B83)</f>
        <v>3595</v>
      </c>
      <c r="D84" s="135" t="s">
        <v>94</v>
      </c>
      <c r="E84" s="85">
        <f>5247-3261</f>
        <v>1986</v>
      </c>
    </row>
    <row r="85" spans="1:5" ht="21.75" thickBot="1" x14ac:dyDescent="0.3">
      <c r="A85" s="462" t="s">
        <v>139</v>
      </c>
      <c r="B85" s="463"/>
      <c r="C85" s="71" t="s">
        <v>75</v>
      </c>
      <c r="D85" s="136" t="s">
        <v>65</v>
      </c>
      <c r="E85" s="83">
        <f>2000+27</f>
        <v>2027</v>
      </c>
    </row>
    <row r="86" spans="1:5" ht="24" thickBot="1" x14ac:dyDescent="0.3">
      <c r="A86" s="464">
        <f>B84+A84</f>
        <v>12320</v>
      </c>
      <c r="B86" s="465"/>
      <c r="C86" s="81">
        <v>80</v>
      </c>
      <c r="D86" s="82"/>
      <c r="E86" s="83"/>
    </row>
    <row r="87" spans="1:5" ht="24" thickBot="1" x14ac:dyDescent="0.3">
      <c r="A87" s="466" t="s">
        <v>99</v>
      </c>
      <c r="B87" s="467"/>
      <c r="C87" s="78">
        <f>A88-C88</f>
        <v>-13</v>
      </c>
      <c r="D87" s="82"/>
      <c r="E87" s="83"/>
    </row>
    <row r="88" spans="1:5" ht="24" thickBot="1" x14ac:dyDescent="0.3">
      <c r="A88" s="468">
        <f>C86+A86</f>
        <v>12400</v>
      </c>
      <c r="B88" s="469"/>
      <c r="C88" s="121">
        <v>12413</v>
      </c>
      <c r="D88" s="82" t="s">
        <v>164</v>
      </c>
      <c r="E88" s="83">
        <f>SUM(E85:E87)</f>
        <v>2027</v>
      </c>
    </row>
    <row r="89" spans="1:5" ht="24" thickBot="1" x14ac:dyDescent="0.3">
      <c r="A89"/>
      <c r="B89"/>
      <c r="C89" s="314" t="str">
        <f>IF(C87&gt;0,"زيادة","عجز")</f>
        <v>عجز</v>
      </c>
    </row>
    <row r="90" spans="1:5" x14ac:dyDescent="0.25">
      <c r="A90"/>
      <c r="B90"/>
    </row>
    <row r="91" spans="1:5" x14ac:dyDescent="0.25">
      <c r="A91"/>
      <c r="B91"/>
    </row>
    <row r="92" spans="1:5" x14ac:dyDescent="0.25">
      <c r="A92"/>
      <c r="B92"/>
    </row>
    <row r="93" spans="1:5" ht="15.75" thickBot="1" x14ac:dyDescent="0.3">
      <c r="A93"/>
      <c r="B93"/>
    </row>
    <row r="94" spans="1:5" ht="24" thickBot="1" x14ac:dyDescent="0.3">
      <c r="A94" s="76" t="s">
        <v>88</v>
      </c>
      <c r="B94" s="460">
        <v>45122</v>
      </c>
      <c r="C94" s="461"/>
    </row>
    <row r="95" spans="1:5" ht="21" thickBot="1" x14ac:dyDescent="0.3">
      <c r="A95" s="53" t="s">
        <v>137</v>
      </c>
      <c r="B95" s="53" t="s">
        <v>3</v>
      </c>
      <c r="C95" s="53" t="s">
        <v>138</v>
      </c>
    </row>
    <row r="96" spans="1:5" ht="18" x14ac:dyDescent="0.25">
      <c r="A96" s="55">
        <v>366</v>
      </c>
      <c r="B96" s="57">
        <v>80</v>
      </c>
      <c r="C96" s="77" t="s">
        <v>1004</v>
      </c>
    </row>
    <row r="97" spans="1:7" ht="18" x14ac:dyDescent="0.25">
      <c r="A97" s="60"/>
      <c r="B97" s="94">
        <v>210</v>
      </c>
      <c r="C97" s="56" t="s">
        <v>799</v>
      </c>
    </row>
    <row r="98" spans="1:7" ht="18" x14ac:dyDescent="0.25">
      <c r="A98" s="60"/>
      <c r="B98" s="94">
        <v>280</v>
      </c>
      <c r="C98" s="56" t="s">
        <v>1005</v>
      </c>
    </row>
    <row r="99" spans="1:7" ht="18" x14ac:dyDescent="0.25">
      <c r="A99" s="60"/>
      <c r="B99" s="94">
        <v>60</v>
      </c>
      <c r="C99" s="56" t="s">
        <v>1006</v>
      </c>
    </row>
    <row r="100" spans="1:7" ht="18" x14ac:dyDescent="0.25">
      <c r="A100" s="60"/>
      <c r="B100" s="94">
        <v>60</v>
      </c>
      <c r="C100" s="56" t="s">
        <v>797</v>
      </c>
    </row>
    <row r="101" spans="1:7" ht="18" x14ac:dyDescent="0.25">
      <c r="A101" s="60"/>
      <c r="B101" s="94">
        <v>210</v>
      </c>
      <c r="C101" s="56" t="s">
        <v>1007</v>
      </c>
    </row>
    <row r="102" spans="1:7" ht="18" x14ac:dyDescent="0.25">
      <c r="A102" s="60"/>
      <c r="B102" s="94">
        <v>365</v>
      </c>
      <c r="C102" s="56" t="s">
        <v>1008</v>
      </c>
    </row>
    <row r="103" spans="1:7" ht="18" x14ac:dyDescent="0.25">
      <c r="A103" s="60"/>
      <c r="B103" s="94">
        <v>2105</v>
      </c>
      <c r="C103" s="56" t="s">
        <v>1003</v>
      </c>
    </row>
    <row r="104" spans="1:7" ht="18" x14ac:dyDescent="0.25">
      <c r="A104" s="60"/>
      <c r="B104" s="94">
        <v>860</v>
      </c>
      <c r="C104" s="56" t="s">
        <v>37</v>
      </c>
      <c r="E104">
        <f>366+325</f>
        <v>691</v>
      </c>
    </row>
    <row r="105" spans="1:7" ht="18" x14ac:dyDescent="0.25">
      <c r="A105" s="60"/>
      <c r="B105" s="94">
        <v>90</v>
      </c>
      <c r="C105" s="56" t="s">
        <v>1009</v>
      </c>
    </row>
    <row r="106" spans="1:7" ht="27.75" customHeight="1" x14ac:dyDescent="0.25">
      <c r="A106" s="60"/>
      <c r="B106" s="94">
        <v>2064</v>
      </c>
      <c r="C106" s="56" t="s">
        <v>45</v>
      </c>
      <c r="G106">
        <f>5344-5046</f>
        <v>298</v>
      </c>
    </row>
    <row r="107" spans="1:7" ht="18" x14ac:dyDescent="0.25">
      <c r="A107" s="60"/>
      <c r="B107" s="94">
        <v>80</v>
      </c>
      <c r="C107" s="56" t="s">
        <v>302</v>
      </c>
    </row>
    <row r="108" spans="1:7" ht="18" x14ac:dyDescent="0.25">
      <c r="A108" s="60"/>
      <c r="B108" s="94">
        <v>6705</v>
      </c>
      <c r="C108" s="56" t="s">
        <v>53</v>
      </c>
    </row>
    <row r="109" spans="1:7" ht="18" x14ac:dyDescent="0.25">
      <c r="A109" s="60"/>
      <c r="B109" s="94">
        <v>1610</v>
      </c>
      <c r="C109" s="56" t="s">
        <v>1000</v>
      </c>
    </row>
    <row r="110" spans="1:7" ht="18" x14ac:dyDescent="0.25">
      <c r="A110" s="60"/>
      <c r="B110" s="94">
        <v>725</v>
      </c>
      <c r="C110" s="56" t="s">
        <v>1002</v>
      </c>
    </row>
    <row r="111" spans="1:7" ht="18.75" thickBot="1" x14ac:dyDescent="0.3">
      <c r="A111" s="60"/>
      <c r="B111" s="94">
        <v>835</v>
      </c>
      <c r="C111" s="56" t="s">
        <v>1001</v>
      </c>
    </row>
    <row r="112" spans="1:7" ht="24" thickBot="1" x14ac:dyDescent="0.3">
      <c r="A112" s="66"/>
      <c r="B112" s="64"/>
      <c r="C112" s="67"/>
      <c r="D112" s="308" t="s">
        <v>43</v>
      </c>
      <c r="E112" s="307">
        <f>E117-E113</f>
        <v>-325</v>
      </c>
    </row>
    <row r="113" spans="1:6" ht="21.75" thickBot="1" x14ac:dyDescent="0.3">
      <c r="A113" s="68">
        <f>SUM(A96:A112)</f>
        <v>366</v>
      </c>
      <c r="B113" s="69">
        <f>SUM(B96:B112)</f>
        <v>16339</v>
      </c>
      <c r="D113" s="135" t="s">
        <v>94</v>
      </c>
      <c r="E113" s="85">
        <v>325</v>
      </c>
    </row>
    <row r="114" spans="1:6" ht="21.75" thickBot="1" x14ac:dyDescent="0.3">
      <c r="A114" s="462" t="s">
        <v>139</v>
      </c>
      <c r="B114" s="463"/>
      <c r="C114" s="71" t="s">
        <v>75</v>
      </c>
      <c r="D114" s="136" t="s">
        <v>65</v>
      </c>
      <c r="E114" s="83"/>
    </row>
    <row r="115" spans="1:6" ht="24" thickBot="1" x14ac:dyDescent="0.3">
      <c r="A115" s="464">
        <f>B113+A113</f>
        <v>16705</v>
      </c>
      <c r="B115" s="465"/>
      <c r="C115" s="81">
        <v>932</v>
      </c>
      <c r="D115" s="82"/>
      <c r="E115" s="83"/>
    </row>
    <row r="116" spans="1:6" ht="24" thickBot="1" x14ac:dyDescent="0.3">
      <c r="A116" s="466" t="s">
        <v>99</v>
      </c>
      <c r="B116" s="467"/>
      <c r="C116" s="78">
        <f>A117-C117</f>
        <v>17637</v>
      </c>
      <c r="D116" s="82"/>
      <c r="E116" s="83"/>
      <c r="F116" t="s">
        <v>441</v>
      </c>
    </row>
    <row r="117" spans="1:6" ht="24" thickBot="1" x14ac:dyDescent="0.3">
      <c r="A117" s="468">
        <f>C115+A115</f>
        <v>17637</v>
      </c>
      <c r="B117" s="469"/>
      <c r="C117" s="121"/>
      <c r="D117" s="82" t="s">
        <v>164</v>
      </c>
      <c r="E117" s="83">
        <f>SUM(E114:E116)</f>
        <v>0</v>
      </c>
      <c r="F117" t="s">
        <v>439</v>
      </c>
    </row>
    <row r="118" spans="1:6" ht="24" customHeight="1" thickBot="1" x14ac:dyDescent="0.3">
      <c r="A118"/>
      <c r="B118"/>
      <c r="C118" s="314" t="str">
        <f>IF(C116&gt;0,"زيادة","عجز")</f>
        <v>زيادة</v>
      </c>
      <c r="F118" t="s">
        <v>440</v>
      </c>
    </row>
    <row r="119" spans="1:6" ht="24" thickBot="1" x14ac:dyDescent="0.3">
      <c r="A119" s="76" t="s">
        <v>363</v>
      </c>
      <c r="B119" s="460">
        <v>45122</v>
      </c>
      <c r="C119" s="461"/>
      <c r="F119" t="s">
        <v>442</v>
      </c>
    </row>
    <row r="120" spans="1:6" ht="21" thickBot="1" x14ac:dyDescent="0.3">
      <c r="A120" s="53" t="s">
        <v>137</v>
      </c>
      <c r="B120" s="53" t="s">
        <v>3</v>
      </c>
      <c r="C120" s="53" t="s">
        <v>138</v>
      </c>
    </row>
    <row r="121" spans="1:6" ht="18" x14ac:dyDescent="0.25">
      <c r="A121" s="55">
        <f>10000+5000+1000+500+75</f>
        <v>16575</v>
      </c>
      <c r="B121" s="57">
        <v>350</v>
      </c>
      <c r="C121" s="77" t="s">
        <v>1010</v>
      </c>
    </row>
    <row r="122" spans="1:6" ht="18" x14ac:dyDescent="0.25">
      <c r="A122" s="60"/>
      <c r="B122" s="94">
        <v>2000</v>
      </c>
      <c r="C122" s="56" t="s">
        <v>1011</v>
      </c>
    </row>
    <row r="123" spans="1:6" ht="18" x14ac:dyDescent="0.25">
      <c r="A123" s="60"/>
      <c r="B123" s="94">
        <v>17</v>
      </c>
      <c r="C123" s="56" t="s">
        <v>357</v>
      </c>
    </row>
    <row r="124" spans="1:6" ht="18" x14ac:dyDescent="0.25">
      <c r="A124" s="60"/>
      <c r="B124" s="94"/>
      <c r="C124" s="56"/>
    </row>
    <row r="125" spans="1:6" ht="18" x14ac:dyDescent="0.25">
      <c r="A125" s="60"/>
      <c r="B125" s="94"/>
      <c r="C125" s="56"/>
    </row>
    <row r="126" spans="1:6" ht="18.75" thickBot="1" x14ac:dyDescent="0.3">
      <c r="A126" s="60"/>
      <c r="B126" s="94"/>
      <c r="C126" s="56"/>
    </row>
    <row r="127" spans="1:6" ht="24" thickBot="1" x14ac:dyDescent="0.3">
      <c r="A127" s="66"/>
      <c r="B127" s="64"/>
      <c r="C127" s="67"/>
      <c r="D127" s="308" t="s">
        <v>43</v>
      </c>
      <c r="E127" s="307">
        <f>E132-E128</f>
        <v>9</v>
      </c>
    </row>
    <row r="128" spans="1:6" ht="21.75" thickBot="1" x14ac:dyDescent="0.3">
      <c r="A128" s="68">
        <f>SUM(A121:A127)</f>
        <v>16575</v>
      </c>
      <c r="B128" s="69">
        <f>SUM(B121:B127)</f>
        <v>2367</v>
      </c>
      <c r="D128" s="135" t="s">
        <v>94</v>
      </c>
      <c r="E128" s="85">
        <f>3261-7355+5000</f>
        <v>906</v>
      </c>
    </row>
    <row r="129" spans="1:5" ht="21.75" thickBot="1" x14ac:dyDescent="0.3">
      <c r="A129" s="462" t="s">
        <v>139</v>
      </c>
      <c r="B129" s="463"/>
      <c r="C129" s="71" t="s">
        <v>75</v>
      </c>
      <c r="D129" s="136" t="s">
        <v>65</v>
      </c>
      <c r="E129" s="83">
        <f>600+315</f>
        <v>915</v>
      </c>
    </row>
    <row r="130" spans="1:5" ht="24" thickBot="1" x14ac:dyDescent="0.3">
      <c r="A130" s="464">
        <f>B128+A128</f>
        <v>18942</v>
      </c>
      <c r="B130" s="465"/>
      <c r="C130" s="81">
        <v>342</v>
      </c>
      <c r="D130" s="82"/>
      <c r="E130" s="83"/>
    </row>
    <row r="131" spans="1:5" ht="24" thickBot="1" x14ac:dyDescent="0.3">
      <c r="A131" s="466" t="s">
        <v>99</v>
      </c>
      <c r="B131" s="467"/>
      <c r="C131" s="78">
        <f>A132-C132</f>
        <v>78</v>
      </c>
      <c r="D131" s="82"/>
      <c r="E131" s="83"/>
    </row>
    <row r="132" spans="1:5" ht="24" thickBot="1" x14ac:dyDescent="0.3">
      <c r="A132" s="468">
        <f>C130+A130</f>
        <v>19284</v>
      </c>
      <c r="B132" s="469"/>
      <c r="C132" s="121">
        <v>19206</v>
      </c>
      <c r="D132" s="82" t="s">
        <v>164</v>
      </c>
      <c r="E132" s="83">
        <f>SUM(E129:E131)</f>
        <v>915</v>
      </c>
    </row>
    <row r="133" spans="1:5" ht="24" thickBot="1" x14ac:dyDescent="0.3">
      <c r="A133"/>
      <c r="B133"/>
      <c r="C133" s="314" t="str">
        <f>IF(C131&gt;0,"زيادة","عجز")</f>
        <v>زيادة</v>
      </c>
    </row>
    <row r="134" spans="1:5" ht="15.75" thickBot="1" x14ac:dyDescent="0.3">
      <c r="A134"/>
      <c r="B134"/>
    </row>
    <row r="135" spans="1:5" ht="24" thickBot="1" x14ac:dyDescent="0.3">
      <c r="A135" s="76" t="s">
        <v>121</v>
      </c>
      <c r="B135" s="460">
        <v>45122</v>
      </c>
      <c r="C135" s="461"/>
    </row>
    <row r="136" spans="1:5" ht="24" customHeight="1" thickBot="1" x14ac:dyDescent="0.3">
      <c r="A136" s="53" t="s">
        <v>137</v>
      </c>
      <c r="B136" s="53" t="s">
        <v>3</v>
      </c>
      <c r="C136" s="53" t="s">
        <v>138</v>
      </c>
    </row>
    <row r="137" spans="1:5" ht="18" x14ac:dyDescent="0.25">
      <c r="A137" s="55">
        <f>5000+3040</f>
        <v>8040</v>
      </c>
      <c r="B137" s="57">
        <v>26</v>
      </c>
      <c r="C137" s="77" t="s">
        <v>954</v>
      </c>
    </row>
    <row r="138" spans="1:5" ht="18" x14ac:dyDescent="0.25">
      <c r="A138" s="60"/>
      <c r="B138" s="94"/>
      <c r="C138" s="56"/>
    </row>
    <row r="139" spans="1:5" ht="18" x14ac:dyDescent="0.25">
      <c r="A139" s="60"/>
      <c r="B139" s="94"/>
      <c r="C139" s="56"/>
    </row>
    <row r="140" spans="1:5" ht="18" x14ac:dyDescent="0.25">
      <c r="A140" s="60"/>
      <c r="B140" s="94"/>
      <c r="C140" s="56"/>
    </row>
    <row r="141" spans="1:5" ht="18" customHeight="1" x14ac:dyDescent="0.25">
      <c r="A141" s="60"/>
      <c r="B141" s="94"/>
      <c r="C141" s="56"/>
    </row>
    <row r="142" spans="1:5" ht="18" customHeight="1" thickBot="1" x14ac:dyDescent="0.3">
      <c r="A142" s="60"/>
      <c r="B142" s="94"/>
      <c r="C142" s="56"/>
    </row>
    <row r="143" spans="1:5" ht="24" thickBot="1" x14ac:dyDescent="0.3">
      <c r="A143" s="66"/>
      <c r="B143" s="64"/>
      <c r="C143" s="67"/>
      <c r="D143" s="308" t="s">
        <v>43</v>
      </c>
      <c r="E143" s="307">
        <f>E148-E144</f>
        <v>21</v>
      </c>
    </row>
    <row r="144" spans="1:5" ht="21.75" thickBot="1" x14ac:dyDescent="0.3">
      <c r="A144" s="68">
        <f>SUM(A137:A143)</f>
        <v>8040</v>
      </c>
      <c r="B144" s="69">
        <f>SUM(B137:B143)</f>
        <v>26</v>
      </c>
      <c r="D144" s="135" t="s">
        <v>94</v>
      </c>
      <c r="E144" s="85">
        <f>5046-4683</f>
        <v>363</v>
      </c>
    </row>
    <row r="145" spans="1:5" ht="21.75" thickBot="1" x14ac:dyDescent="0.3">
      <c r="A145" s="462" t="s">
        <v>139</v>
      </c>
      <c r="B145" s="463"/>
      <c r="C145" s="71" t="s">
        <v>75</v>
      </c>
      <c r="D145" s="136" t="s">
        <v>65</v>
      </c>
      <c r="E145" s="83">
        <f>300+74</f>
        <v>374</v>
      </c>
    </row>
    <row r="146" spans="1:5" ht="24" thickBot="1" x14ac:dyDescent="0.3">
      <c r="A146" s="464">
        <f>B144+A144</f>
        <v>8066</v>
      </c>
      <c r="B146" s="465"/>
      <c r="C146" s="81">
        <f>308+52</f>
        <v>360</v>
      </c>
      <c r="D146" s="82" t="s">
        <v>350</v>
      </c>
      <c r="E146" s="83">
        <v>10</v>
      </c>
    </row>
    <row r="147" spans="1:5" ht="24" thickBot="1" x14ac:dyDescent="0.3">
      <c r="A147" s="466" t="s">
        <v>99</v>
      </c>
      <c r="B147" s="467"/>
      <c r="C147" s="78">
        <f>A148-C148</f>
        <v>22</v>
      </c>
      <c r="D147" s="82"/>
      <c r="E147" s="83"/>
    </row>
    <row r="148" spans="1:5" ht="24" thickBot="1" x14ac:dyDescent="0.3">
      <c r="A148" s="468">
        <f>C146+A146</f>
        <v>8426</v>
      </c>
      <c r="B148" s="469"/>
      <c r="C148" s="121">
        <v>8404</v>
      </c>
      <c r="D148" s="82" t="s">
        <v>164</v>
      </c>
      <c r="E148" s="83">
        <f>SUM(E145:E147)</f>
        <v>384</v>
      </c>
    </row>
    <row r="149" spans="1:5" ht="21.75" customHeight="1" thickBot="1" x14ac:dyDescent="0.3">
      <c r="A149"/>
      <c r="B149"/>
      <c r="C149" s="314" t="str">
        <f>IF(C147&gt;0,"زيادة","عجز")</f>
        <v>زيادة</v>
      </c>
    </row>
    <row r="150" spans="1:5" ht="24" thickBot="1" x14ac:dyDescent="0.3">
      <c r="A150" s="76" t="s">
        <v>15</v>
      </c>
      <c r="B150" s="460">
        <v>45122</v>
      </c>
      <c r="C150" s="461"/>
    </row>
    <row r="151" spans="1:5" ht="18" customHeight="1" thickBot="1" x14ac:dyDescent="0.3">
      <c r="A151" s="53" t="s">
        <v>137</v>
      </c>
      <c r="B151" s="53" t="s">
        <v>3</v>
      </c>
      <c r="C151" s="53" t="s">
        <v>138</v>
      </c>
    </row>
    <row r="152" spans="1:5" ht="18" x14ac:dyDescent="0.25">
      <c r="A152" s="55">
        <f>10000+5000+2400+205</f>
        <v>17605</v>
      </c>
      <c r="B152" s="57">
        <v>100</v>
      </c>
      <c r="C152" s="77" t="s">
        <v>29</v>
      </c>
    </row>
    <row r="153" spans="1:5" ht="18" customHeight="1" x14ac:dyDescent="0.25">
      <c r="A153" s="60"/>
      <c r="B153" s="94">
        <v>95</v>
      </c>
      <c r="C153" s="56" t="s">
        <v>494</v>
      </c>
    </row>
    <row r="154" spans="1:5" ht="18" customHeight="1" x14ac:dyDescent="0.25">
      <c r="A154" s="60"/>
      <c r="B154" s="94">
        <v>150</v>
      </c>
      <c r="C154" s="56" t="s">
        <v>708</v>
      </c>
    </row>
    <row r="155" spans="1:5" ht="18" x14ac:dyDescent="0.25">
      <c r="A155" s="60"/>
      <c r="B155" s="94">
        <v>27</v>
      </c>
      <c r="C155" s="56" t="s">
        <v>458</v>
      </c>
    </row>
    <row r="156" spans="1:5" ht="18" x14ac:dyDescent="0.25">
      <c r="A156" s="60"/>
      <c r="B156" s="94">
        <v>100</v>
      </c>
      <c r="C156" s="56" t="s">
        <v>41</v>
      </c>
    </row>
    <row r="157" spans="1:5" ht="18.75" thickBot="1" x14ac:dyDescent="0.3">
      <c r="A157" s="60"/>
      <c r="B157" s="94"/>
      <c r="C157" s="56"/>
    </row>
    <row r="158" spans="1:5" ht="24" thickBot="1" x14ac:dyDescent="0.3">
      <c r="A158" s="66"/>
      <c r="B158" s="64"/>
      <c r="C158" s="67"/>
      <c r="D158" s="308" t="s">
        <v>43</v>
      </c>
      <c r="E158" s="307">
        <f>E163-E159</f>
        <v>5</v>
      </c>
    </row>
    <row r="159" spans="1:5" ht="21.75" thickBot="1" x14ac:dyDescent="0.3">
      <c r="A159" s="68">
        <f>SUM(A152:A158)</f>
        <v>17605</v>
      </c>
      <c r="B159" s="69">
        <f>SUM(B152:B158)</f>
        <v>472</v>
      </c>
      <c r="D159" s="135" t="s">
        <v>94</v>
      </c>
      <c r="E159" s="85">
        <f>4683-4226</f>
        <v>457</v>
      </c>
    </row>
    <row r="160" spans="1:5" ht="21.75" thickBot="1" x14ac:dyDescent="0.3">
      <c r="A160" s="462" t="s">
        <v>139</v>
      </c>
      <c r="B160" s="463"/>
      <c r="C160" s="71" t="s">
        <v>75</v>
      </c>
      <c r="D160" s="136" t="s">
        <v>65</v>
      </c>
      <c r="E160" s="83">
        <f>350+112</f>
        <v>462</v>
      </c>
    </row>
    <row r="161" spans="1:5" ht="24" thickBot="1" x14ac:dyDescent="0.3">
      <c r="A161" s="464">
        <f>B159+A159</f>
        <v>18077</v>
      </c>
      <c r="B161" s="465"/>
      <c r="C161" s="81">
        <f>245+141</f>
        <v>386</v>
      </c>
      <c r="D161" s="82"/>
      <c r="E161" s="83"/>
    </row>
    <row r="162" spans="1:5" ht="24" thickBot="1" x14ac:dyDescent="0.3">
      <c r="A162" s="466" t="s">
        <v>99</v>
      </c>
      <c r="B162" s="467"/>
      <c r="C162" s="78">
        <f>A163-C163</f>
        <v>-15</v>
      </c>
      <c r="D162" s="82"/>
      <c r="E162" s="83"/>
    </row>
    <row r="163" spans="1:5" ht="24" thickBot="1" x14ac:dyDescent="0.3">
      <c r="A163" s="468">
        <f>C161+A161</f>
        <v>18463</v>
      </c>
      <c r="B163" s="469"/>
      <c r="C163" s="121">
        <v>18478</v>
      </c>
      <c r="D163" s="82" t="s">
        <v>164</v>
      </c>
      <c r="E163" s="83">
        <f>SUM(E160:E162)</f>
        <v>462</v>
      </c>
    </row>
    <row r="164" spans="1:5" ht="23.25" customHeight="1" thickBot="1" x14ac:dyDescent="0.3">
      <c r="A164"/>
      <c r="B164"/>
      <c r="C164" s="314" t="str">
        <f>IF(C162&gt;0,"زيادة","عجز")</f>
        <v>عجز</v>
      </c>
    </row>
    <row r="165" spans="1:5" ht="21.75" customHeight="1" thickBot="1" x14ac:dyDescent="0.3">
      <c r="A165" s="76" t="s">
        <v>60</v>
      </c>
      <c r="B165" s="460">
        <v>45122</v>
      </c>
      <c r="C165" s="461"/>
    </row>
    <row r="166" spans="1:5" ht="18" customHeight="1" thickBot="1" x14ac:dyDescent="0.3">
      <c r="A166" s="53" t="s">
        <v>137</v>
      </c>
      <c r="B166" s="53" t="s">
        <v>3</v>
      </c>
      <c r="C166" s="53" t="s">
        <v>138</v>
      </c>
    </row>
    <row r="167" spans="1:5" ht="18" x14ac:dyDescent="0.25">
      <c r="A167" s="55">
        <f>4570-500</f>
        <v>4070</v>
      </c>
      <c r="B167" s="57">
        <v>30</v>
      </c>
      <c r="C167" s="77" t="s">
        <v>954</v>
      </c>
    </row>
    <row r="168" spans="1:5" ht="18" x14ac:dyDescent="0.25">
      <c r="A168" s="60">
        <v>100</v>
      </c>
      <c r="B168" s="94">
        <v>140</v>
      </c>
      <c r="C168" s="56" t="s">
        <v>376</v>
      </c>
    </row>
    <row r="169" spans="1:5" ht="18" x14ac:dyDescent="0.25">
      <c r="A169" s="60"/>
      <c r="B169" s="94"/>
      <c r="C169" s="56"/>
    </row>
    <row r="170" spans="1:5" ht="18" x14ac:dyDescent="0.25">
      <c r="A170" s="60"/>
      <c r="B170" s="94"/>
      <c r="C170" s="56"/>
    </row>
    <row r="171" spans="1:5" ht="18" x14ac:dyDescent="0.25">
      <c r="A171" s="60"/>
      <c r="B171" s="94"/>
      <c r="C171" s="56"/>
    </row>
    <row r="172" spans="1:5" ht="18.75" thickBot="1" x14ac:dyDescent="0.3">
      <c r="A172" s="60"/>
      <c r="B172" s="94"/>
      <c r="C172" s="56"/>
    </row>
    <row r="173" spans="1:5" ht="24" thickBot="1" x14ac:dyDescent="0.3">
      <c r="A173" s="66"/>
      <c r="B173" s="64"/>
      <c r="C173" s="67"/>
      <c r="D173" s="308" t="s">
        <v>43</v>
      </c>
      <c r="E173" s="307">
        <f>E178-E174</f>
        <v>0</v>
      </c>
    </row>
    <row r="174" spans="1:5" ht="21.75" thickBot="1" x14ac:dyDescent="0.3">
      <c r="A174" s="68">
        <f>SUM(A167:A173)</f>
        <v>4170</v>
      </c>
      <c r="B174" s="69">
        <f>SUM(B167:B173)</f>
        <v>170</v>
      </c>
      <c r="D174" s="135" t="s">
        <v>94</v>
      </c>
      <c r="E174" s="85"/>
    </row>
    <row r="175" spans="1:5" ht="21.75" thickBot="1" x14ac:dyDescent="0.3">
      <c r="A175" s="462" t="s">
        <v>139</v>
      </c>
      <c r="B175" s="463"/>
      <c r="C175" s="71" t="s">
        <v>75</v>
      </c>
      <c r="D175" s="136" t="s">
        <v>65</v>
      </c>
      <c r="E175" s="83"/>
    </row>
    <row r="176" spans="1:5" ht="24" thickBot="1" x14ac:dyDescent="0.3">
      <c r="A176" s="464">
        <f>B174+A174</f>
        <v>4340</v>
      </c>
      <c r="B176" s="465"/>
      <c r="C176" s="81"/>
      <c r="D176" s="82"/>
      <c r="E176" s="83"/>
    </row>
    <row r="177" spans="1:5" ht="24" thickBot="1" x14ac:dyDescent="0.3">
      <c r="A177" s="466" t="s">
        <v>99</v>
      </c>
      <c r="B177" s="467"/>
      <c r="C177" s="78">
        <f>A178-C178</f>
        <v>-94</v>
      </c>
      <c r="D177" s="82"/>
      <c r="E177" s="83"/>
    </row>
    <row r="178" spans="1:5" ht="24" thickBot="1" x14ac:dyDescent="0.3">
      <c r="A178" s="468">
        <f>C176+A176</f>
        <v>4340</v>
      </c>
      <c r="B178" s="469"/>
      <c r="C178" s="121">
        <f>5250-816</f>
        <v>4434</v>
      </c>
      <c r="D178" s="82" t="s">
        <v>164</v>
      </c>
      <c r="E178" s="83">
        <f>SUM(E175:E177)</f>
        <v>0</v>
      </c>
    </row>
    <row r="179" spans="1:5" ht="24" thickBot="1" x14ac:dyDescent="0.3">
      <c r="A179"/>
      <c r="B179"/>
      <c r="C179" s="314" t="str">
        <f>IF(C177&gt;0,"زيادة","عجز")</f>
        <v>عجز</v>
      </c>
    </row>
    <row r="180" spans="1:5" ht="24" thickBot="1" x14ac:dyDescent="0.3">
      <c r="A180" s="76" t="s">
        <v>85</v>
      </c>
      <c r="B180" s="460">
        <v>45122</v>
      </c>
      <c r="C180" s="461"/>
    </row>
    <row r="181" spans="1:5" ht="21" thickBot="1" x14ac:dyDescent="0.3">
      <c r="A181" s="53" t="s">
        <v>137</v>
      </c>
      <c r="B181" s="53" t="s">
        <v>3</v>
      </c>
      <c r="C181" s="53" t="s">
        <v>138</v>
      </c>
    </row>
    <row r="182" spans="1:5" ht="18" x14ac:dyDescent="0.25">
      <c r="A182" s="55">
        <f>5000+2450+50</f>
        <v>7500</v>
      </c>
      <c r="B182" s="57">
        <v>210</v>
      </c>
      <c r="C182" s="77" t="s">
        <v>1021</v>
      </c>
    </row>
    <row r="183" spans="1:5" ht="18" x14ac:dyDescent="0.25">
      <c r="A183" s="60"/>
      <c r="B183" s="94">
        <v>145</v>
      </c>
      <c r="C183" s="56" t="s">
        <v>552</v>
      </c>
    </row>
    <row r="184" spans="1:5" ht="18" x14ac:dyDescent="0.25">
      <c r="A184" s="60"/>
      <c r="B184" s="94">
        <v>170</v>
      </c>
      <c r="C184" s="56" t="s">
        <v>498</v>
      </c>
    </row>
    <row r="185" spans="1:5" ht="18" x14ac:dyDescent="0.25">
      <c r="A185" s="60"/>
      <c r="B185" s="94">
        <v>171</v>
      </c>
      <c r="C185" s="56" t="s">
        <v>86</v>
      </c>
    </row>
    <row r="186" spans="1:5" ht="18" x14ac:dyDescent="0.25">
      <c r="A186" s="60"/>
      <c r="B186" s="94">
        <v>90</v>
      </c>
      <c r="C186" s="56" t="s">
        <v>510</v>
      </c>
    </row>
    <row r="187" spans="1:5" ht="18.75" thickBot="1" x14ac:dyDescent="0.3">
      <c r="A187" s="60"/>
      <c r="B187" s="94">
        <v>3546</v>
      </c>
      <c r="C187" s="56" t="s">
        <v>1022</v>
      </c>
    </row>
    <row r="188" spans="1:5" ht="23.25" customHeight="1" thickBot="1" x14ac:dyDescent="0.3">
      <c r="A188" s="66"/>
      <c r="B188" s="64"/>
      <c r="C188" s="67"/>
      <c r="D188" s="308" t="s">
        <v>43</v>
      </c>
      <c r="E188" s="307">
        <f>E193-E189</f>
        <v>0</v>
      </c>
    </row>
    <row r="189" spans="1:5" ht="21.75" thickBot="1" x14ac:dyDescent="0.3">
      <c r="A189" s="68">
        <f>SUM(A182:A188)</f>
        <v>7500</v>
      </c>
      <c r="B189" s="69">
        <f>SUM(B182:B188)</f>
        <v>4332</v>
      </c>
      <c r="D189" s="135" t="s">
        <v>94</v>
      </c>
      <c r="E189" s="85"/>
    </row>
    <row r="190" spans="1:5" ht="21.75" thickBot="1" x14ac:dyDescent="0.3">
      <c r="A190" s="462" t="s">
        <v>139</v>
      </c>
      <c r="B190" s="463"/>
      <c r="C190" s="71" t="s">
        <v>75</v>
      </c>
      <c r="D190" s="136" t="s">
        <v>65</v>
      </c>
      <c r="E190" s="83"/>
    </row>
    <row r="191" spans="1:5" ht="24" thickBot="1" x14ac:dyDescent="0.3">
      <c r="A191" s="464">
        <f>B189+A189</f>
        <v>11832</v>
      </c>
      <c r="B191" s="465"/>
      <c r="C191" s="81">
        <f>73+179+319</f>
        <v>571</v>
      </c>
      <c r="D191" s="82"/>
      <c r="E191" s="83"/>
    </row>
    <row r="192" spans="1:5" ht="24" thickBot="1" x14ac:dyDescent="0.3">
      <c r="A192" s="466" t="s">
        <v>99</v>
      </c>
      <c r="B192" s="467"/>
      <c r="C192" s="78">
        <f>A193-C193</f>
        <v>-128</v>
      </c>
      <c r="D192" s="82"/>
      <c r="E192" s="83"/>
    </row>
    <row r="193" spans="1:5" ht="24" thickBot="1" x14ac:dyDescent="0.3">
      <c r="A193" s="468">
        <f>C191+A191</f>
        <v>12403</v>
      </c>
      <c r="B193" s="469"/>
      <c r="C193" s="121">
        <v>12531</v>
      </c>
      <c r="D193" s="82" t="s">
        <v>164</v>
      </c>
      <c r="E193" s="83">
        <f>SUM(E190:E192)</f>
        <v>0</v>
      </c>
    </row>
    <row r="194" spans="1:5" ht="24" thickBot="1" x14ac:dyDescent="0.3">
      <c r="A194"/>
      <c r="B194"/>
      <c r="C194" s="314" t="str">
        <f>IF(C192&gt;0,"زيادة","عجز")</f>
        <v>عجز</v>
      </c>
    </row>
    <row r="195" spans="1:5" x14ac:dyDescent="0.25">
      <c r="A195"/>
      <c r="B195"/>
    </row>
    <row r="196" spans="1:5" x14ac:dyDescent="0.25">
      <c r="A196"/>
      <c r="B196"/>
    </row>
    <row r="197" spans="1:5" x14ac:dyDescent="0.25">
      <c r="A197"/>
      <c r="B197"/>
    </row>
    <row r="198" spans="1:5" x14ac:dyDescent="0.25">
      <c r="A198"/>
      <c r="B198"/>
    </row>
    <row r="199" spans="1:5" x14ac:dyDescent="0.25">
      <c r="A199"/>
      <c r="B199"/>
    </row>
    <row r="200" spans="1:5" x14ac:dyDescent="0.25">
      <c r="A200"/>
      <c r="B200"/>
    </row>
    <row r="201" spans="1:5" x14ac:dyDescent="0.25">
      <c r="A201"/>
      <c r="B201"/>
    </row>
    <row r="202" spans="1:5" ht="21.75" customHeight="1" x14ac:dyDescent="0.25">
      <c r="A202"/>
      <c r="B202"/>
    </row>
    <row r="203" spans="1:5" ht="21" customHeight="1" x14ac:dyDescent="0.25">
      <c r="A203"/>
      <c r="B203"/>
    </row>
    <row r="204" spans="1:5" x14ac:dyDescent="0.25">
      <c r="A204"/>
      <c r="B204"/>
    </row>
    <row r="205" spans="1:5" ht="19.5" customHeight="1" x14ac:dyDescent="0.25">
      <c r="A205"/>
      <c r="B205"/>
    </row>
    <row r="206" spans="1:5" ht="19.5" customHeight="1" x14ac:dyDescent="0.25">
      <c r="A206"/>
      <c r="B206"/>
    </row>
    <row r="207" spans="1:5" x14ac:dyDescent="0.25">
      <c r="A207"/>
      <c r="B207"/>
    </row>
    <row r="208" spans="1:5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6" x14ac:dyDescent="0.25">
      <c r="A321"/>
      <c r="B321"/>
    </row>
    <row r="322" spans="1:6" x14ac:dyDescent="0.25">
      <c r="A322"/>
      <c r="B322"/>
    </row>
    <row r="323" spans="1:6" x14ac:dyDescent="0.25">
      <c r="A323"/>
      <c r="B323"/>
    </row>
    <row r="324" spans="1:6" x14ac:dyDescent="0.25">
      <c r="A324"/>
      <c r="B324"/>
      <c r="F324">
        <f>2778+2841-2043-2544</f>
        <v>1032</v>
      </c>
    </row>
    <row r="325" spans="1:6" x14ac:dyDescent="0.25">
      <c r="A325"/>
      <c r="B325"/>
      <c r="F325">
        <v>920</v>
      </c>
    </row>
    <row r="326" spans="1:6" x14ac:dyDescent="0.25">
      <c r="A326"/>
      <c r="B326"/>
    </row>
    <row r="327" spans="1:6" x14ac:dyDescent="0.25">
      <c r="A327"/>
      <c r="B327"/>
    </row>
    <row r="328" spans="1:6" x14ac:dyDescent="0.25">
      <c r="A328"/>
      <c r="B328"/>
    </row>
    <row r="329" spans="1:6" x14ac:dyDescent="0.25">
      <c r="A329"/>
      <c r="B329"/>
    </row>
    <row r="330" spans="1:6" x14ac:dyDescent="0.25">
      <c r="A330"/>
      <c r="B330"/>
    </row>
    <row r="331" spans="1:6" x14ac:dyDescent="0.25">
      <c r="A331"/>
      <c r="B331"/>
    </row>
    <row r="332" spans="1:6" x14ac:dyDescent="0.25">
      <c r="A332"/>
      <c r="B332"/>
    </row>
    <row r="333" spans="1:6" x14ac:dyDescent="0.25">
      <c r="A333"/>
      <c r="B333"/>
    </row>
    <row r="334" spans="1:6" x14ac:dyDescent="0.25">
      <c r="A334"/>
      <c r="B334"/>
    </row>
    <row r="335" spans="1:6" x14ac:dyDescent="0.25">
      <c r="A335"/>
      <c r="B335"/>
    </row>
    <row r="336" spans="1:6" x14ac:dyDescent="0.25">
      <c r="A336"/>
      <c r="B336"/>
    </row>
    <row r="337" spans="1:7" x14ac:dyDescent="0.25">
      <c r="A337"/>
      <c r="B337"/>
    </row>
    <row r="338" spans="1:7" x14ac:dyDescent="0.25">
      <c r="A338"/>
      <c r="B338"/>
    </row>
    <row r="339" spans="1:7" x14ac:dyDescent="0.25">
      <c r="A339"/>
      <c r="B339"/>
    </row>
    <row r="340" spans="1:7" x14ac:dyDescent="0.25">
      <c r="A340"/>
      <c r="B340"/>
    </row>
    <row r="341" spans="1:7" x14ac:dyDescent="0.25">
      <c r="A341"/>
      <c r="B341"/>
    </row>
    <row r="342" spans="1:7" x14ac:dyDescent="0.25">
      <c r="A342"/>
      <c r="B342"/>
    </row>
    <row r="343" spans="1:7" x14ac:dyDescent="0.25">
      <c r="A343"/>
      <c r="B343"/>
    </row>
    <row r="344" spans="1:7" x14ac:dyDescent="0.25">
      <c r="A344"/>
      <c r="B344"/>
      <c r="G344" t="e">
        <f>#REF!-#REF!</f>
        <v>#REF!</v>
      </c>
    </row>
    <row r="345" spans="1:7" x14ac:dyDescent="0.25">
      <c r="A345"/>
      <c r="B345"/>
    </row>
    <row r="346" spans="1:7" x14ac:dyDescent="0.25">
      <c r="A346"/>
      <c r="B346"/>
    </row>
    <row r="347" spans="1:7" x14ac:dyDescent="0.25">
      <c r="A347"/>
      <c r="B347"/>
    </row>
    <row r="348" spans="1:7" x14ac:dyDescent="0.25">
      <c r="A348"/>
      <c r="B348"/>
    </row>
    <row r="349" spans="1:7" x14ac:dyDescent="0.25">
      <c r="A349"/>
      <c r="B349"/>
    </row>
    <row r="350" spans="1:7" x14ac:dyDescent="0.25">
      <c r="A350"/>
      <c r="B350"/>
    </row>
    <row r="351" spans="1:7" x14ac:dyDescent="0.25">
      <c r="A351"/>
      <c r="B351"/>
    </row>
    <row r="352" spans="1:7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</sheetData>
  <mergeCells count="40">
    <mergeCell ref="B56:C56"/>
    <mergeCell ref="A68:B68"/>
    <mergeCell ref="A69:B69"/>
    <mergeCell ref="A70:B70"/>
    <mergeCell ref="A71:B71"/>
    <mergeCell ref="B73:C73"/>
    <mergeCell ref="A85:B85"/>
    <mergeCell ref="A86:B86"/>
    <mergeCell ref="A87:B87"/>
    <mergeCell ref="A88:B88"/>
    <mergeCell ref="B94:C94"/>
    <mergeCell ref="A114:B114"/>
    <mergeCell ref="A115:B115"/>
    <mergeCell ref="A116:B116"/>
    <mergeCell ref="A117:B117"/>
    <mergeCell ref="B119:C119"/>
    <mergeCell ref="A129:B129"/>
    <mergeCell ref="A130:B130"/>
    <mergeCell ref="A131:B131"/>
    <mergeCell ref="A132:B132"/>
    <mergeCell ref="B135:C135"/>
    <mergeCell ref="A145:B145"/>
    <mergeCell ref="A146:B146"/>
    <mergeCell ref="A147:B147"/>
    <mergeCell ref="A148:B148"/>
    <mergeCell ref="B150:C150"/>
    <mergeCell ref="A160:B160"/>
    <mergeCell ref="A161:B161"/>
    <mergeCell ref="A162:B162"/>
    <mergeCell ref="A163:B163"/>
    <mergeCell ref="B165:C165"/>
    <mergeCell ref="A175:B175"/>
    <mergeCell ref="A176:B176"/>
    <mergeCell ref="A177:B177"/>
    <mergeCell ref="A178:B178"/>
    <mergeCell ref="B180:C180"/>
    <mergeCell ref="A190:B190"/>
    <mergeCell ref="A191:B191"/>
    <mergeCell ref="A192:B192"/>
    <mergeCell ref="A193:B193"/>
  </mergeCells>
  <conditionalFormatting sqref="C72">
    <cfRule type="expression" dxfId="15" priority="15">
      <formula>C72="عجز"</formula>
    </cfRule>
    <cfRule type="expression" dxfId="14" priority="16">
      <formula>C72="زيادة"</formula>
    </cfRule>
  </conditionalFormatting>
  <conditionalFormatting sqref="C89">
    <cfRule type="expression" dxfId="13" priority="13">
      <formula>C89="عجز"</formula>
    </cfRule>
    <cfRule type="expression" dxfId="12" priority="14">
      <formula>C89="زيادة"</formula>
    </cfRule>
  </conditionalFormatting>
  <conditionalFormatting sqref="C118">
    <cfRule type="expression" dxfId="11" priority="11">
      <formula>C118="عجز"</formula>
    </cfRule>
    <cfRule type="expression" dxfId="10" priority="12">
      <formula>C118="زيادة"</formula>
    </cfRule>
  </conditionalFormatting>
  <conditionalFormatting sqref="C133">
    <cfRule type="expression" dxfId="9" priority="9">
      <formula>C133="عجز"</formula>
    </cfRule>
    <cfRule type="expression" dxfId="8" priority="10">
      <formula>C133="زيادة"</formula>
    </cfRule>
  </conditionalFormatting>
  <conditionalFormatting sqref="C149">
    <cfRule type="expression" dxfId="7" priority="7">
      <formula>C149="عجز"</formula>
    </cfRule>
    <cfRule type="expression" dxfId="6" priority="8">
      <formula>C149="زيادة"</formula>
    </cfRule>
  </conditionalFormatting>
  <conditionalFormatting sqref="C164">
    <cfRule type="expression" dxfId="5" priority="5">
      <formula>C164="عجز"</formula>
    </cfRule>
    <cfRule type="expression" dxfId="4" priority="6">
      <formula>C164="زيادة"</formula>
    </cfRule>
  </conditionalFormatting>
  <conditionalFormatting sqref="C179">
    <cfRule type="expression" dxfId="3" priority="3">
      <formula>C179="عجز"</formula>
    </cfRule>
    <cfRule type="expression" dxfId="2" priority="4">
      <formula>C179="زيادة"</formula>
    </cfRule>
  </conditionalFormatting>
  <conditionalFormatting sqref="C194">
    <cfRule type="expression" dxfId="1" priority="1">
      <formula>C194="عجز"</formula>
    </cfRule>
    <cfRule type="expression" dxfId="0" priority="2">
      <formula>C194="زيادة"</formula>
    </cfRule>
  </conditionalFormatting>
  <pageMargins left="0.7" right="0.7" top="0.75" bottom="0.75" header="0.3" footer="0.3"/>
  <pageSetup paperSize="260" orientation="portrait" horizontalDpi="203" verticalDpi="20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A1DBB7-F70C-4EFD-9E7E-9FFB12D5D451}">
          <x14:formula1>
            <xm:f>data!$A$57:$A$70</xm:f>
          </x14:formula1>
          <xm:sqref>C46:C52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87AE-1C66-47D6-8304-08E0722A78E5}">
  <sheetPr codeName="Sheet28"/>
  <dimension ref="A1:G410"/>
  <sheetViews>
    <sheetView rightToLeft="1" topLeftCell="D52" zoomScale="85" zoomScaleNormal="85" workbookViewId="0">
      <selection activeCell="E63" sqref="E63"/>
    </sheetView>
  </sheetViews>
  <sheetFormatPr defaultRowHeight="15" x14ac:dyDescent="0.25"/>
  <cols>
    <col min="1" max="1" width="32.85546875" style="9" bestFit="1" customWidth="1"/>
    <col min="2" max="2" width="23.42578125" style="10" customWidth="1"/>
    <col min="3" max="3" width="21.42578125" customWidth="1"/>
    <col min="4" max="4" width="13.42578125" bestFit="1" customWidth="1"/>
    <col min="5" max="5" width="175.85546875" bestFit="1" customWidth="1"/>
    <col min="6" max="6" width="26.140625" customWidth="1"/>
    <col min="7" max="7" width="45.85546875" customWidth="1"/>
    <col min="8" max="8" width="14.5703125" customWidth="1"/>
    <col min="9" max="9" width="10.7109375" customWidth="1"/>
  </cols>
  <sheetData>
    <row r="1" spans="1:5" ht="18.75" x14ac:dyDescent="0.3">
      <c r="A1" s="1" t="s">
        <v>0</v>
      </c>
      <c r="B1" s="2">
        <v>45115</v>
      </c>
      <c r="C1" s="3"/>
      <c r="D1" s="3"/>
    </row>
    <row r="2" spans="1:5" x14ac:dyDescent="0.25">
      <c r="A2" s="4" t="s">
        <v>1</v>
      </c>
      <c r="B2" s="5" t="s">
        <v>2</v>
      </c>
      <c r="C2" s="5" t="s">
        <v>3</v>
      </c>
      <c r="D2" s="6" t="s">
        <v>4</v>
      </c>
      <c r="E2" s="5" t="s">
        <v>5</v>
      </c>
    </row>
    <row r="3" spans="1:5" x14ac:dyDescent="0.25">
      <c r="A3" s="19"/>
      <c r="B3" s="31"/>
      <c r="C3" s="90"/>
      <c r="D3" s="21"/>
      <c r="E3" s="122"/>
    </row>
    <row r="4" spans="1:5" x14ac:dyDescent="0.25">
      <c r="A4" s="20"/>
      <c r="B4" s="22"/>
      <c r="C4" s="90"/>
      <c r="D4" s="21"/>
      <c r="E4" s="123"/>
    </row>
    <row r="5" spans="1:5" x14ac:dyDescent="0.25">
      <c r="A5" s="20"/>
      <c r="B5" s="22"/>
      <c r="C5" s="90"/>
      <c r="D5" s="21"/>
      <c r="E5" s="123"/>
    </row>
    <row r="6" spans="1:5" x14ac:dyDescent="0.25">
      <c r="A6" s="20"/>
      <c r="B6" s="22"/>
      <c r="C6" s="90"/>
      <c r="D6" s="21"/>
      <c r="E6" s="123"/>
    </row>
    <row r="7" spans="1:5" x14ac:dyDescent="0.25">
      <c r="A7" s="20"/>
      <c r="B7" s="22"/>
      <c r="C7" s="20"/>
      <c r="D7" s="21"/>
      <c r="E7" s="123"/>
    </row>
    <row r="8" spans="1:5" x14ac:dyDescent="0.25">
      <c r="A8" s="20"/>
      <c r="B8" s="21"/>
      <c r="C8" s="20"/>
      <c r="D8" s="91"/>
      <c r="E8" s="123"/>
    </row>
    <row r="9" spans="1:5" x14ac:dyDescent="0.25">
      <c r="A9" s="20"/>
      <c r="B9" s="21"/>
      <c r="C9" s="90"/>
      <c r="D9" s="96"/>
      <c r="E9" s="124"/>
    </row>
    <row r="10" spans="1:5" x14ac:dyDescent="0.25">
      <c r="A10" s="20"/>
      <c r="B10" s="21"/>
      <c r="C10" s="90"/>
      <c r="D10" s="96"/>
      <c r="E10" s="124"/>
    </row>
    <row r="11" spans="1:5" x14ac:dyDescent="0.25">
      <c r="A11" s="20"/>
      <c r="B11" s="21"/>
      <c r="C11" s="90"/>
      <c r="D11" s="96"/>
      <c r="E11" s="124"/>
    </row>
    <row r="12" spans="1:5" x14ac:dyDescent="0.25">
      <c r="A12" s="20"/>
      <c r="B12" s="21"/>
      <c r="C12" s="20"/>
      <c r="D12" s="96"/>
      <c r="E12" s="125"/>
    </row>
    <row r="13" spans="1:5" ht="18" x14ac:dyDescent="0.25">
      <c r="A13" s="20"/>
      <c r="B13" s="96"/>
      <c r="C13" s="90"/>
      <c r="D13" s="96"/>
      <c r="E13" s="77"/>
    </row>
    <row r="14" spans="1:5" ht="18" x14ac:dyDescent="0.25">
      <c r="A14" s="20"/>
      <c r="B14" s="96"/>
      <c r="C14" s="90"/>
      <c r="D14" s="96"/>
      <c r="E14" s="77"/>
    </row>
    <row r="15" spans="1:5" ht="18" x14ac:dyDescent="0.25">
      <c r="A15" s="20"/>
      <c r="B15" s="96"/>
      <c r="C15" s="20"/>
      <c r="D15" s="96"/>
      <c r="E15" s="56"/>
    </row>
    <row r="16" spans="1:5" ht="18" x14ac:dyDescent="0.25">
      <c r="A16" s="20"/>
      <c r="B16" s="96"/>
      <c r="C16" s="20"/>
      <c r="D16" s="117"/>
      <c r="E16" s="56"/>
    </row>
    <row r="17" spans="1:7" ht="18" x14ac:dyDescent="0.25">
      <c r="A17" s="20"/>
      <c r="B17" s="96"/>
      <c r="C17" s="90"/>
      <c r="D17" s="117"/>
      <c r="E17" s="56"/>
    </row>
    <row r="18" spans="1:7" ht="18" x14ac:dyDescent="0.25">
      <c r="A18" s="20"/>
      <c r="B18" s="96"/>
      <c r="C18" s="90"/>
      <c r="D18" s="117"/>
      <c r="E18" s="56"/>
      <c r="G18" s="97"/>
    </row>
    <row r="19" spans="1:7" x14ac:dyDescent="0.25">
      <c r="A19" s="20"/>
      <c r="B19" s="96"/>
      <c r="C19" s="90"/>
      <c r="D19" s="117"/>
      <c r="E19" s="124"/>
      <c r="G19" s="97"/>
    </row>
    <row r="20" spans="1:7" x14ac:dyDescent="0.25">
      <c r="A20" s="20"/>
      <c r="B20" s="96"/>
      <c r="C20" s="90"/>
      <c r="D20" s="117"/>
      <c r="E20" s="124"/>
      <c r="G20" s="97"/>
    </row>
    <row r="21" spans="1:7" x14ac:dyDescent="0.25">
      <c r="A21" s="20"/>
      <c r="B21" s="96"/>
      <c r="C21" s="20"/>
      <c r="D21" s="117"/>
      <c r="E21" s="124"/>
      <c r="G21" s="97"/>
    </row>
    <row r="22" spans="1:7" ht="15.75" x14ac:dyDescent="0.25">
      <c r="A22" s="20"/>
      <c r="B22" s="20"/>
      <c r="C22" s="20"/>
      <c r="D22" s="91"/>
      <c r="E22" s="124"/>
      <c r="F22" s="15"/>
      <c r="G22" s="97"/>
    </row>
    <row r="23" spans="1:7" ht="15.75" x14ac:dyDescent="0.25">
      <c r="A23" s="20"/>
      <c r="B23" s="117"/>
      <c r="C23" s="20"/>
      <c r="D23" s="96"/>
      <c r="E23" s="128"/>
      <c r="F23" s="15"/>
      <c r="G23" s="97"/>
    </row>
    <row r="24" spans="1:7" ht="15.75" x14ac:dyDescent="0.25">
      <c r="A24" s="20"/>
      <c r="B24" s="117"/>
      <c r="C24" s="20"/>
      <c r="D24" s="96"/>
      <c r="E24" s="128"/>
      <c r="F24" s="15"/>
    </row>
    <row r="25" spans="1:7" ht="15.75" x14ac:dyDescent="0.25">
      <c r="A25" s="20"/>
      <c r="B25" s="117"/>
      <c r="C25" s="20"/>
      <c r="D25" s="96"/>
      <c r="E25" s="128"/>
      <c r="F25" s="15"/>
      <c r="G25" s="97"/>
    </row>
    <row r="26" spans="1:7" ht="15.75" x14ac:dyDescent="0.25">
      <c r="A26" s="20"/>
      <c r="B26" s="22"/>
      <c r="C26" s="41"/>
      <c r="D26" s="32"/>
      <c r="E26" s="128"/>
      <c r="F26" s="15"/>
      <c r="G26" s="97"/>
    </row>
    <row r="27" spans="1:7" ht="15.75" x14ac:dyDescent="0.25">
      <c r="A27" s="20"/>
      <c r="B27" s="117"/>
      <c r="C27" s="41"/>
      <c r="D27" s="21"/>
      <c r="E27" s="124"/>
      <c r="F27" s="15"/>
      <c r="G27" s="97"/>
    </row>
    <row r="28" spans="1:7" ht="15.75" x14ac:dyDescent="0.25">
      <c r="A28" s="20"/>
      <c r="B28" s="117"/>
      <c r="C28" s="41"/>
      <c r="D28" s="21"/>
      <c r="E28" s="124"/>
      <c r="F28" s="15"/>
      <c r="G28" s="97"/>
    </row>
    <row r="29" spans="1:7" ht="15.75" x14ac:dyDescent="0.25">
      <c r="A29" s="20"/>
      <c r="B29" s="117"/>
      <c r="C29" s="41"/>
      <c r="D29" s="21"/>
      <c r="E29" s="124"/>
      <c r="F29" s="15"/>
      <c r="G29" s="97"/>
    </row>
    <row r="30" spans="1:7" ht="15.75" x14ac:dyDescent="0.25">
      <c r="A30" s="20"/>
      <c r="B30" s="22"/>
      <c r="C30" s="20"/>
      <c r="D30" s="21"/>
      <c r="E30" s="124"/>
      <c r="F30" s="15"/>
      <c r="G30" s="97"/>
    </row>
    <row r="31" spans="1:7" ht="15.75" x14ac:dyDescent="0.25">
      <c r="A31" s="20"/>
      <c r="B31" s="22"/>
      <c r="C31" s="20"/>
      <c r="D31" s="21"/>
      <c r="E31" s="124"/>
      <c r="F31" s="15"/>
      <c r="G31" s="97"/>
    </row>
    <row r="32" spans="1:7" ht="15.75" x14ac:dyDescent="0.25">
      <c r="A32" s="20"/>
      <c r="B32" s="22"/>
      <c r="C32" s="20"/>
      <c r="D32" s="21"/>
      <c r="E32" s="124"/>
      <c r="F32" s="15"/>
      <c r="G32" s="97"/>
    </row>
    <row r="33" spans="1:7" ht="15.75" x14ac:dyDescent="0.25">
      <c r="A33" s="20"/>
      <c r="B33" s="22"/>
      <c r="C33" s="41"/>
      <c r="D33" s="21"/>
      <c r="E33" s="124"/>
      <c r="F33" s="15"/>
      <c r="G33" s="97"/>
    </row>
    <row r="34" spans="1:7" ht="15.75" x14ac:dyDescent="0.25">
      <c r="A34" s="20"/>
      <c r="B34" s="22"/>
      <c r="C34" s="41"/>
      <c r="D34" s="21"/>
      <c r="E34" s="124"/>
      <c r="F34" s="15"/>
      <c r="G34" s="97"/>
    </row>
    <row r="35" spans="1:7" ht="15.75" x14ac:dyDescent="0.25">
      <c r="A35" s="20"/>
      <c r="B35" s="22"/>
      <c r="C35" s="20"/>
      <c r="D35" s="21"/>
      <c r="E35" s="124"/>
      <c r="F35" s="15"/>
    </row>
    <row r="36" spans="1:7" ht="15.75" x14ac:dyDescent="0.25">
      <c r="A36" s="20"/>
      <c r="B36" s="22"/>
      <c r="C36" s="20"/>
      <c r="D36" s="21"/>
      <c r="E36" s="124"/>
      <c r="F36" s="15"/>
    </row>
    <row r="37" spans="1:7" ht="15.75" x14ac:dyDescent="0.25">
      <c r="A37" s="20"/>
      <c r="B37" s="22"/>
      <c r="C37" s="20"/>
      <c r="D37" s="22"/>
      <c r="E37" s="124"/>
      <c r="F37" s="15"/>
    </row>
    <row r="38" spans="1:7" ht="15.75" x14ac:dyDescent="0.25">
      <c r="A38" s="20"/>
      <c r="B38" s="22"/>
      <c r="C38" s="20"/>
      <c r="D38" s="22"/>
      <c r="E38" s="124"/>
      <c r="F38" s="15"/>
    </row>
    <row r="39" spans="1:7" ht="15.75" x14ac:dyDescent="0.25">
      <c r="A39" s="20"/>
      <c r="B39" s="22"/>
      <c r="C39" s="20"/>
      <c r="D39" s="22"/>
      <c r="E39" s="124"/>
      <c r="F39" s="15"/>
    </row>
    <row r="40" spans="1:7" ht="15.75" x14ac:dyDescent="0.25">
      <c r="A40" s="20"/>
      <c r="B40" s="22"/>
      <c r="C40" s="20"/>
      <c r="D40" s="22"/>
      <c r="E40" s="124"/>
      <c r="F40" s="15"/>
    </row>
    <row r="41" spans="1:7" ht="15.75" x14ac:dyDescent="0.25">
      <c r="A41" s="20"/>
      <c r="B41" s="22"/>
      <c r="C41" s="20"/>
      <c r="D41" s="117"/>
      <c r="E41" s="124"/>
      <c r="F41" s="15"/>
    </row>
    <row r="42" spans="1:7" ht="15.75" x14ac:dyDescent="0.25">
      <c r="A42" s="20"/>
      <c r="B42" s="22"/>
      <c r="C42" s="20"/>
      <c r="D42" s="22"/>
      <c r="E42" s="124"/>
      <c r="F42" s="15"/>
    </row>
    <row r="43" spans="1:7" ht="15.75" x14ac:dyDescent="0.25">
      <c r="A43" s="20"/>
      <c r="B43" s="22"/>
      <c r="C43" s="20"/>
      <c r="D43" s="22"/>
      <c r="E43" s="124"/>
      <c r="F43" s="15"/>
    </row>
    <row r="44" spans="1:7" ht="15.75" x14ac:dyDescent="0.25">
      <c r="A44" s="20"/>
      <c r="B44" s="22"/>
      <c r="C44" s="20"/>
      <c r="D44" s="22"/>
      <c r="E44" s="124"/>
      <c r="F44" s="15"/>
    </row>
    <row r="45" spans="1:7" ht="15.75" x14ac:dyDescent="0.25">
      <c r="A45" s="20"/>
      <c r="B45" s="22"/>
      <c r="C45" s="20"/>
      <c r="D45" s="22"/>
      <c r="E45" s="124"/>
      <c r="F45" s="15"/>
    </row>
    <row r="46" spans="1:7" ht="15.75" x14ac:dyDescent="0.25">
      <c r="A46" s="20"/>
      <c r="B46" s="22"/>
      <c r="C46" s="20"/>
      <c r="D46" s="22"/>
      <c r="E46" s="124"/>
      <c r="F46" s="15"/>
    </row>
    <row r="47" spans="1:7" ht="15.75" x14ac:dyDescent="0.25">
      <c r="A47" s="20"/>
      <c r="B47" s="22"/>
      <c r="C47" s="20"/>
      <c r="D47" s="22"/>
      <c r="E47" s="124"/>
      <c r="F47" s="15"/>
    </row>
    <row r="48" spans="1:7" ht="15.75" x14ac:dyDescent="0.25">
      <c r="A48" s="20"/>
      <c r="B48" s="117"/>
      <c r="C48" s="20"/>
      <c r="D48" s="21"/>
      <c r="E48" s="124"/>
      <c r="F48" s="15"/>
    </row>
    <row r="49" spans="1:6" ht="15.75" x14ac:dyDescent="0.25">
      <c r="A49" s="20"/>
      <c r="B49" s="117"/>
      <c r="C49" s="20"/>
      <c r="D49" s="96"/>
      <c r="E49" s="124"/>
      <c r="F49" s="15"/>
    </row>
    <row r="50" spans="1:6" ht="15.75" x14ac:dyDescent="0.25">
      <c r="A50" s="20"/>
      <c r="B50" s="21"/>
      <c r="C50" s="116"/>
      <c r="D50" s="96"/>
      <c r="E50" s="126"/>
      <c r="F50" s="15"/>
    </row>
    <row r="51" spans="1:6" ht="15.75" x14ac:dyDescent="0.25">
      <c r="A51" s="20"/>
      <c r="B51" s="21"/>
      <c r="C51" s="116"/>
      <c r="D51" s="96"/>
      <c r="E51" s="126"/>
      <c r="F51" s="15"/>
    </row>
    <row r="52" spans="1:6" ht="15.75" x14ac:dyDescent="0.25">
      <c r="A52" s="20"/>
      <c r="B52" s="21"/>
      <c r="C52" s="90"/>
      <c r="D52" s="91"/>
      <c r="E52" s="126"/>
      <c r="F52" s="15"/>
    </row>
    <row r="53" spans="1:6" ht="21.75" thickBot="1" x14ac:dyDescent="0.4">
      <c r="A53" s="130"/>
      <c r="B53" s="131">
        <f>SUBTOTAL(109,Table12720231314151617[Column1])</f>
        <v>0</v>
      </c>
      <c r="C53" s="132"/>
      <c r="D53" s="133">
        <f>SUBTOTAL(109,Table12720231314151617[Column2])</f>
        <v>0</v>
      </c>
      <c r="E53" s="133"/>
    </row>
    <row r="54" spans="1:6" ht="27" thickTop="1" x14ac:dyDescent="0.25">
      <c r="D54" s="16">
        <f>Table12720231314151617[[#Totals],[Column1]]-Table12720231314151617[[#Totals],[Column2]]</f>
        <v>0</v>
      </c>
    </row>
    <row r="56" spans="1:6" x14ac:dyDescent="0.25">
      <c r="A56"/>
      <c r="B56"/>
    </row>
    <row r="57" spans="1:6" x14ac:dyDescent="0.25">
      <c r="A57" t="s">
        <v>31</v>
      </c>
      <c r="B57"/>
    </row>
    <row r="58" spans="1:6" x14ac:dyDescent="0.25">
      <c r="A58" t="s">
        <v>451</v>
      </c>
      <c r="B58"/>
    </row>
    <row r="59" spans="1:6" x14ac:dyDescent="0.25">
      <c r="A59" t="s">
        <v>569</v>
      </c>
      <c r="B59"/>
      <c r="E59" s="213"/>
    </row>
    <row r="60" spans="1:6" x14ac:dyDescent="0.25">
      <c r="A60" t="s">
        <v>446</v>
      </c>
      <c r="B60"/>
      <c r="E60" t="s">
        <v>701</v>
      </c>
    </row>
    <row r="61" spans="1:6" x14ac:dyDescent="0.25">
      <c r="A61" t="s">
        <v>50</v>
      </c>
      <c r="B61"/>
    </row>
    <row r="62" spans="1:6" ht="240" x14ac:dyDescent="0.25">
      <c r="A62" t="s">
        <v>350</v>
      </c>
      <c r="B62"/>
      <c r="E62" s="214" t="str">
        <f>CONCATENATE(E65,E66,E67,E68,E69,E70,E71,E72,E73,E74,E75,E76,E77,E78,E79,E80,E81,E82,E83,E84,E85,E86,E87,E88,E89,E90,E91,E92,E93,E94)</f>
        <v>IFERROR(VLOOKUP([@البيان];'ايرادات شهر 7 نهائي.xlsx'!Table172023[[مصروفات]:[Column2]];2;0);0);IFERROR(VLOOKUP([@البيان];'ايرادات شهر 7 نهائي.xlsx'!Table272023[[مصروفات]:[Column2]];2;0);0);IFERROR(VLOOKUP([@البيان];'ايرادات شهر 7 نهائي.xlsx'!Table472023[[مصروفات]:[Column2]];2;0);0);IFERROR(VLOOKUP([@البيان];'ايرادات شهر 7 نهائي.xlsx'!Table572023[[مصروفات]:[Column2]];2;0);0);IFERROR(VLOOKUP([@البيان];'ايرادات شهر 7 نهائي.xlsx'!Table672023[[مصروفات]:[Column2]];2;0);0);IFERROR(VLOOKUP([@البيان];'ايرادات شهر 7 نهائي.xlsx'!Table772023[[مصروفات]:[Column2]];2;0);0);IFERROR(VLOOKUP([@البيان];'ايرادات شهر 7 نهائي.xlsx'!Table872023[[مصروفات]:[Column2]];2;0);0);IFERROR(VLOOKUP([@البيان];'ايرادات شهر 7 نهائي.xlsx'!Table972023[[مصروفات]:[Column2]];2;0);0);IFERROR(VLOOKUP([@البيان];'ايرادات شهر 7 نهائي.xlsx'!Table1072023[[مصروفات]:[Column2]];2;0);0);IFERROR(VLOOKUP([@البيان];'ايرادات شهر 7 نهائي.xlsx'!Table1172023[[مصروفات]:[Column2]];2;0);0);IFERROR(VLOOKUP([@البيان];'ايرادات شهر 7 نهائي.xlsx'!Table1272023[[مصروفات]:[Column2]];2;0);0);IFERROR(VLOOKUP([@البيان];'ايرادات شهر 7 نهائي.xlsx'!Table1372023[[مصروفات]:[Column2]];2;0);0);IFERROR(VLOOKUP([@البيان];'ايرادات شهر 7 نهائي.xlsx'!Table1472023[[مصروفات]:[Column2]];2;0);0);IFERROR(VLOOKUP([@البيان];'ايرادات شهر 7 نهائي.xlsx'!Table1572023[[مصروفات]:[Column2]];2;0);0);IFERROR(VLOOKUP([@البيان];'ايرادات شهر 7 نهائي.xlsx'!Table1672023[[مصروفات]:[Column2]];2;0);0);IFERROR(VLOOKUP([@البيان];'ايرادات شهر 7 نهائي.xlsx'!Table1772023[[مصروفات]:[Column2]];2;0);0);IFERROR(VLOOKUP([@البيان];'ايرادات شهر 7 نهائي.xlsx'!Table1872023[[مصروفات]:[Column2]];2;0);0);IFERROR(VLOOKUP([@البيان];'ايرادات شهر 7 نهائي.xlsx'!Table1972023[[مصروفات]:[Column2]];2;0);0);IFERROR(VLOOKUP([@البيان];'ايرادات شهر 7 نهائي.xlsx'!Table2072023[[مصروفات]:[Column2]];2;0);0);IFERROR(VLOOKUP([@البيان];'ايرادات شهر 7 نهائي.xlsx'!Table2172023[[مصروفات]:[Column2]];2;0);0);IFERROR(VLOOKUP([@البيان];'ايرادات شهر 7 نهائي.xlsx'!Table2272023[[مصروفات]:[Column2]];2;0);0);IFERROR(VLOOKUP([@البيان];'ايرادات شهر 7 نهائي.xlsx'!Table2372023[[مصروفات]:[Column2]];2;0);0);IFERROR(VLOOKUP([@البيان];'ايرادات شهر 7 نهائي.xlsx'!Table2472023[[مصروفات]:[Column2]];2;0);0);IFERROR(VLOOKUP([@البيان];'ايرادات شهر 7 نهائي.xlsx'!Table2572023[[مصروفات]:[Column2]];2;0);0);IFERROR(VLOOKUP([@البيان];'ايرادات شهر 7 نهائي.xlsx'!Table2672023[[مصروفات]:[Column2]];2;0);0);IFERROR(VLOOKUP([@البيان];'ايرادات شهر 7 نهائي.xlsx'!Table2772023[[مصروفات]:[Column2]];2;0);0);IFERROR(VLOOKUP([@البيان];'ايرادات شهر 7 نهائي.xlsx'!Table2872023[[مصروفات]:[Column2]];2;0);0);IFERROR(VLOOKUP([@البيان];'ايرادات شهر 7 نهائي.xlsx'!Table2972023[[مصروفات]:[Column2]];2;0);0);IFERROR(VLOOKUP([@البيان];'ايرادات شهر 7 نهائي.xlsx'!Table302023[[مصروفات]:[Column2]];2;0);0);IFERROR(VLOOKUP([@البيان];'ايرادات شهر 7 نهائي.xlsx'!Table372023[[مصروفات]:[Column2]];2;0);0);</v>
      </c>
    </row>
    <row r="63" spans="1:6" x14ac:dyDescent="0.25">
      <c r="A63" t="s">
        <v>357</v>
      </c>
      <c r="B63"/>
      <c r="E63" t="s">
        <v>702</v>
      </c>
    </row>
    <row r="64" spans="1:6" x14ac:dyDescent="0.25">
      <c r="A64" t="s">
        <v>447</v>
      </c>
      <c r="B64"/>
    </row>
    <row r="65" spans="1:5" x14ac:dyDescent="0.25">
      <c r="A65" t="s">
        <v>641</v>
      </c>
      <c r="B65"/>
      <c r="D65">
        <v>172023</v>
      </c>
      <c r="E65" s="213" t="s">
        <v>671</v>
      </c>
    </row>
    <row r="66" spans="1:5" x14ac:dyDescent="0.25">
      <c r="A66" t="s">
        <v>97</v>
      </c>
      <c r="B66"/>
      <c r="D66">
        <v>272023</v>
      </c>
      <c r="E66" t="s">
        <v>672</v>
      </c>
    </row>
    <row r="67" spans="1:5" x14ac:dyDescent="0.25">
      <c r="A67" t="s">
        <v>650</v>
      </c>
      <c r="B67"/>
      <c r="D67">
        <v>372023</v>
      </c>
      <c r="E67" t="s">
        <v>674</v>
      </c>
    </row>
    <row r="68" spans="1:5" x14ac:dyDescent="0.25">
      <c r="A68" t="s">
        <v>652</v>
      </c>
      <c r="B68"/>
      <c r="D68">
        <v>472023</v>
      </c>
      <c r="E68" t="s">
        <v>675</v>
      </c>
    </row>
    <row r="69" spans="1:5" x14ac:dyDescent="0.25">
      <c r="A69" t="s">
        <v>651</v>
      </c>
      <c r="B69"/>
      <c r="D69">
        <v>572023</v>
      </c>
      <c r="E69" t="s">
        <v>676</v>
      </c>
    </row>
    <row r="70" spans="1:5" ht="17.25" customHeight="1" x14ac:dyDescent="0.25">
      <c r="A70" t="s">
        <v>450</v>
      </c>
      <c r="B70"/>
      <c r="D70">
        <v>672023</v>
      </c>
      <c r="E70" t="s">
        <v>677</v>
      </c>
    </row>
    <row r="71" spans="1:5" x14ac:dyDescent="0.25">
      <c r="A71"/>
      <c r="B71"/>
      <c r="D71">
        <v>772023</v>
      </c>
      <c r="E71" t="s">
        <v>678</v>
      </c>
    </row>
    <row r="72" spans="1:5" x14ac:dyDescent="0.25">
      <c r="A72"/>
      <c r="B72"/>
      <c r="D72">
        <v>872023</v>
      </c>
      <c r="E72" t="s">
        <v>679</v>
      </c>
    </row>
    <row r="73" spans="1:5" x14ac:dyDescent="0.25">
      <c r="A73"/>
      <c r="B73"/>
      <c r="D73">
        <v>972023</v>
      </c>
      <c r="E73" t="s">
        <v>680</v>
      </c>
    </row>
    <row r="74" spans="1:5" x14ac:dyDescent="0.25">
      <c r="A74"/>
      <c r="B74"/>
      <c r="D74">
        <v>1072023</v>
      </c>
      <c r="E74" t="s">
        <v>681</v>
      </c>
    </row>
    <row r="75" spans="1:5" x14ac:dyDescent="0.25">
      <c r="A75"/>
      <c r="B75"/>
      <c r="D75">
        <v>1172023</v>
      </c>
      <c r="E75" t="s">
        <v>682</v>
      </c>
    </row>
    <row r="76" spans="1:5" x14ac:dyDescent="0.25">
      <c r="A76"/>
      <c r="B76"/>
      <c r="D76">
        <v>1272023</v>
      </c>
      <c r="E76" t="s">
        <v>683</v>
      </c>
    </row>
    <row r="77" spans="1:5" x14ac:dyDescent="0.25">
      <c r="A77"/>
      <c r="B77"/>
      <c r="D77">
        <v>1372023</v>
      </c>
      <c r="E77" t="s">
        <v>684</v>
      </c>
    </row>
    <row r="78" spans="1:5" ht="24.75" customHeight="1" x14ac:dyDescent="0.25">
      <c r="A78"/>
      <c r="B78"/>
      <c r="D78">
        <v>1472023</v>
      </c>
      <c r="E78" t="s">
        <v>685</v>
      </c>
    </row>
    <row r="79" spans="1:5" x14ac:dyDescent="0.25">
      <c r="A79"/>
      <c r="B79"/>
      <c r="D79">
        <v>1572023</v>
      </c>
      <c r="E79" t="s">
        <v>686</v>
      </c>
    </row>
    <row r="80" spans="1:5" x14ac:dyDescent="0.25">
      <c r="A80"/>
      <c r="B80"/>
      <c r="D80">
        <v>1672023</v>
      </c>
      <c r="E80" t="s">
        <v>687</v>
      </c>
    </row>
    <row r="81" spans="1:5" x14ac:dyDescent="0.25">
      <c r="A81"/>
      <c r="B81"/>
      <c r="D81">
        <v>1772023</v>
      </c>
      <c r="E81" t="s">
        <v>688</v>
      </c>
    </row>
    <row r="82" spans="1:5" x14ac:dyDescent="0.25">
      <c r="A82"/>
      <c r="B82"/>
      <c r="D82">
        <v>1872023</v>
      </c>
      <c r="E82" t="s">
        <v>689</v>
      </c>
    </row>
    <row r="83" spans="1:5" x14ac:dyDescent="0.25">
      <c r="A83"/>
      <c r="B83"/>
      <c r="D83">
        <v>1972023</v>
      </c>
      <c r="E83" t="s">
        <v>690</v>
      </c>
    </row>
    <row r="84" spans="1:5" x14ac:dyDescent="0.25">
      <c r="A84"/>
      <c r="B84"/>
      <c r="D84">
        <v>2072023</v>
      </c>
      <c r="E84" t="s">
        <v>691</v>
      </c>
    </row>
    <row r="85" spans="1:5" x14ac:dyDescent="0.25">
      <c r="A85"/>
      <c r="B85"/>
      <c r="D85">
        <v>2172023</v>
      </c>
      <c r="E85" t="s">
        <v>692</v>
      </c>
    </row>
    <row r="86" spans="1:5" x14ac:dyDescent="0.25">
      <c r="A86"/>
      <c r="B86"/>
      <c r="D86">
        <v>2272023</v>
      </c>
      <c r="E86" t="s">
        <v>693</v>
      </c>
    </row>
    <row r="87" spans="1:5" x14ac:dyDescent="0.25">
      <c r="A87"/>
      <c r="B87"/>
      <c r="D87">
        <v>2372023</v>
      </c>
      <c r="E87" t="s">
        <v>694</v>
      </c>
    </row>
    <row r="88" spans="1:5" x14ac:dyDescent="0.25">
      <c r="A88"/>
      <c r="B88"/>
      <c r="D88">
        <v>2472023</v>
      </c>
      <c r="E88" t="s">
        <v>695</v>
      </c>
    </row>
    <row r="89" spans="1:5" x14ac:dyDescent="0.25">
      <c r="A89"/>
      <c r="B89"/>
      <c r="D89">
        <v>2572023</v>
      </c>
      <c r="E89" t="s">
        <v>696</v>
      </c>
    </row>
    <row r="90" spans="1:5" x14ac:dyDescent="0.25">
      <c r="A90"/>
      <c r="B90"/>
      <c r="D90">
        <v>2672023</v>
      </c>
      <c r="E90" t="s">
        <v>697</v>
      </c>
    </row>
    <row r="91" spans="1:5" x14ac:dyDescent="0.25">
      <c r="A91"/>
      <c r="B91"/>
      <c r="D91">
        <v>2772023</v>
      </c>
      <c r="E91" t="s">
        <v>698</v>
      </c>
    </row>
    <row r="92" spans="1:5" x14ac:dyDescent="0.25">
      <c r="A92"/>
      <c r="B92"/>
      <c r="D92">
        <v>2872023</v>
      </c>
      <c r="E92" t="s">
        <v>699</v>
      </c>
    </row>
    <row r="93" spans="1:5" x14ac:dyDescent="0.25">
      <c r="A93"/>
      <c r="B93"/>
      <c r="D93">
        <v>2972023</v>
      </c>
      <c r="E93" t="s">
        <v>700</v>
      </c>
    </row>
    <row r="94" spans="1:5" x14ac:dyDescent="0.25">
      <c r="A94"/>
      <c r="B94"/>
      <c r="D94">
        <v>3072023</v>
      </c>
      <c r="E94" t="s">
        <v>673</v>
      </c>
    </row>
    <row r="95" spans="1:5" x14ac:dyDescent="0.25">
      <c r="A95"/>
      <c r="B95"/>
    </row>
    <row r="96" spans="1:5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ht="27.75" customHeight="1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ht="24" customHeight="1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ht="24" customHeight="1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ht="18" customHeight="1" x14ac:dyDescent="0.25">
      <c r="A145"/>
      <c r="B145"/>
    </row>
    <row r="146" spans="1:2" ht="18" customHeight="1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ht="21.75" customHeight="1" x14ac:dyDescent="0.25">
      <c r="A153"/>
      <c r="B153"/>
    </row>
    <row r="154" spans="1:2" x14ac:dyDescent="0.25">
      <c r="A154"/>
      <c r="B154"/>
    </row>
    <row r="155" spans="1:2" ht="18" customHeight="1" x14ac:dyDescent="0.25">
      <c r="A155"/>
      <c r="B155"/>
    </row>
    <row r="156" spans="1:2" x14ac:dyDescent="0.25">
      <c r="A156"/>
      <c r="B156"/>
    </row>
    <row r="157" spans="1:2" ht="18" customHeight="1" x14ac:dyDescent="0.25">
      <c r="A157"/>
      <c r="B157"/>
    </row>
    <row r="158" spans="1:2" ht="18" customHeight="1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ht="23.25" customHeight="1" x14ac:dyDescent="0.25">
      <c r="A168"/>
      <c r="B168"/>
    </row>
    <row r="169" spans="1:2" ht="21.75" customHeight="1" x14ac:dyDescent="0.25">
      <c r="A169"/>
      <c r="B169"/>
    </row>
    <row r="170" spans="1:2" ht="18" customHeight="1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 s="97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ht="23.25" customHeight="1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ht="21.75" customHeight="1" x14ac:dyDescent="0.25">
      <c r="A206"/>
      <c r="B206"/>
    </row>
    <row r="207" spans="1:2" ht="21" customHeight="1" x14ac:dyDescent="0.25">
      <c r="A207"/>
      <c r="B207"/>
    </row>
    <row r="208" spans="1:2" x14ac:dyDescent="0.25">
      <c r="A208"/>
      <c r="B208"/>
    </row>
    <row r="209" spans="1:2" ht="19.5" customHeight="1" x14ac:dyDescent="0.25">
      <c r="A209"/>
      <c r="B209"/>
    </row>
    <row r="210" spans="1:2" ht="19.5" customHeight="1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6" x14ac:dyDescent="0.25">
      <c r="A321"/>
      <c r="B321"/>
    </row>
    <row r="322" spans="1:6" x14ac:dyDescent="0.25">
      <c r="A322"/>
      <c r="B322"/>
    </row>
    <row r="323" spans="1:6" x14ac:dyDescent="0.25">
      <c r="A323"/>
      <c r="B323"/>
    </row>
    <row r="324" spans="1:6" x14ac:dyDescent="0.25">
      <c r="A324"/>
      <c r="B324"/>
    </row>
    <row r="325" spans="1:6" x14ac:dyDescent="0.25">
      <c r="A325"/>
      <c r="B325"/>
    </row>
    <row r="326" spans="1:6" x14ac:dyDescent="0.25">
      <c r="A326"/>
      <c r="B326"/>
    </row>
    <row r="327" spans="1:6" x14ac:dyDescent="0.25">
      <c r="A327"/>
      <c r="B327"/>
    </row>
    <row r="328" spans="1:6" x14ac:dyDescent="0.25">
      <c r="A328"/>
      <c r="B328"/>
      <c r="F328">
        <f>2778+2841-2043-2544</f>
        <v>1032</v>
      </c>
    </row>
    <row r="329" spans="1:6" x14ac:dyDescent="0.25">
      <c r="A329"/>
      <c r="B329"/>
      <c r="F329">
        <v>920</v>
      </c>
    </row>
    <row r="330" spans="1:6" x14ac:dyDescent="0.25">
      <c r="A330"/>
      <c r="B330"/>
    </row>
    <row r="331" spans="1:6" x14ac:dyDescent="0.25">
      <c r="A331"/>
      <c r="B331"/>
    </row>
    <row r="332" spans="1:6" x14ac:dyDescent="0.25">
      <c r="A332"/>
      <c r="B332"/>
    </row>
    <row r="333" spans="1:6" x14ac:dyDescent="0.25">
      <c r="A333"/>
      <c r="B333"/>
    </row>
    <row r="334" spans="1:6" x14ac:dyDescent="0.25">
      <c r="A334"/>
      <c r="B334"/>
    </row>
    <row r="335" spans="1:6" x14ac:dyDescent="0.25">
      <c r="A335"/>
      <c r="B335"/>
    </row>
    <row r="336" spans="1:6" x14ac:dyDescent="0.25">
      <c r="A336"/>
      <c r="B336"/>
    </row>
    <row r="337" spans="1:7" x14ac:dyDescent="0.25">
      <c r="A337"/>
      <c r="B337"/>
    </row>
    <row r="338" spans="1:7" x14ac:dyDescent="0.25">
      <c r="A338"/>
      <c r="B338"/>
    </row>
    <row r="339" spans="1:7" x14ac:dyDescent="0.25">
      <c r="A339"/>
      <c r="B339"/>
    </row>
    <row r="340" spans="1:7" x14ac:dyDescent="0.25">
      <c r="A340"/>
      <c r="B340"/>
    </row>
    <row r="341" spans="1:7" x14ac:dyDescent="0.25">
      <c r="A341"/>
      <c r="B341"/>
    </row>
    <row r="342" spans="1:7" x14ac:dyDescent="0.25">
      <c r="A342"/>
      <c r="B342"/>
    </row>
    <row r="343" spans="1:7" x14ac:dyDescent="0.25">
      <c r="A343"/>
      <c r="B343"/>
    </row>
    <row r="344" spans="1:7" x14ac:dyDescent="0.25">
      <c r="A344"/>
      <c r="B344"/>
    </row>
    <row r="345" spans="1:7" x14ac:dyDescent="0.25">
      <c r="A345"/>
      <c r="B345"/>
    </row>
    <row r="346" spans="1:7" x14ac:dyDescent="0.25">
      <c r="A346"/>
      <c r="B346"/>
    </row>
    <row r="347" spans="1:7" x14ac:dyDescent="0.25">
      <c r="A347"/>
      <c r="B347"/>
    </row>
    <row r="348" spans="1:7" x14ac:dyDescent="0.25">
      <c r="A348"/>
      <c r="B348"/>
      <c r="G348" t="e">
        <f>#REF!-#REF!</f>
        <v>#REF!</v>
      </c>
    </row>
    <row r="349" spans="1:7" x14ac:dyDescent="0.25">
      <c r="A349"/>
      <c r="B349"/>
    </row>
    <row r="350" spans="1:7" x14ac:dyDescent="0.25">
      <c r="A350"/>
      <c r="B350"/>
    </row>
    <row r="351" spans="1:7" x14ac:dyDescent="0.25">
      <c r="A351"/>
      <c r="B351"/>
    </row>
    <row r="352" spans="1:7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</sheetData>
  <pageMargins left="0.7" right="0.7" top="0.75" bottom="0.75" header="0.3" footer="0.3"/>
  <pageSetup paperSize="260" orientation="portrait" horizontalDpi="203" verticalDpi="20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457F-4E08-4AF7-BCD2-121288E90444}">
  <dimension ref="A1:K234"/>
  <sheetViews>
    <sheetView rightToLeft="1" topLeftCell="A203" zoomScale="85" zoomScaleNormal="85" workbookViewId="0">
      <selection activeCell="H206" sqref="H206:I209"/>
    </sheetView>
  </sheetViews>
  <sheetFormatPr defaultRowHeight="15" x14ac:dyDescent="0.25"/>
  <cols>
    <col min="1" max="1" width="39.140625" customWidth="1"/>
    <col min="2" max="2" width="18.7109375" bestFit="1" customWidth="1"/>
    <col min="3" max="3" width="26.7109375" customWidth="1"/>
    <col min="4" max="4" width="12.28515625" customWidth="1"/>
    <col min="5" max="5" width="10" customWidth="1"/>
    <col min="7" max="7" width="39.140625" customWidth="1"/>
    <col min="8" max="8" width="11.7109375" bestFit="1" customWidth="1"/>
    <col min="9" max="9" width="26.7109375" customWidth="1"/>
    <col min="10" max="10" width="16.7109375" bestFit="1" customWidth="1"/>
    <col min="11" max="11" width="11" bestFit="1" customWidth="1"/>
  </cols>
  <sheetData>
    <row r="1" spans="1:9" ht="15.75" thickBot="1" x14ac:dyDescent="0.3"/>
    <row r="2" spans="1:9" ht="24" thickBot="1" x14ac:dyDescent="0.3">
      <c r="A2" s="76" t="s">
        <v>300</v>
      </c>
      <c r="B2" s="460">
        <v>45136</v>
      </c>
      <c r="C2" s="461"/>
      <c r="G2" s="76" t="s">
        <v>1542</v>
      </c>
      <c r="H2" s="460">
        <v>45136</v>
      </c>
      <c r="I2" s="461"/>
    </row>
    <row r="3" spans="1:9" ht="21" thickBot="1" x14ac:dyDescent="0.3">
      <c r="A3" s="53" t="s">
        <v>137</v>
      </c>
      <c r="B3" s="53" t="s">
        <v>3</v>
      </c>
      <c r="C3" s="53" t="s">
        <v>138</v>
      </c>
      <c r="G3" s="53" t="s">
        <v>137</v>
      </c>
      <c r="H3" s="53" t="s">
        <v>3</v>
      </c>
      <c r="I3" s="53" t="s">
        <v>138</v>
      </c>
    </row>
    <row r="4" spans="1:9" ht="18" x14ac:dyDescent="0.25">
      <c r="A4" s="55">
        <f>815</f>
        <v>815</v>
      </c>
      <c r="B4" s="57">
        <v>195</v>
      </c>
      <c r="C4" s="56" t="s">
        <v>27</v>
      </c>
      <c r="G4" s="55">
        <f>5000+2000+435-1230</f>
        <v>6205</v>
      </c>
      <c r="H4" s="77">
        <v>1230</v>
      </c>
      <c r="I4" s="57" t="s">
        <v>1543</v>
      </c>
    </row>
    <row r="5" spans="1:9" ht="18" x14ac:dyDescent="0.25">
      <c r="A5" s="60"/>
      <c r="B5" s="56">
        <v>1380</v>
      </c>
      <c r="C5" s="56" t="s">
        <v>14</v>
      </c>
      <c r="G5" s="60"/>
      <c r="H5" s="56">
        <v>175</v>
      </c>
      <c r="I5" s="57" t="s">
        <v>1450</v>
      </c>
    </row>
    <row r="6" spans="1:9" ht="18" x14ac:dyDescent="0.25">
      <c r="A6" s="60"/>
      <c r="B6" s="77">
        <v>15</v>
      </c>
      <c r="C6" s="56" t="s">
        <v>73</v>
      </c>
      <c r="G6" s="60"/>
      <c r="H6" s="77">
        <v>75</v>
      </c>
      <c r="I6" s="57" t="s">
        <v>26</v>
      </c>
    </row>
    <row r="7" spans="1:9" ht="18" x14ac:dyDescent="0.25">
      <c r="A7" s="60"/>
      <c r="B7" s="77">
        <v>750</v>
      </c>
      <c r="C7" s="56" t="s">
        <v>1539</v>
      </c>
      <c r="G7" s="60"/>
      <c r="H7" s="56">
        <v>85</v>
      </c>
      <c r="I7" s="57" t="s">
        <v>1219</v>
      </c>
    </row>
    <row r="8" spans="1:9" ht="18" x14ac:dyDescent="0.25">
      <c r="A8" s="60"/>
      <c r="B8" s="56">
        <v>10</v>
      </c>
      <c r="C8" s="56" t="s">
        <v>446</v>
      </c>
      <c r="G8" s="60"/>
      <c r="H8" s="77">
        <v>710</v>
      </c>
      <c r="I8" s="57" t="s">
        <v>279</v>
      </c>
    </row>
    <row r="9" spans="1:9" ht="18" x14ac:dyDescent="0.25">
      <c r="A9" s="60"/>
      <c r="B9" s="77">
        <v>280</v>
      </c>
      <c r="C9" s="56" t="s">
        <v>8</v>
      </c>
      <c r="G9" s="60"/>
      <c r="H9" s="77">
        <v>260</v>
      </c>
      <c r="I9" s="57" t="s">
        <v>741</v>
      </c>
    </row>
    <row r="10" spans="1:9" ht="18" x14ac:dyDescent="0.25">
      <c r="A10" s="60"/>
      <c r="B10" s="56">
        <v>170</v>
      </c>
      <c r="C10" s="56" t="s">
        <v>7</v>
      </c>
      <c r="G10" s="60"/>
      <c r="H10" s="56"/>
      <c r="I10" s="57"/>
    </row>
    <row r="11" spans="1:9" ht="18" x14ac:dyDescent="0.25">
      <c r="A11" s="60"/>
      <c r="B11" s="77">
        <v>100</v>
      </c>
      <c r="C11" s="56" t="s">
        <v>80</v>
      </c>
      <c r="G11" s="60"/>
      <c r="H11" s="56"/>
      <c r="I11" s="57"/>
    </row>
    <row r="12" spans="1:9" ht="18" x14ac:dyDescent="0.25">
      <c r="A12" s="60"/>
      <c r="B12" s="77">
        <v>170</v>
      </c>
      <c r="C12" s="56" t="s">
        <v>399</v>
      </c>
      <c r="G12" s="60"/>
      <c r="H12" s="56"/>
      <c r="I12" s="57"/>
    </row>
    <row r="13" spans="1:9" ht="18" x14ac:dyDescent="0.25">
      <c r="A13" s="60"/>
      <c r="B13" s="56">
        <v>4990</v>
      </c>
      <c r="C13" s="56" t="s">
        <v>1540</v>
      </c>
      <c r="G13" s="60"/>
      <c r="H13" s="56"/>
      <c r="I13" s="57"/>
    </row>
    <row r="14" spans="1:9" ht="18" x14ac:dyDescent="0.25">
      <c r="A14" s="60"/>
      <c r="B14" s="77">
        <v>1200</v>
      </c>
      <c r="C14" s="56" t="s">
        <v>12</v>
      </c>
      <c r="G14" s="60"/>
      <c r="H14" s="56"/>
      <c r="I14" s="57"/>
    </row>
    <row r="15" spans="1:9" ht="18" x14ac:dyDescent="0.25">
      <c r="A15" s="60"/>
      <c r="B15" s="56">
        <v>3000</v>
      </c>
      <c r="C15" s="56" t="s">
        <v>1541</v>
      </c>
      <c r="G15" s="60"/>
      <c r="H15" s="56"/>
      <c r="I15" s="57"/>
    </row>
    <row r="16" spans="1:9" ht="18" x14ac:dyDescent="0.25">
      <c r="A16" s="60"/>
      <c r="B16" s="77"/>
      <c r="C16" s="56"/>
      <c r="G16" s="60"/>
      <c r="H16" s="56"/>
      <c r="I16" s="57"/>
    </row>
    <row r="17" spans="1:11" ht="18" x14ac:dyDescent="0.25">
      <c r="A17" s="60"/>
      <c r="B17" s="77"/>
      <c r="C17" s="56"/>
      <c r="G17" s="60"/>
      <c r="H17" s="77"/>
      <c r="I17" s="57"/>
    </row>
    <row r="18" spans="1:11" ht="18" x14ac:dyDescent="0.25">
      <c r="A18" s="60"/>
      <c r="B18" s="56"/>
      <c r="C18" s="56"/>
      <c r="G18" s="60"/>
      <c r="H18" s="56"/>
      <c r="I18" s="57"/>
    </row>
    <row r="19" spans="1:11" ht="18" x14ac:dyDescent="0.25">
      <c r="A19" s="60"/>
      <c r="B19" s="56"/>
      <c r="C19" s="56"/>
      <c r="G19" s="60"/>
      <c r="H19" s="56"/>
      <c r="I19" s="57"/>
    </row>
    <row r="20" spans="1:11" ht="18" x14ac:dyDescent="0.25">
      <c r="A20" s="60"/>
      <c r="B20" s="56"/>
      <c r="C20" s="56"/>
      <c r="G20" s="60"/>
      <c r="H20" s="56"/>
      <c r="I20" s="57"/>
    </row>
    <row r="21" spans="1:11" ht="18" x14ac:dyDescent="0.25">
      <c r="A21" s="60"/>
      <c r="B21" s="56"/>
      <c r="C21" s="56"/>
      <c r="G21" s="60"/>
      <c r="H21" s="56"/>
      <c r="I21" s="57"/>
    </row>
    <row r="22" spans="1:11" ht="18" x14ac:dyDescent="0.25">
      <c r="A22" s="60"/>
      <c r="B22" s="56"/>
      <c r="C22" s="56"/>
      <c r="G22" s="60"/>
      <c r="H22" s="56"/>
      <c r="I22" s="57"/>
    </row>
    <row r="23" spans="1:11" ht="18.75" thickBot="1" x14ac:dyDescent="0.3">
      <c r="A23" s="60"/>
      <c r="B23" s="56"/>
      <c r="C23" s="56"/>
      <c r="G23" s="60"/>
      <c r="H23" s="77"/>
      <c r="I23" s="57"/>
    </row>
    <row r="24" spans="1:11" ht="24" thickBot="1" x14ac:dyDescent="0.3">
      <c r="A24" s="66"/>
      <c r="B24" s="56"/>
      <c r="C24" s="64"/>
      <c r="D24" s="314" t="str">
        <f>IF(E24&gt;0,"زيادة","عجز")</f>
        <v>زيادة</v>
      </c>
      <c r="E24" s="99">
        <f>E29-E25</f>
        <v>48</v>
      </c>
      <c r="G24" s="60"/>
      <c r="H24" s="56"/>
      <c r="I24" s="57"/>
    </row>
    <row r="25" spans="1:11" ht="24" thickBot="1" x14ac:dyDescent="0.3">
      <c r="A25" s="68">
        <f>SUM(A4:A24)</f>
        <v>815</v>
      </c>
      <c r="B25" s="69">
        <f>SUM(B4:B24)</f>
        <v>12260</v>
      </c>
      <c r="D25" s="135" t="s">
        <v>94</v>
      </c>
      <c r="E25" s="99">
        <f>6413-5452</f>
        <v>961</v>
      </c>
      <c r="G25" s="68">
        <f>SUM(G4:G24)</f>
        <v>6205</v>
      </c>
      <c r="H25" s="69">
        <f>SUM(H4:H24)</f>
        <v>2535</v>
      </c>
      <c r="J25" s="314" t="str">
        <f>IF(K25&gt;0,"زيادة","عجز")</f>
        <v>زيادة</v>
      </c>
      <c r="K25" s="99">
        <f>K30-K26</f>
        <v>52</v>
      </c>
    </row>
    <row r="26" spans="1:11" ht="24" thickBot="1" x14ac:dyDescent="0.3">
      <c r="A26" s="462" t="s">
        <v>139</v>
      </c>
      <c r="B26" s="463"/>
      <c r="C26" s="71" t="s">
        <v>75</v>
      </c>
      <c r="D26" s="136" t="s">
        <v>65</v>
      </c>
      <c r="E26" s="85">
        <f>750+249+10</f>
        <v>1009</v>
      </c>
      <c r="G26" s="462" t="s">
        <v>139</v>
      </c>
      <c r="H26" s="463"/>
      <c r="I26" s="71" t="s">
        <v>75</v>
      </c>
      <c r="J26" s="135" t="s">
        <v>94</v>
      </c>
      <c r="K26" s="99">
        <v>883</v>
      </c>
    </row>
    <row r="27" spans="1:11" ht="24" thickBot="1" x14ac:dyDescent="0.3">
      <c r="A27" s="464">
        <f>B25+A25</f>
        <v>13075</v>
      </c>
      <c r="B27" s="465"/>
      <c r="C27" s="313">
        <f>56+118+611+285+300+59</f>
        <v>1429</v>
      </c>
      <c r="D27" s="82"/>
      <c r="E27" s="83"/>
      <c r="G27" s="464">
        <f>H25+G25</f>
        <v>8740</v>
      </c>
      <c r="H27" s="465"/>
      <c r="I27" s="313">
        <f>32+151</f>
        <v>183</v>
      </c>
      <c r="J27" s="136" t="s">
        <v>65</v>
      </c>
      <c r="K27" s="85">
        <f>550+300+85</f>
        <v>935</v>
      </c>
    </row>
    <row r="28" spans="1:11" ht="24" thickBot="1" x14ac:dyDescent="0.3">
      <c r="A28" s="466" t="s">
        <v>99</v>
      </c>
      <c r="B28" s="467"/>
      <c r="C28" s="78">
        <f>A29-C29</f>
        <v>-354</v>
      </c>
      <c r="D28" s="82"/>
      <c r="E28" s="83"/>
      <c r="G28" s="466" t="s">
        <v>99</v>
      </c>
      <c r="H28" s="467"/>
      <c r="I28" s="78">
        <f>G29-I29</f>
        <v>30</v>
      </c>
      <c r="J28" s="82"/>
      <c r="K28" s="83"/>
    </row>
    <row r="29" spans="1:11" ht="24" thickBot="1" x14ac:dyDescent="0.3">
      <c r="A29" s="468">
        <f>C27+A27</f>
        <v>14504</v>
      </c>
      <c r="B29" s="469"/>
      <c r="C29" s="121">
        <f>14739+119</f>
        <v>14858</v>
      </c>
      <c r="D29" s="82" t="s">
        <v>164</v>
      </c>
      <c r="E29" s="83">
        <f>SUM(E26:E28)</f>
        <v>1009</v>
      </c>
      <c r="G29" s="468">
        <f>I27+G27</f>
        <v>8923</v>
      </c>
      <c r="H29" s="469"/>
      <c r="I29" s="121">
        <f>6891+2002</f>
        <v>8893</v>
      </c>
      <c r="J29" s="82"/>
      <c r="K29" s="83"/>
    </row>
    <row r="30" spans="1:11" ht="24" thickBot="1" x14ac:dyDescent="0.3">
      <c r="C30" s="314" t="str">
        <f>IF(C28&gt;0,"زيادة","عجز")</f>
        <v>عجز</v>
      </c>
      <c r="D30" s="318"/>
      <c r="I30" s="314" t="str">
        <f>IF(I28&gt;0,"زيادة","عجز")</f>
        <v>زيادة</v>
      </c>
      <c r="J30" s="82" t="s">
        <v>164</v>
      </c>
      <c r="K30" s="83">
        <f>SUM(K27:K29)</f>
        <v>935</v>
      </c>
    </row>
    <row r="31" spans="1:11" ht="18.75" x14ac:dyDescent="0.25">
      <c r="J31" s="318"/>
    </row>
    <row r="33" spans="1:11" ht="15.75" thickBot="1" x14ac:dyDescent="0.3"/>
    <row r="34" spans="1:11" ht="24" thickBot="1" x14ac:dyDescent="0.3">
      <c r="A34" s="76" t="s">
        <v>1545</v>
      </c>
      <c r="B34" s="460">
        <v>45136</v>
      </c>
      <c r="C34" s="474"/>
      <c r="G34" s="76" t="s">
        <v>1291</v>
      </c>
      <c r="H34" s="460">
        <v>45136</v>
      </c>
      <c r="I34" s="461"/>
    </row>
    <row r="35" spans="1:11" ht="21" thickBot="1" x14ac:dyDescent="0.3">
      <c r="A35" s="53" t="s">
        <v>137</v>
      </c>
      <c r="B35" s="53" t="s">
        <v>3</v>
      </c>
      <c r="C35" s="53" t="s">
        <v>138</v>
      </c>
      <c r="G35" s="53" t="s">
        <v>137</v>
      </c>
      <c r="H35" s="53" t="s">
        <v>3</v>
      </c>
      <c r="I35" s="53" t="s">
        <v>138</v>
      </c>
    </row>
    <row r="36" spans="1:11" ht="18" x14ac:dyDescent="0.25">
      <c r="A36" s="55">
        <f>5000+3450+1200+20+1000+500+50</f>
        <v>11220</v>
      </c>
      <c r="B36" s="77">
        <v>3</v>
      </c>
      <c r="C36" s="57" t="s">
        <v>1544</v>
      </c>
      <c r="G36" s="55">
        <v>4770</v>
      </c>
      <c r="H36" s="77">
        <v>190</v>
      </c>
      <c r="I36" s="57" t="s">
        <v>15</v>
      </c>
    </row>
    <row r="37" spans="1:11" ht="18" x14ac:dyDescent="0.25">
      <c r="A37" s="60"/>
      <c r="B37" s="56"/>
      <c r="C37" s="57"/>
      <c r="G37" s="60"/>
      <c r="H37" s="56">
        <v>100</v>
      </c>
      <c r="I37" s="57" t="s">
        <v>510</v>
      </c>
    </row>
    <row r="38" spans="1:11" ht="18" x14ac:dyDescent="0.25">
      <c r="A38" s="60"/>
      <c r="B38" s="77"/>
      <c r="C38" s="57"/>
      <c r="G38" s="60"/>
      <c r="H38" s="77"/>
      <c r="I38" s="77"/>
    </row>
    <row r="39" spans="1:11" ht="18" x14ac:dyDescent="0.25">
      <c r="A39" s="60"/>
      <c r="B39" s="56"/>
      <c r="C39" s="57"/>
      <c r="G39" s="60"/>
      <c r="H39" s="56"/>
      <c r="I39" s="77"/>
    </row>
    <row r="40" spans="1:11" ht="18" x14ac:dyDescent="0.25">
      <c r="A40" s="60"/>
      <c r="B40" s="77"/>
      <c r="C40" s="56"/>
      <c r="G40" s="60"/>
      <c r="H40" s="77"/>
      <c r="I40" s="56"/>
    </row>
    <row r="41" spans="1:11" ht="18" x14ac:dyDescent="0.25">
      <c r="A41" s="60"/>
      <c r="B41" s="77"/>
      <c r="C41" s="56"/>
      <c r="G41" s="60"/>
      <c r="H41" s="77"/>
      <c r="I41" s="56"/>
    </row>
    <row r="42" spans="1:11" ht="18" x14ac:dyDescent="0.25">
      <c r="A42" s="60"/>
      <c r="B42" s="56"/>
      <c r="C42" s="56"/>
      <c r="G42" s="60"/>
      <c r="H42" s="56"/>
      <c r="I42" s="56"/>
    </row>
    <row r="43" spans="1:11" ht="18" x14ac:dyDescent="0.25">
      <c r="A43" s="60"/>
      <c r="B43" s="56"/>
      <c r="C43" s="56"/>
      <c r="G43" s="60"/>
      <c r="H43" s="56"/>
      <c r="I43" s="56"/>
    </row>
    <row r="44" spans="1:11" ht="18" x14ac:dyDescent="0.25">
      <c r="A44" s="60"/>
      <c r="B44" s="56"/>
      <c r="C44" s="56"/>
      <c r="G44" s="60"/>
      <c r="H44" s="56"/>
      <c r="I44" s="56"/>
    </row>
    <row r="45" spans="1:11" ht="18" x14ac:dyDescent="0.25">
      <c r="A45" s="60"/>
      <c r="B45" s="56"/>
      <c r="C45" s="56"/>
      <c r="G45" s="60"/>
      <c r="H45" s="56"/>
      <c r="I45" s="56"/>
      <c r="K45">
        <f>20+3+10+120+20+8+34+8+14+30+25</f>
        <v>292</v>
      </c>
    </row>
    <row r="46" spans="1:11" ht="18" x14ac:dyDescent="0.25">
      <c r="A46" s="60"/>
      <c r="B46" s="56"/>
      <c r="C46" s="56"/>
      <c r="G46" s="60"/>
      <c r="H46" s="56"/>
      <c r="I46" s="56"/>
    </row>
    <row r="47" spans="1:11" ht="18" x14ac:dyDescent="0.25">
      <c r="A47" s="60"/>
      <c r="B47" s="56"/>
      <c r="C47" s="56"/>
      <c r="G47" s="60"/>
      <c r="H47" s="56"/>
      <c r="I47" s="56"/>
    </row>
    <row r="48" spans="1:11" ht="18" x14ac:dyDescent="0.25">
      <c r="A48" s="60"/>
      <c r="B48" s="56"/>
      <c r="C48" s="56"/>
      <c r="G48" s="60"/>
      <c r="H48" s="56"/>
      <c r="I48" s="56"/>
    </row>
    <row r="49" spans="1:11" ht="18" x14ac:dyDescent="0.25">
      <c r="A49" s="60"/>
      <c r="B49" s="56"/>
      <c r="C49" s="56"/>
      <c r="G49" s="60"/>
      <c r="H49" s="56"/>
      <c r="I49" s="56"/>
    </row>
    <row r="50" spans="1:11" ht="18" x14ac:dyDescent="0.25">
      <c r="A50" s="60"/>
      <c r="B50" s="56"/>
      <c r="C50" s="56"/>
      <c r="G50" s="60"/>
      <c r="H50" s="56"/>
      <c r="I50" s="56"/>
    </row>
    <row r="51" spans="1:11" ht="27" thickBot="1" x14ac:dyDescent="0.45">
      <c r="A51" s="60"/>
      <c r="B51" s="56"/>
      <c r="C51" s="56"/>
      <c r="D51" s="472"/>
      <c r="E51" s="473"/>
      <c r="G51" s="60"/>
      <c r="H51" s="56"/>
      <c r="I51" s="56"/>
    </row>
    <row r="52" spans="1:11" ht="24" thickBot="1" x14ac:dyDescent="0.3">
      <c r="A52" s="66"/>
      <c r="B52" s="56"/>
      <c r="C52" s="64"/>
      <c r="D52" s="314" t="str">
        <f>IF(E52&gt;0,"زيادة","عجز")</f>
        <v>عجز</v>
      </c>
      <c r="E52" s="99">
        <f>E58-E53</f>
        <v>0</v>
      </c>
      <c r="G52" s="60"/>
      <c r="H52" s="56"/>
      <c r="I52" s="56"/>
    </row>
    <row r="53" spans="1:11" ht="24" thickBot="1" x14ac:dyDescent="0.3">
      <c r="A53" s="68">
        <f>SUM(A36:A52)</f>
        <v>11220</v>
      </c>
      <c r="B53" s="69">
        <f>SUM(B36:B52)</f>
        <v>3</v>
      </c>
      <c r="D53" s="135" t="s">
        <v>94</v>
      </c>
      <c r="E53" s="99"/>
      <c r="G53" s="60"/>
      <c r="H53" s="56"/>
      <c r="I53" s="56"/>
    </row>
    <row r="54" spans="1:11" ht="21.75" thickBot="1" x14ac:dyDescent="0.3">
      <c r="A54" s="365" t="s">
        <v>139</v>
      </c>
      <c r="B54" s="366"/>
      <c r="C54" s="71" t="s">
        <v>75</v>
      </c>
      <c r="D54" s="136" t="s">
        <v>65</v>
      </c>
      <c r="E54" s="85"/>
      <c r="G54" s="60"/>
      <c r="H54" s="56"/>
      <c r="I54" s="56"/>
    </row>
    <row r="55" spans="1:11" ht="24" thickBot="1" x14ac:dyDescent="0.3">
      <c r="A55" s="367">
        <f>B53+A53</f>
        <v>11223</v>
      </c>
      <c r="B55" s="368"/>
      <c r="C55" s="313">
        <f>218+193+215</f>
        <v>626</v>
      </c>
      <c r="D55" s="82"/>
      <c r="E55" s="83"/>
      <c r="G55" s="66"/>
      <c r="H55" s="56"/>
      <c r="I55" s="64"/>
    </row>
    <row r="56" spans="1:11" ht="24" thickBot="1" x14ac:dyDescent="0.3">
      <c r="A56" s="369" t="s">
        <v>99</v>
      </c>
      <c r="B56" s="370"/>
      <c r="C56" s="78">
        <f>A57-C57</f>
        <v>41</v>
      </c>
      <c r="D56" s="82"/>
      <c r="E56" s="83"/>
      <c r="G56" s="68">
        <f>SUM(G36:G55)</f>
        <v>4770</v>
      </c>
      <c r="H56" s="69">
        <f>SUM(H36:H55)</f>
        <v>290</v>
      </c>
      <c r="J56" s="314" t="str">
        <f>IF(K56&gt;0,"زيادة","عجز")</f>
        <v>عجز</v>
      </c>
      <c r="K56" s="99">
        <f>K61-K57</f>
        <v>0</v>
      </c>
    </row>
    <row r="57" spans="1:11" ht="24" thickBot="1" x14ac:dyDescent="0.3">
      <c r="A57" s="371">
        <f>C55+A55</f>
        <v>11849</v>
      </c>
      <c r="B57" s="372"/>
      <c r="C57" s="121">
        <v>11808</v>
      </c>
      <c r="D57" s="82"/>
      <c r="E57" s="83"/>
      <c r="G57" s="462" t="s">
        <v>139</v>
      </c>
      <c r="H57" s="463"/>
      <c r="I57" s="71" t="s">
        <v>75</v>
      </c>
      <c r="J57" s="135" t="s">
        <v>94</v>
      </c>
      <c r="K57" s="99"/>
    </row>
    <row r="58" spans="1:11" ht="24" thickBot="1" x14ac:dyDescent="0.3">
      <c r="C58" s="314" t="str">
        <f>IF(C56&gt;0,"زيادة","عجز")</f>
        <v>زيادة</v>
      </c>
      <c r="D58" s="82" t="s">
        <v>164</v>
      </c>
      <c r="E58" s="83">
        <f>SUM(E54:E57)</f>
        <v>0</v>
      </c>
      <c r="G58" s="464">
        <f>H56+G56</f>
        <v>5060</v>
      </c>
      <c r="H58" s="465"/>
      <c r="I58" s="313">
        <f>233+94</f>
        <v>327</v>
      </c>
      <c r="J58" s="136" t="s">
        <v>65</v>
      </c>
      <c r="K58" s="85"/>
    </row>
    <row r="59" spans="1:11" ht="24" thickBot="1" x14ac:dyDescent="0.3">
      <c r="D59" s="318"/>
      <c r="G59" s="466" t="s">
        <v>99</v>
      </c>
      <c r="H59" s="467"/>
      <c r="I59" s="78">
        <f>G60-I60</f>
        <v>26</v>
      </c>
      <c r="J59" s="82"/>
      <c r="K59" s="83"/>
    </row>
    <row r="60" spans="1:11" ht="24" thickBot="1" x14ac:dyDescent="0.3">
      <c r="G60" s="468">
        <f>I58+G58</f>
        <v>5387</v>
      </c>
      <c r="H60" s="469"/>
      <c r="I60" s="121">
        <v>5361</v>
      </c>
      <c r="J60" s="82"/>
      <c r="K60" s="83"/>
    </row>
    <row r="61" spans="1:11" ht="24" thickBot="1" x14ac:dyDescent="0.3">
      <c r="I61" s="314" t="str">
        <f>IF(I59&gt;0,"زيادة","عجز")</f>
        <v>زيادة</v>
      </c>
      <c r="J61" s="82" t="s">
        <v>164</v>
      </c>
      <c r="K61" s="83">
        <f>SUM(K58:K60)</f>
        <v>0</v>
      </c>
    </row>
    <row r="62" spans="1:11" ht="24" thickBot="1" x14ac:dyDescent="0.3">
      <c r="I62" s="372"/>
      <c r="J62" s="318"/>
    </row>
    <row r="63" spans="1:11" ht="24" thickBot="1" x14ac:dyDescent="0.3">
      <c r="A63" s="76" t="s">
        <v>1387</v>
      </c>
      <c r="B63" s="460">
        <v>45136</v>
      </c>
      <c r="C63" s="474"/>
      <c r="G63" s="76" t="s">
        <v>1550</v>
      </c>
      <c r="H63" s="460">
        <v>45136</v>
      </c>
      <c r="I63" s="461"/>
      <c r="J63" s="104"/>
    </row>
    <row r="64" spans="1:11" ht="21" thickBot="1" x14ac:dyDescent="0.3">
      <c r="A64" s="53" t="s">
        <v>137</v>
      </c>
      <c r="B64" s="53" t="s">
        <v>3</v>
      </c>
      <c r="C64" s="53" t="s">
        <v>138</v>
      </c>
      <c r="G64" s="53" t="s">
        <v>137</v>
      </c>
      <c r="H64" s="53" t="s">
        <v>3</v>
      </c>
      <c r="I64" s="53" t="s">
        <v>138</v>
      </c>
    </row>
    <row r="65" spans="1:9" ht="18" x14ac:dyDescent="0.25">
      <c r="A65" s="55">
        <f>10000+5000+1000+245</f>
        <v>16245</v>
      </c>
      <c r="B65" s="77">
        <v>140</v>
      </c>
      <c r="C65" s="57" t="s">
        <v>1416</v>
      </c>
      <c r="G65" s="55">
        <f>10000+660</f>
        <v>10660</v>
      </c>
      <c r="H65" s="77">
        <v>195</v>
      </c>
      <c r="I65" s="57" t="s">
        <v>255</v>
      </c>
    </row>
    <row r="66" spans="1:9" ht="18" x14ac:dyDescent="0.25">
      <c r="A66" s="60"/>
      <c r="B66" s="56">
        <v>45</v>
      </c>
      <c r="C66" s="57" t="s">
        <v>339</v>
      </c>
      <c r="G66" s="60"/>
      <c r="H66" s="56">
        <v>145</v>
      </c>
      <c r="I66" s="57" t="s">
        <v>1422</v>
      </c>
    </row>
    <row r="67" spans="1:9" ht="18" x14ac:dyDescent="0.25">
      <c r="A67" s="60"/>
      <c r="B67" s="77">
        <v>120</v>
      </c>
      <c r="C67" s="77" t="s">
        <v>714</v>
      </c>
      <c r="G67" s="60"/>
      <c r="H67" s="77">
        <v>160</v>
      </c>
      <c r="I67" s="77" t="s">
        <v>32</v>
      </c>
    </row>
    <row r="68" spans="1:9" ht="18" x14ac:dyDescent="0.25">
      <c r="A68" s="60"/>
      <c r="B68" s="56">
        <v>70</v>
      </c>
      <c r="C68" s="77" t="s">
        <v>86</v>
      </c>
      <c r="G68" s="60"/>
      <c r="H68" s="56">
        <v>60</v>
      </c>
      <c r="I68" s="77" t="s">
        <v>341</v>
      </c>
    </row>
    <row r="69" spans="1:9" ht="18" x14ac:dyDescent="0.25">
      <c r="A69" s="60"/>
      <c r="B69" s="77">
        <v>635</v>
      </c>
      <c r="C69" s="56" t="s">
        <v>1015</v>
      </c>
      <c r="G69" s="60"/>
      <c r="H69" s="77">
        <v>410</v>
      </c>
      <c r="I69" s="56" t="s">
        <v>52</v>
      </c>
    </row>
    <row r="70" spans="1:9" ht="18" x14ac:dyDescent="0.25">
      <c r="A70" s="60"/>
      <c r="B70" s="77">
        <v>350</v>
      </c>
      <c r="C70" s="56" t="s">
        <v>715</v>
      </c>
      <c r="G70" s="60"/>
      <c r="H70" s="77">
        <v>290</v>
      </c>
      <c r="I70" s="56" t="s">
        <v>744</v>
      </c>
    </row>
    <row r="71" spans="1:9" ht="18" x14ac:dyDescent="0.25">
      <c r="A71" s="60"/>
      <c r="B71" s="56">
        <v>990</v>
      </c>
      <c r="C71" s="56" t="s">
        <v>27</v>
      </c>
      <c r="G71" s="60"/>
      <c r="H71" s="56">
        <v>120</v>
      </c>
      <c r="I71" s="56" t="s">
        <v>39</v>
      </c>
    </row>
    <row r="72" spans="1:9" ht="18" x14ac:dyDescent="0.25">
      <c r="A72" s="60"/>
      <c r="B72" s="56">
        <v>115</v>
      </c>
      <c r="C72" s="56" t="s">
        <v>498</v>
      </c>
      <c r="G72" s="60"/>
      <c r="H72" s="56">
        <v>580</v>
      </c>
      <c r="I72" s="56" t="s">
        <v>61</v>
      </c>
    </row>
    <row r="73" spans="1:9" ht="18" x14ac:dyDescent="0.25">
      <c r="A73" s="60"/>
      <c r="B73" s="56">
        <v>70</v>
      </c>
      <c r="C73" s="56" t="s">
        <v>32</v>
      </c>
      <c r="G73" s="60"/>
      <c r="H73" s="56">
        <v>3165</v>
      </c>
      <c r="I73" s="56" t="s">
        <v>12</v>
      </c>
    </row>
    <row r="74" spans="1:9" ht="18" x14ac:dyDescent="0.25">
      <c r="A74" s="60"/>
      <c r="B74" s="56">
        <v>110</v>
      </c>
      <c r="C74" s="56" t="s">
        <v>1419</v>
      </c>
      <c r="G74" s="60"/>
      <c r="H74" s="56">
        <v>2625</v>
      </c>
      <c r="I74" s="56" t="s">
        <v>1551</v>
      </c>
    </row>
    <row r="75" spans="1:9" ht="18" x14ac:dyDescent="0.25">
      <c r="A75" s="60"/>
      <c r="B75" s="56">
        <v>100</v>
      </c>
      <c r="C75" s="56" t="s">
        <v>1372</v>
      </c>
      <c r="G75" s="60"/>
      <c r="H75" s="56"/>
      <c r="I75" s="56"/>
    </row>
    <row r="76" spans="1:9" ht="18" x14ac:dyDescent="0.25">
      <c r="A76" s="60"/>
      <c r="B76" s="56">
        <v>210</v>
      </c>
      <c r="C76" s="56" t="s">
        <v>1319</v>
      </c>
      <c r="G76" s="60"/>
      <c r="H76" s="56"/>
      <c r="I76" s="56"/>
    </row>
    <row r="77" spans="1:9" ht="18" x14ac:dyDescent="0.25">
      <c r="A77" s="60"/>
      <c r="B77" s="56"/>
      <c r="C77" s="56"/>
      <c r="G77" s="60"/>
      <c r="H77" s="56"/>
      <c r="I77" s="56"/>
    </row>
    <row r="78" spans="1:9" ht="18" x14ac:dyDescent="0.25">
      <c r="A78" s="60"/>
      <c r="B78" s="56"/>
      <c r="C78" s="56"/>
      <c r="G78" s="60"/>
      <c r="H78" s="56"/>
      <c r="I78" s="56"/>
    </row>
    <row r="79" spans="1:9" ht="18" x14ac:dyDescent="0.25">
      <c r="A79" s="60"/>
      <c r="B79" s="56"/>
      <c r="C79" s="56"/>
      <c r="G79" s="60"/>
      <c r="H79" s="56"/>
      <c r="I79" s="56"/>
    </row>
    <row r="80" spans="1:9" ht="18" x14ac:dyDescent="0.25">
      <c r="A80" s="60"/>
      <c r="B80" s="56"/>
      <c r="C80" s="56"/>
      <c r="G80" s="60"/>
      <c r="H80" s="56"/>
      <c r="I80" s="56"/>
    </row>
    <row r="81" spans="1:11" ht="18" x14ac:dyDescent="0.25">
      <c r="A81" s="60"/>
      <c r="B81" s="56"/>
      <c r="C81" s="56"/>
      <c r="G81" s="60"/>
      <c r="H81" s="56"/>
      <c r="I81" s="56"/>
    </row>
    <row r="82" spans="1:11" ht="18" x14ac:dyDescent="0.25">
      <c r="A82" s="60"/>
      <c r="B82" s="56"/>
      <c r="C82" s="56"/>
      <c r="G82" s="60"/>
      <c r="H82" s="56"/>
      <c r="I82" s="56"/>
    </row>
    <row r="83" spans="1:11" ht="18" x14ac:dyDescent="0.25">
      <c r="A83" s="60"/>
      <c r="B83" s="56"/>
      <c r="C83" s="56"/>
      <c r="G83" s="60"/>
      <c r="H83" s="56"/>
      <c r="I83" s="56"/>
    </row>
    <row r="84" spans="1:11" ht="18" x14ac:dyDescent="0.25">
      <c r="A84" s="60"/>
      <c r="B84" s="56"/>
      <c r="C84" s="56"/>
      <c r="G84" s="60"/>
      <c r="H84" s="56"/>
      <c r="I84" s="56"/>
    </row>
    <row r="85" spans="1:11" ht="18" x14ac:dyDescent="0.25">
      <c r="A85" s="60"/>
      <c r="B85" s="56"/>
      <c r="C85" s="56"/>
      <c r="G85" s="60"/>
      <c r="H85" s="56"/>
      <c r="I85" s="56"/>
    </row>
    <row r="86" spans="1:11" ht="18.75" thickBot="1" x14ac:dyDescent="0.3">
      <c r="A86" s="60"/>
      <c r="B86" s="56"/>
      <c r="C86" s="56"/>
      <c r="G86" s="60"/>
      <c r="H86" s="56"/>
      <c r="I86" s="56"/>
    </row>
    <row r="87" spans="1:11" ht="24" thickBot="1" x14ac:dyDescent="0.4">
      <c r="A87" s="66"/>
      <c r="B87" s="56"/>
      <c r="C87" s="64"/>
      <c r="E87" s="424"/>
      <c r="G87" s="66"/>
      <c r="H87" s="56"/>
      <c r="I87" s="64"/>
      <c r="J87" s="470"/>
      <c r="K87" s="471"/>
    </row>
    <row r="88" spans="1:11" ht="24" thickBot="1" x14ac:dyDescent="0.3">
      <c r="A88" s="68">
        <f>SUM(A65:A87)</f>
        <v>16245</v>
      </c>
      <c r="B88" s="69">
        <f>SUM(B65:B87)</f>
        <v>2955</v>
      </c>
      <c r="D88" s="314" t="str">
        <f>IF(E88&gt;0,"زيادة","عجز")</f>
        <v>زيادة</v>
      </c>
      <c r="E88" s="99">
        <f>E93-E89</f>
        <v>17</v>
      </c>
      <c r="G88" s="68">
        <f>SUM(G65:G87)</f>
        <v>10660</v>
      </c>
      <c r="H88" s="69">
        <f>SUM(H65:H87)</f>
        <v>7750</v>
      </c>
      <c r="J88" s="314" t="str">
        <f>IF(K88&gt;0,"زيادة","عجز")</f>
        <v>زيادة</v>
      </c>
      <c r="K88" s="99">
        <f>K93-K89</f>
        <v>12</v>
      </c>
    </row>
    <row r="89" spans="1:11" ht="24" thickBot="1" x14ac:dyDescent="0.3">
      <c r="A89" s="365" t="s">
        <v>139</v>
      </c>
      <c r="B89" s="366"/>
      <c r="C89" s="71" t="s">
        <v>75</v>
      </c>
      <c r="D89" s="135" t="s">
        <v>94</v>
      </c>
      <c r="E89" s="99">
        <f>1086-171</f>
        <v>915</v>
      </c>
      <c r="G89" s="462" t="s">
        <v>139</v>
      </c>
      <c r="H89" s="463"/>
      <c r="I89" s="71" t="s">
        <v>75</v>
      </c>
      <c r="J89" s="135" t="s">
        <v>94</v>
      </c>
      <c r="K89" s="99">
        <f>1509-1086</f>
        <v>423</v>
      </c>
    </row>
    <row r="90" spans="1:11" ht="24" thickBot="1" x14ac:dyDescent="0.3">
      <c r="A90" s="367">
        <f>B88+A88</f>
        <v>19200</v>
      </c>
      <c r="B90" s="368"/>
      <c r="C90" s="313">
        <f>225+30+61+151+57+52+128</f>
        <v>704</v>
      </c>
      <c r="D90" s="136" t="s">
        <v>65</v>
      </c>
      <c r="E90" s="85">
        <f>750+182</f>
        <v>932</v>
      </c>
      <c r="G90" s="464">
        <f>H88+G88</f>
        <v>18410</v>
      </c>
      <c r="H90" s="465"/>
      <c r="I90" s="313">
        <f>1047+268</f>
        <v>1315</v>
      </c>
      <c r="J90" s="136" t="s">
        <v>65</v>
      </c>
      <c r="K90" s="85">
        <v>435</v>
      </c>
    </row>
    <row r="91" spans="1:11" ht="24" thickBot="1" x14ac:dyDescent="0.3">
      <c r="A91" s="466" t="s">
        <v>99</v>
      </c>
      <c r="B91" s="467"/>
      <c r="C91" s="78">
        <f>A92-C92</f>
        <v>11</v>
      </c>
      <c r="D91" s="82"/>
      <c r="E91" s="83"/>
      <c r="G91" s="466" t="s">
        <v>99</v>
      </c>
      <c r="H91" s="467"/>
      <c r="I91" s="78">
        <f>G92-I92</f>
        <v>44</v>
      </c>
      <c r="J91" s="82"/>
      <c r="K91" s="83"/>
    </row>
    <row r="92" spans="1:11" ht="24" thickBot="1" x14ac:dyDescent="0.3">
      <c r="A92" s="468">
        <f>C90+A90</f>
        <v>19904</v>
      </c>
      <c r="B92" s="469"/>
      <c r="C92" s="121">
        <v>19893</v>
      </c>
      <c r="D92" s="82"/>
      <c r="E92" s="83"/>
      <c r="G92" s="468">
        <f>I90+G90</f>
        <v>19725</v>
      </c>
      <c r="H92" s="469"/>
      <c r="I92" s="121">
        <v>19681</v>
      </c>
      <c r="J92" s="82"/>
      <c r="K92" s="83"/>
    </row>
    <row r="93" spans="1:11" ht="24" thickBot="1" x14ac:dyDescent="0.3">
      <c r="C93" s="314" t="str">
        <f>IF(C91&gt;0,"زيادة","عجز")</f>
        <v>زيادة</v>
      </c>
      <c r="D93" s="82" t="s">
        <v>164</v>
      </c>
      <c r="E93" s="83">
        <f>SUM(E90:E92)</f>
        <v>932</v>
      </c>
      <c r="I93" s="314" t="str">
        <f>IF(I91&gt;0,"زيادة","عجز")</f>
        <v>زيادة</v>
      </c>
      <c r="J93" s="82" t="s">
        <v>164</v>
      </c>
      <c r="K93" s="83">
        <f>SUM(K90:K92)</f>
        <v>435</v>
      </c>
    </row>
    <row r="94" spans="1:11" ht="18.75" x14ac:dyDescent="0.25">
      <c r="D94" s="318"/>
      <c r="J94" s="318"/>
    </row>
    <row r="95" spans="1:11" ht="15.75" thickBot="1" x14ac:dyDescent="0.3"/>
    <row r="96" spans="1:11" ht="24" thickBot="1" x14ac:dyDescent="0.3">
      <c r="A96" s="425" t="s">
        <v>80</v>
      </c>
      <c r="B96" s="460">
        <v>45136</v>
      </c>
      <c r="C96" s="461"/>
      <c r="G96" s="425" t="s">
        <v>85</v>
      </c>
      <c r="H96" s="460">
        <v>45134</v>
      </c>
      <c r="I96" s="461"/>
    </row>
    <row r="97" spans="1:10" ht="21" thickBot="1" x14ac:dyDescent="0.3">
      <c r="A97" s="53" t="s">
        <v>137</v>
      </c>
      <c r="B97" s="53" t="s">
        <v>3</v>
      </c>
      <c r="C97" s="53" t="s">
        <v>138</v>
      </c>
      <c r="G97" s="53" t="s">
        <v>137</v>
      </c>
      <c r="H97" s="53" t="s">
        <v>3</v>
      </c>
      <c r="I97" s="53" t="s">
        <v>138</v>
      </c>
    </row>
    <row r="98" spans="1:10" ht="18" x14ac:dyDescent="0.25">
      <c r="A98" s="55">
        <f>5000+4350+500+345</f>
        <v>10195</v>
      </c>
      <c r="B98" s="77">
        <v>132</v>
      </c>
      <c r="C98" s="57" t="s">
        <v>300</v>
      </c>
      <c r="G98" s="55"/>
      <c r="H98" s="77"/>
      <c r="I98" s="57"/>
      <c r="J98">
        <f>1494/2</f>
        <v>747</v>
      </c>
    </row>
    <row r="99" spans="1:10" ht="18" x14ac:dyDescent="0.25">
      <c r="A99" s="60"/>
      <c r="B99" s="56">
        <v>100</v>
      </c>
      <c r="C99" s="57" t="s">
        <v>27</v>
      </c>
      <c r="G99" s="60"/>
      <c r="H99" s="56"/>
      <c r="I99" s="57"/>
      <c r="J99">
        <f>1691/2</f>
        <v>845.5</v>
      </c>
    </row>
    <row r="100" spans="1:10" ht="18" x14ac:dyDescent="0.25">
      <c r="A100" s="60"/>
      <c r="B100" s="77">
        <v>725</v>
      </c>
      <c r="C100" s="77" t="s">
        <v>1556</v>
      </c>
      <c r="G100" s="60"/>
      <c r="H100" s="77"/>
      <c r="I100" s="77"/>
      <c r="J100">
        <f>1497/2</f>
        <v>748.5</v>
      </c>
    </row>
    <row r="101" spans="1:10" ht="18" x14ac:dyDescent="0.25">
      <c r="A101" s="60"/>
      <c r="B101" s="56">
        <v>80</v>
      </c>
      <c r="C101" s="77" t="s">
        <v>61</v>
      </c>
      <c r="G101" s="60"/>
      <c r="H101" s="56"/>
      <c r="I101" s="77"/>
      <c r="J101">
        <f>1691/2</f>
        <v>845.5</v>
      </c>
    </row>
    <row r="102" spans="1:10" ht="18" x14ac:dyDescent="0.25">
      <c r="A102" s="60"/>
      <c r="B102" s="77">
        <v>595</v>
      </c>
      <c r="C102" s="56" t="s">
        <v>11</v>
      </c>
      <c r="G102" s="60"/>
      <c r="H102" s="77"/>
      <c r="I102" s="56"/>
      <c r="J102">
        <f>1497/2</f>
        <v>748.5</v>
      </c>
    </row>
    <row r="103" spans="1:10" ht="18" x14ac:dyDescent="0.25">
      <c r="A103" s="60"/>
      <c r="B103" s="77">
        <v>560</v>
      </c>
      <c r="C103" s="56" t="s">
        <v>474</v>
      </c>
      <c r="G103" s="60"/>
      <c r="H103" s="77"/>
      <c r="I103" s="56"/>
      <c r="J103">
        <f>1467/2</f>
        <v>733.5</v>
      </c>
    </row>
    <row r="104" spans="1:10" ht="18" x14ac:dyDescent="0.25">
      <c r="A104" s="60"/>
      <c r="B104" s="56"/>
      <c r="C104" s="56"/>
      <c r="G104" s="60"/>
      <c r="H104" s="56"/>
      <c r="I104" s="56"/>
      <c r="J104">
        <f>SUM(J98:J103)</f>
        <v>4668.5</v>
      </c>
    </row>
    <row r="105" spans="1:10" ht="18" x14ac:dyDescent="0.25">
      <c r="A105" s="60"/>
      <c r="B105" s="56"/>
      <c r="C105" s="56"/>
      <c r="G105" s="60"/>
      <c r="H105" s="56"/>
      <c r="I105" s="56"/>
      <c r="J105">
        <v>9508</v>
      </c>
    </row>
    <row r="106" spans="1:10" ht="18" x14ac:dyDescent="0.25">
      <c r="A106" s="60"/>
      <c r="B106" s="56"/>
      <c r="C106" s="56"/>
      <c r="G106" s="60"/>
      <c r="H106" s="56"/>
      <c r="I106" s="56"/>
      <c r="J106">
        <f>SUM(J104:J105)</f>
        <v>14176.5</v>
      </c>
    </row>
    <row r="107" spans="1:10" ht="18" x14ac:dyDescent="0.25">
      <c r="A107" s="60"/>
      <c r="B107" s="56"/>
      <c r="C107" s="56"/>
      <c r="G107" s="60"/>
      <c r="H107" s="56"/>
      <c r="I107" s="56"/>
    </row>
    <row r="108" spans="1:10" ht="18" x14ac:dyDescent="0.25">
      <c r="A108" s="60"/>
      <c r="B108" s="56"/>
      <c r="C108" s="56"/>
      <c r="G108" s="60"/>
      <c r="H108" s="56"/>
      <c r="I108" s="56"/>
    </row>
    <row r="109" spans="1:10" ht="18" x14ac:dyDescent="0.25">
      <c r="A109" s="60"/>
      <c r="B109" s="56"/>
      <c r="C109" s="56"/>
      <c r="G109" s="60"/>
      <c r="H109" s="56"/>
      <c r="I109" s="56"/>
    </row>
    <row r="110" spans="1:10" ht="18" x14ac:dyDescent="0.25">
      <c r="A110" s="60"/>
      <c r="B110" s="56"/>
      <c r="C110" s="56"/>
      <c r="G110" s="60"/>
      <c r="H110" s="56"/>
      <c r="I110" s="56"/>
    </row>
    <row r="111" spans="1:10" ht="18" x14ac:dyDescent="0.25">
      <c r="A111" s="60"/>
      <c r="B111" s="56"/>
      <c r="C111" s="56"/>
      <c r="G111" s="60"/>
      <c r="H111" s="56"/>
      <c r="I111" s="56"/>
    </row>
    <row r="112" spans="1:10" ht="18" x14ac:dyDescent="0.25">
      <c r="A112" s="60"/>
      <c r="B112" s="56"/>
      <c r="C112" s="56"/>
      <c r="G112" s="60"/>
      <c r="H112" s="56"/>
      <c r="I112" s="56"/>
    </row>
    <row r="113" spans="1:11" ht="18" x14ac:dyDescent="0.25">
      <c r="A113" s="60"/>
      <c r="B113" s="56"/>
      <c r="C113" s="56"/>
      <c r="G113" s="60"/>
      <c r="H113" s="56"/>
      <c r="I113" s="56"/>
    </row>
    <row r="114" spans="1:11" ht="18" x14ac:dyDescent="0.25">
      <c r="A114" s="60"/>
      <c r="B114" s="56"/>
      <c r="C114" s="56"/>
      <c r="G114" s="60"/>
      <c r="H114" s="56"/>
      <c r="I114" s="56"/>
    </row>
    <row r="115" spans="1:11" ht="18" x14ac:dyDescent="0.25">
      <c r="A115" s="60"/>
      <c r="B115" s="56"/>
      <c r="C115" s="56"/>
      <c r="G115" s="60"/>
      <c r="H115" s="56"/>
      <c r="I115" s="56"/>
    </row>
    <row r="116" spans="1:11" ht="18" x14ac:dyDescent="0.25">
      <c r="A116" s="60"/>
      <c r="B116" s="56"/>
      <c r="C116" s="56"/>
      <c r="G116" s="60"/>
      <c r="H116" s="56"/>
      <c r="I116" s="56"/>
    </row>
    <row r="117" spans="1:11" ht="18" x14ac:dyDescent="0.25">
      <c r="A117" s="60"/>
      <c r="B117" s="56"/>
      <c r="C117" s="56"/>
      <c r="G117" s="60"/>
      <c r="H117" s="56"/>
      <c r="I117" s="56"/>
    </row>
    <row r="118" spans="1:11" ht="18" x14ac:dyDescent="0.25">
      <c r="A118" s="60"/>
      <c r="B118" s="56"/>
      <c r="C118" s="56"/>
      <c r="G118" s="60"/>
      <c r="H118" s="56"/>
      <c r="I118" s="56"/>
    </row>
    <row r="119" spans="1:11" ht="18" x14ac:dyDescent="0.25">
      <c r="A119" s="60"/>
      <c r="B119" s="56"/>
      <c r="C119" s="56"/>
      <c r="G119" s="60"/>
      <c r="H119" s="56"/>
      <c r="I119" s="56"/>
    </row>
    <row r="120" spans="1:11" ht="18.75" thickBot="1" x14ac:dyDescent="0.3">
      <c r="A120" s="66"/>
      <c r="B120" s="56"/>
      <c r="C120" s="64"/>
      <c r="G120" s="66"/>
      <c r="H120" s="56"/>
      <c r="I120" s="64"/>
    </row>
    <row r="121" spans="1:11" ht="24" thickBot="1" x14ac:dyDescent="0.3">
      <c r="A121" s="68">
        <f>SUM(A98:A120)</f>
        <v>10195</v>
      </c>
      <c r="B121" s="69">
        <f>SUM(B98:B120)</f>
        <v>2192</v>
      </c>
      <c r="D121" s="314" t="str">
        <f>IF(E121&gt;0,"زيادة","عجز")</f>
        <v>زيادة</v>
      </c>
      <c r="E121" s="99">
        <f>E126-E122</f>
        <v>31</v>
      </c>
      <c r="G121" s="68">
        <f>SUM(G98:G120)</f>
        <v>0</v>
      </c>
      <c r="H121" s="69">
        <f>SUM(H98:H120)</f>
        <v>0</v>
      </c>
      <c r="J121" s="314" t="str">
        <f>IF(K122&gt;0,"زيادة","عجز")</f>
        <v>عجز</v>
      </c>
    </row>
    <row r="122" spans="1:11" ht="24" thickBot="1" x14ac:dyDescent="0.3">
      <c r="A122" s="462" t="s">
        <v>139</v>
      </c>
      <c r="B122" s="463"/>
      <c r="C122" s="71" t="s">
        <v>75</v>
      </c>
      <c r="D122" s="135" t="s">
        <v>94</v>
      </c>
      <c r="E122" s="99">
        <v>1454</v>
      </c>
      <c r="G122" s="462" t="s">
        <v>139</v>
      </c>
      <c r="H122" s="463"/>
      <c r="I122" s="71" t="s">
        <v>75</v>
      </c>
      <c r="J122" s="135" t="s">
        <v>94</v>
      </c>
      <c r="K122" s="99">
        <f>K127-K123</f>
        <v>0</v>
      </c>
    </row>
    <row r="123" spans="1:11" ht="24" thickBot="1" x14ac:dyDescent="0.3">
      <c r="A123" s="464">
        <f>B121+A121</f>
        <v>12387</v>
      </c>
      <c r="B123" s="465"/>
      <c r="C123" s="313">
        <f>128+76+20+449+76</f>
        <v>749</v>
      </c>
      <c r="D123" s="136" t="s">
        <v>65</v>
      </c>
      <c r="E123" s="85">
        <f>1400+85</f>
        <v>1485</v>
      </c>
      <c r="G123" s="464">
        <f>H121+G121</f>
        <v>0</v>
      </c>
      <c r="H123" s="465"/>
      <c r="I123" s="313"/>
      <c r="J123" s="136" t="s">
        <v>65</v>
      </c>
      <c r="K123" s="99"/>
    </row>
    <row r="124" spans="1:11" ht="24" thickBot="1" x14ac:dyDescent="0.3">
      <c r="A124" s="466" t="s">
        <v>99</v>
      </c>
      <c r="B124" s="467"/>
      <c r="C124" s="78">
        <f>A125-C125</f>
        <v>66</v>
      </c>
      <c r="D124" s="82"/>
      <c r="E124" s="83"/>
      <c r="G124" s="466" t="s">
        <v>99</v>
      </c>
      <c r="H124" s="467"/>
      <c r="I124" s="78">
        <f>G125-I125</f>
        <v>0</v>
      </c>
      <c r="J124" s="82"/>
      <c r="K124" s="85"/>
    </row>
    <row r="125" spans="1:11" ht="24" thickBot="1" x14ac:dyDescent="0.3">
      <c r="A125" s="468">
        <f>C123+A123</f>
        <v>13136</v>
      </c>
      <c r="B125" s="469"/>
      <c r="C125" s="121">
        <v>13070</v>
      </c>
      <c r="D125" s="82"/>
      <c r="E125" s="83"/>
      <c r="G125" s="468">
        <f>I123+G123</f>
        <v>0</v>
      </c>
      <c r="H125" s="469"/>
      <c r="I125" s="121"/>
      <c r="J125" s="82"/>
      <c r="K125" s="83"/>
    </row>
    <row r="126" spans="1:11" ht="24" thickBot="1" x14ac:dyDescent="0.3">
      <c r="C126" s="314" t="str">
        <f>IF(C124&gt;0,"زيادة","عجز")</f>
        <v>زيادة</v>
      </c>
      <c r="D126" s="82" t="s">
        <v>164</v>
      </c>
      <c r="E126" s="83">
        <f>SUM(E123:E125)</f>
        <v>1485</v>
      </c>
      <c r="I126" s="314" t="str">
        <f>IF(I124&gt;0,"زيادة","عجز")</f>
        <v>عجز</v>
      </c>
      <c r="J126" s="82" t="s">
        <v>164</v>
      </c>
      <c r="K126" s="83"/>
    </row>
    <row r="127" spans="1:11" ht="19.5" thickBot="1" x14ac:dyDescent="0.3">
      <c r="D127" s="318"/>
      <c r="J127" s="318"/>
      <c r="K127" s="83">
        <f>SUM(K124:K126)</f>
        <v>0</v>
      </c>
    </row>
    <row r="128" spans="1:11" x14ac:dyDescent="0.25">
      <c r="A128">
        <f>10+10+10+10+10</f>
        <v>50</v>
      </c>
    </row>
    <row r="137" spans="1:9" ht="15.75" thickBot="1" x14ac:dyDescent="0.3"/>
    <row r="138" spans="1:9" ht="24" thickBot="1" x14ac:dyDescent="0.3">
      <c r="A138" s="425" t="s">
        <v>1564</v>
      </c>
      <c r="B138" s="460">
        <v>45127</v>
      </c>
      <c r="C138" s="461"/>
      <c r="G138" s="425" t="s">
        <v>88</v>
      </c>
      <c r="H138" s="460">
        <v>45127</v>
      </c>
      <c r="I138" s="461"/>
    </row>
    <row r="139" spans="1:9" ht="21" thickBot="1" x14ac:dyDescent="0.3">
      <c r="A139" s="53" t="s">
        <v>137</v>
      </c>
      <c r="B139" s="53" t="s">
        <v>3</v>
      </c>
      <c r="C139" s="53" t="s">
        <v>138</v>
      </c>
      <c r="G139" s="53" t="s">
        <v>137</v>
      </c>
      <c r="H139" s="53" t="s">
        <v>3</v>
      </c>
      <c r="I139" s="53" t="s">
        <v>138</v>
      </c>
    </row>
    <row r="140" spans="1:9" ht="18" x14ac:dyDescent="0.25">
      <c r="A140" s="55">
        <v>100</v>
      </c>
      <c r="B140" s="77">
        <v>64</v>
      </c>
      <c r="C140" s="57" t="s">
        <v>127</v>
      </c>
      <c r="G140" s="55">
        <f>2000+600</f>
        <v>2600</v>
      </c>
      <c r="H140" s="77">
        <v>225</v>
      </c>
      <c r="I140" s="57" t="s">
        <v>255</v>
      </c>
    </row>
    <row r="141" spans="1:9" ht="18" x14ac:dyDescent="0.25">
      <c r="A141" s="60">
        <v>10</v>
      </c>
      <c r="B141" s="56">
        <v>131</v>
      </c>
      <c r="C141" s="57" t="s">
        <v>1567</v>
      </c>
      <c r="G141" s="60"/>
      <c r="H141" s="56">
        <v>205</v>
      </c>
      <c r="I141" s="57" t="s">
        <v>393</v>
      </c>
    </row>
    <row r="142" spans="1:9" ht="18" x14ac:dyDescent="0.25">
      <c r="A142" s="60"/>
      <c r="B142" s="77">
        <f>54+25</f>
        <v>79</v>
      </c>
      <c r="C142" s="57" t="s">
        <v>71</v>
      </c>
      <c r="G142" s="60"/>
      <c r="H142" s="77">
        <v>221</v>
      </c>
      <c r="I142" s="57" t="s">
        <v>1580</v>
      </c>
    </row>
    <row r="143" spans="1:9" ht="18" x14ac:dyDescent="0.25">
      <c r="A143" s="60"/>
      <c r="B143" s="56">
        <v>121</v>
      </c>
      <c r="C143" s="57" t="s">
        <v>1566</v>
      </c>
      <c r="G143" s="60"/>
      <c r="H143" s="56">
        <v>27</v>
      </c>
      <c r="I143" s="57" t="s">
        <v>315</v>
      </c>
    </row>
    <row r="144" spans="1:9" ht="18" x14ac:dyDescent="0.25">
      <c r="A144" s="60"/>
      <c r="B144" s="77">
        <v>53</v>
      </c>
      <c r="C144" s="57" t="s">
        <v>1565</v>
      </c>
      <c r="G144" s="60"/>
      <c r="H144" s="77">
        <v>70</v>
      </c>
      <c r="I144" s="57" t="s">
        <v>1574</v>
      </c>
    </row>
    <row r="145" spans="1:9" ht="18" x14ac:dyDescent="0.25">
      <c r="A145" s="60"/>
      <c r="B145" s="77">
        <v>500</v>
      </c>
      <c r="C145" s="57" t="s">
        <v>1568</v>
      </c>
      <c r="G145" s="60"/>
      <c r="H145" s="77">
        <v>45</v>
      </c>
      <c r="I145" s="57" t="s">
        <v>339</v>
      </c>
    </row>
    <row r="146" spans="1:9" ht="18" x14ac:dyDescent="0.25">
      <c r="A146" s="60"/>
      <c r="B146" s="56">
        <v>6000</v>
      </c>
      <c r="C146" s="57" t="s">
        <v>16</v>
      </c>
      <c r="G146" s="60"/>
      <c r="H146" s="56">
        <v>280</v>
      </c>
      <c r="I146" s="57" t="s">
        <v>744</v>
      </c>
    </row>
    <row r="147" spans="1:9" ht="18" x14ac:dyDescent="0.25">
      <c r="A147" s="60"/>
      <c r="B147" s="56"/>
      <c r="C147" s="56"/>
      <c r="G147" s="60"/>
      <c r="H147" s="56">
        <v>120</v>
      </c>
      <c r="I147" s="56" t="s">
        <v>39</v>
      </c>
    </row>
    <row r="148" spans="1:9" ht="18" x14ac:dyDescent="0.25">
      <c r="A148" s="60"/>
      <c r="B148" s="56"/>
      <c r="C148" s="56"/>
      <c r="G148" s="60"/>
      <c r="H148" s="56">
        <v>140</v>
      </c>
      <c r="I148" s="56" t="s">
        <v>1575</v>
      </c>
    </row>
    <row r="149" spans="1:9" ht="18" x14ac:dyDescent="0.25">
      <c r="A149" s="60"/>
      <c r="B149" s="56"/>
      <c r="C149" s="56"/>
      <c r="G149" s="60"/>
      <c r="H149" s="56">
        <v>5705</v>
      </c>
      <c r="I149" s="56" t="s">
        <v>1576</v>
      </c>
    </row>
    <row r="150" spans="1:9" ht="18" x14ac:dyDescent="0.25">
      <c r="A150" s="60"/>
      <c r="B150" s="56"/>
      <c r="C150" s="56"/>
      <c r="G150" s="60"/>
      <c r="H150" s="56">
        <v>310</v>
      </c>
      <c r="I150" s="56" t="s">
        <v>34</v>
      </c>
    </row>
    <row r="151" spans="1:9" ht="18" x14ac:dyDescent="0.25">
      <c r="A151" s="60"/>
      <c r="B151" s="56"/>
      <c r="C151" s="56"/>
      <c r="G151" s="60"/>
      <c r="H151" s="56">
        <v>675</v>
      </c>
      <c r="I151" s="56" t="s">
        <v>12</v>
      </c>
    </row>
    <row r="152" spans="1:9" ht="18" x14ac:dyDescent="0.25">
      <c r="A152" s="60"/>
      <c r="B152" s="56"/>
      <c r="C152" s="56"/>
      <c r="G152" s="60"/>
      <c r="H152" s="56">
        <v>4930</v>
      </c>
      <c r="I152" s="56" t="s">
        <v>1577</v>
      </c>
    </row>
    <row r="153" spans="1:9" ht="18" x14ac:dyDescent="0.25">
      <c r="A153" s="60"/>
      <c r="B153" s="56"/>
      <c r="C153" s="56"/>
      <c r="G153" s="60"/>
      <c r="H153" s="56">
        <v>320</v>
      </c>
      <c r="I153" s="56" t="s">
        <v>61</v>
      </c>
    </row>
    <row r="154" spans="1:9" ht="18" x14ac:dyDescent="0.25">
      <c r="A154" s="60"/>
      <c r="B154" s="56"/>
      <c r="C154" s="56"/>
      <c r="G154" s="60"/>
      <c r="H154" s="56">
        <v>1263</v>
      </c>
      <c r="I154" s="56" t="s">
        <v>1578</v>
      </c>
    </row>
    <row r="155" spans="1:9" ht="18" x14ac:dyDescent="0.25">
      <c r="A155" s="60"/>
      <c r="B155" s="56"/>
      <c r="C155" s="56"/>
      <c r="G155" s="60"/>
      <c r="H155" s="56">
        <v>50</v>
      </c>
      <c r="I155" s="56" t="s">
        <v>1579</v>
      </c>
    </row>
    <row r="156" spans="1:9" ht="18" x14ac:dyDescent="0.25">
      <c r="A156" s="60"/>
      <c r="B156" s="56"/>
      <c r="C156" s="56"/>
      <c r="G156" s="60"/>
      <c r="H156" s="56"/>
      <c r="I156" s="56"/>
    </row>
    <row r="157" spans="1:9" ht="18" x14ac:dyDescent="0.25">
      <c r="A157" s="60"/>
      <c r="B157" s="56"/>
      <c r="C157" s="56"/>
      <c r="G157" s="60"/>
      <c r="H157" s="56"/>
      <c r="I157" s="56"/>
    </row>
    <row r="158" spans="1:9" ht="18" x14ac:dyDescent="0.25">
      <c r="A158" s="60"/>
      <c r="B158" s="56"/>
      <c r="C158" s="56"/>
      <c r="G158" s="60"/>
      <c r="H158" s="56"/>
      <c r="I158" s="56"/>
    </row>
    <row r="159" spans="1:9" ht="18" x14ac:dyDescent="0.25">
      <c r="A159" s="60"/>
      <c r="B159" s="56"/>
      <c r="C159" s="56"/>
      <c r="G159" s="60"/>
      <c r="H159" s="56"/>
      <c r="I159" s="56"/>
    </row>
    <row r="160" spans="1:9" ht="18" x14ac:dyDescent="0.25">
      <c r="A160" s="60"/>
      <c r="B160" s="56"/>
      <c r="C160" s="56"/>
      <c r="G160" s="60"/>
      <c r="H160" s="56"/>
      <c r="I160" s="56"/>
    </row>
    <row r="161" spans="1:11" ht="18" x14ac:dyDescent="0.25">
      <c r="A161" s="60"/>
      <c r="B161" s="56"/>
      <c r="C161" s="56"/>
      <c r="G161" s="60"/>
      <c r="H161" s="56"/>
      <c r="I161" s="56"/>
    </row>
    <row r="162" spans="1:11" ht="18.75" thickBot="1" x14ac:dyDescent="0.3">
      <c r="A162" s="66"/>
      <c r="B162" s="56"/>
      <c r="C162" s="64"/>
      <c r="G162" s="66"/>
      <c r="H162" s="56"/>
      <c r="I162" s="64"/>
    </row>
    <row r="163" spans="1:11" ht="24" thickBot="1" x14ac:dyDescent="0.3">
      <c r="A163" s="68">
        <f>SUM(A140:A162)</f>
        <v>110</v>
      </c>
      <c r="B163" s="69">
        <f>SUM(B140:B162)</f>
        <v>6948</v>
      </c>
      <c r="D163" s="314" t="str">
        <f>IF(E163&gt;0,"زيادة","عجز")</f>
        <v>زيادة</v>
      </c>
      <c r="E163" s="99">
        <f>E168-E164</f>
        <v>7</v>
      </c>
      <c r="G163" s="68">
        <f>SUM(G140:G162)</f>
        <v>2600</v>
      </c>
      <c r="H163" s="69">
        <f>SUM(H140:H162)</f>
        <v>14586</v>
      </c>
      <c r="J163" s="314" t="str">
        <f>IF(K163&gt;0,"زيادة","عجز")</f>
        <v>زيادة</v>
      </c>
      <c r="K163" s="99">
        <f>K168-K164</f>
        <v>25</v>
      </c>
    </row>
    <row r="164" spans="1:11" ht="24" thickBot="1" x14ac:dyDescent="0.3">
      <c r="A164" s="462" t="s">
        <v>139</v>
      </c>
      <c r="B164" s="463"/>
      <c r="C164" s="71" t="s">
        <v>75</v>
      </c>
      <c r="D164" s="135" t="s">
        <v>94</v>
      </c>
      <c r="E164" s="99">
        <f>3998-2055</f>
        <v>1943</v>
      </c>
      <c r="G164" s="462" t="s">
        <v>139</v>
      </c>
      <c r="H164" s="463"/>
      <c r="I164" s="71" t="s">
        <v>75</v>
      </c>
      <c r="J164" s="135" t="s">
        <v>94</v>
      </c>
      <c r="K164" s="85">
        <f>3171-2573</f>
        <v>598</v>
      </c>
    </row>
    <row r="165" spans="1:11" ht="24" thickBot="1" x14ac:dyDescent="0.3">
      <c r="A165" s="464">
        <f>B163+A163</f>
        <v>7058</v>
      </c>
      <c r="B165" s="465"/>
      <c r="C165" s="313"/>
      <c r="D165" s="136" t="s">
        <v>65</v>
      </c>
      <c r="E165" s="85">
        <f>1950-200</f>
        <v>1750</v>
      </c>
      <c r="G165" s="464">
        <f>H163+G163</f>
        <v>17186</v>
      </c>
      <c r="H165" s="465"/>
      <c r="I165" s="313">
        <f>75+287+195+314</f>
        <v>871</v>
      </c>
      <c r="J165" s="136" t="s">
        <v>65</v>
      </c>
      <c r="K165" s="85">
        <v>623</v>
      </c>
    </row>
    <row r="166" spans="1:11" ht="24" thickBot="1" x14ac:dyDescent="0.3">
      <c r="A166" s="466" t="s">
        <v>99</v>
      </c>
      <c r="B166" s="467"/>
      <c r="C166" s="78">
        <f>A167-C167</f>
        <v>142</v>
      </c>
      <c r="D166" s="82" t="s">
        <v>54</v>
      </c>
      <c r="E166" s="83">
        <v>200</v>
      </c>
      <c r="G166" s="466" t="s">
        <v>99</v>
      </c>
      <c r="H166" s="467"/>
      <c r="I166" s="78">
        <f>G167-I167</f>
        <v>29</v>
      </c>
      <c r="J166" s="82"/>
      <c r="K166" s="83"/>
    </row>
    <row r="167" spans="1:11" ht="24" thickBot="1" x14ac:dyDescent="0.3">
      <c r="A167" s="468">
        <f>C165+A165</f>
        <v>7058</v>
      </c>
      <c r="B167" s="469"/>
      <c r="C167" s="121">
        <v>6916</v>
      </c>
      <c r="D167" s="82" t="s">
        <v>1588</v>
      </c>
      <c r="E167" s="83"/>
      <c r="G167" s="468">
        <f>I165+G165</f>
        <v>18057</v>
      </c>
      <c r="H167" s="469"/>
      <c r="I167" s="121">
        <v>18028</v>
      </c>
      <c r="J167" s="82"/>
      <c r="K167" s="83"/>
    </row>
    <row r="168" spans="1:11" ht="24" thickBot="1" x14ac:dyDescent="0.3">
      <c r="C168" s="314" t="str">
        <f>IF(C166&gt;0,"زيادة","عجز")</f>
        <v>زيادة</v>
      </c>
      <c r="D168" s="82" t="s">
        <v>164</v>
      </c>
      <c r="E168" s="83">
        <f>SUM(E165:E167)</f>
        <v>1950</v>
      </c>
      <c r="I168" s="314" t="str">
        <f>IF(I166&gt;0,"زيادة","عجز")</f>
        <v>زيادة</v>
      </c>
      <c r="J168" s="82" t="s">
        <v>164</v>
      </c>
      <c r="K168" s="83">
        <f>SUM(K165:K167)</f>
        <v>623</v>
      </c>
    </row>
    <row r="169" spans="1:11" ht="18.75" x14ac:dyDescent="0.25">
      <c r="D169" s="318"/>
    </row>
    <row r="170" spans="1:11" ht="15.75" thickBot="1" x14ac:dyDescent="0.3"/>
    <row r="171" spans="1:11" ht="24" thickBot="1" x14ac:dyDescent="0.3">
      <c r="A171" s="425" t="s">
        <v>363</v>
      </c>
      <c r="B171" s="460">
        <v>45136</v>
      </c>
      <c r="C171" s="461"/>
      <c r="G171" s="425" t="s">
        <v>266</v>
      </c>
      <c r="H171" s="460">
        <v>45136</v>
      </c>
      <c r="I171" s="461"/>
    </row>
    <row r="172" spans="1:11" ht="21" thickBot="1" x14ac:dyDescent="0.3">
      <c r="A172" s="53" t="s">
        <v>137</v>
      </c>
      <c r="B172" s="53" t="s">
        <v>3</v>
      </c>
      <c r="C172" s="53" t="s">
        <v>138</v>
      </c>
      <c r="G172" s="53" t="s">
        <v>137</v>
      </c>
      <c r="H172" s="53" t="s">
        <v>3</v>
      </c>
      <c r="I172" s="53" t="s">
        <v>138</v>
      </c>
    </row>
    <row r="173" spans="1:11" ht="18" x14ac:dyDescent="0.25">
      <c r="A173" s="55">
        <f>5000+1950+500+250-5</f>
        <v>7695</v>
      </c>
      <c r="B173" s="77">
        <v>5000</v>
      </c>
      <c r="C173" s="57" t="s">
        <v>16</v>
      </c>
      <c r="G173" s="55">
        <v>310</v>
      </c>
      <c r="H173" s="77">
        <v>6</v>
      </c>
      <c r="I173" s="57" t="s">
        <v>119</v>
      </c>
    </row>
    <row r="174" spans="1:11" ht="18" x14ac:dyDescent="0.25">
      <c r="A174" s="60"/>
      <c r="B174" s="56">
        <v>5000</v>
      </c>
      <c r="C174" s="57" t="s">
        <v>1581</v>
      </c>
      <c r="G174" s="60"/>
      <c r="H174" s="56">
        <v>5000</v>
      </c>
      <c r="I174" s="57" t="s">
        <v>1581</v>
      </c>
    </row>
    <row r="175" spans="1:11" ht="18" x14ac:dyDescent="0.25">
      <c r="A175" s="60"/>
      <c r="B175" s="77">
        <v>20</v>
      </c>
      <c r="C175" s="57" t="s">
        <v>52</v>
      </c>
      <c r="G175" s="60"/>
      <c r="H175" s="77">
        <v>2000</v>
      </c>
      <c r="I175" s="57" t="s">
        <v>1582</v>
      </c>
    </row>
    <row r="176" spans="1:11" ht="18" x14ac:dyDescent="0.25">
      <c r="A176" s="60"/>
      <c r="B176" s="56">
        <v>58</v>
      </c>
      <c r="C176" s="57" t="s">
        <v>27</v>
      </c>
      <c r="G176" s="60"/>
      <c r="H176" s="56"/>
      <c r="I176" s="57"/>
    </row>
    <row r="177" spans="1:9" ht="18" x14ac:dyDescent="0.25">
      <c r="A177" s="60"/>
      <c r="B177" s="77">
        <v>20</v>
      </c>
      <c r="C177" s="57" t="s">
        <v>97</v>
      </c>
      <c r="G177" s="60"/>
      <c r="H177" s="77"/>
      <c r="I177" s="57"/>
    </row>
    <row r="178" spans="1:9" ht="18" x14ac:dyDescent="0.25">
      <c r="A178" s="60"/>
      <c r="B178" s="77"/>
      <c r="C178" s="57"/>
      <c r="G178" s="60"/>
      <c r="H178" s="77"/>
      <c r="I178" s="57"/>
    </row>
    <row r="179" spans="1:9" ht="18" x14ac:dyDescent="0.25">
      <c r="A179" s="60"/>
      <c r="B179" s="56"/>
      <c r="C179" s="57"/>
      <c r="G179" s="60"/>
      <c r="H179" s="56"/>
      <c r="I179" s="57"/>
    </row>
    <row r="180" spans="1:9" ht="18" x14ac:dyDescent="0.25">
      <c r="A180" s="60"/>
      <c r="B180" s="56"/>
      <c r="C180" s="56"/>
      <c r="G180" s="60"/>
      <c r="H180" s="56"/>
      <c r="I180" s="56"/>
    </row>
    <row r="181" spans="1:9" ht="18" x14ac:dyDescent="0.25">
      <c r="A181" s="60"/>
      <c r="B181" s="56"/>
      <c r="C181" s="57"/>
      <c r="G181" s="60"/>
      <c r="H181" s="56"/>
      <c r="I181" s="57"/>
    </row>
    <row r="182" spans="1:9" ht="18" x14ac:dyDescent="0.25">
      <c r="A182" s="60"/>
      <c r="B182" s="56"/>
      <c r="C182" s="57"/>
      <c r="G182" s="60"/>
      <c r="H182" s="56"/>
      <c r="I182" s="57"/>
    </row>
    <row r="183" spans="1:9" ht="18" x14ac:dyDescent="0.25">
      <c r="A183" s="60"/>
      <c r="B183" s="56"/>
      <c r="C183" s="57"/>
      <c r="G183" s="60"/>
      <c r="H183" s="56"/>
      <c r="I183" s="57"/>
    </row>
    <row r="184" spans="1:9" ht="18" x14ac:dyDescent="0.25">
      <c r="A184" s="60"/>
      <c r="B184" s="56"/>
      <c r="C184" s="57"/>
      <c r="G184" s="60"/>
      <c r="H184" s="56"/>
      <c r="I184" s="57"/>
    </row>
    <row r="185" spans="1:9" ht="18" x14ac:dyDescent="0.25">
      <c r="A185" s="60"/>
      <c r="B185" s="56"/>
      <c r="C185" s="57"/>
      <c r="G185" s="60"/>
      <c r="H185" s="56"/>
      <c r="I185" s="57"/>
    </row>
    <row r="186" spans="1:9" ht="18" x14ac:dyDescent="0.25">
      <c r="A186" s="60"/>
      <c r="B186" s="56"/>
      <c r="C186" s="57"/>
      <c r="F186" t="s">
        <v>1414</v>
      </c>
      <c r="G186" s="60"/>
      <c r="H186" s="56"/>
      <c r="I186" s="57"/>
    </row>
    <row r="187" spans="1:9" ht="18" x14ac:dyDescent="0.25">
      <c r="A187" s="60"/>
      <c r="B187" s="56"/>
      <c r="C187" s="57"/>
      <c r="G187" s="60"/>
      <c r="H187" s="56"/>
      <c r="I187" s="57"/>
    </row>
    <row r="188" spans="1:9" ht="18" x14ac:dyDescent="0.25">
      <c r="A188" s="60"/>
      <c r="B188" s="56"/>
      <c r="C188" s="57"/>
      <c r="G188" s="60"/>
      <c r="H188" s="56"/>
      <c r="I188" s="57"/>
    </row>
    <row r="189" spans="1:9" ht="18" x14ac:dyDescent="0.25">
      <c r="A189" s="60"/>
      <c r="B189" s="56"/>
      <c r="C189" s="57"/>
      <c r="G189" s="60"/>
      <c r="H189" s="56"/>
      <c r="I189" s="57"/>
    </row>
    <row r="190" spans="1:9" ht="18" x14ac:dyDescent="0.25">
      <c r="A190" s="60"/>
      <c r="B190" s="56"/>
      <c r="C190" s="57"/>
      <c r="G190" s="60"/>
      <c r="H190" s="56"/>
      <c r="I190" s="57"/>
    </row>
    <row r="191" spans="1:9" ht="18" x14ac:dyDescent="0.25">
      <c r="A191" s="60"/>
      <c r="B191" s="56"/>
      <c r="C191" s="57"/>
      <c r="G191" s="60"/>
      <c r="H191" s="56"/>
      <c r="I191" s="57"/>
    </row>
    <row r="192" spans="1:9" ht="18" x14ac:dyDescent="0.25">
      <c r="A192" s="60"/>
      <c r="B192" s="56"/>
      <c r="C192" s="57"/>
      <c r="G192" s="60"/>
      <c r="H192" s="56"/>
      <c r="I192" s="57"/>
    </row>
    <row r="193" spans="1:11" ht="18" x14ac:dyDescent="0.25">
      <c r="A193" s="60"/>
      <c r="B193" s="56"/>
      <c r="C193" s="56"/>
      <c r="G193" s="60"/>
      <c r="H193" s="56"/>
      <c r="I193" s="56"/>
    </row>
    <row r="194" spans="1:11" ht="18" x14ac:dyDescent="0.25">
      <c r="A194" s="60"/>
      <c r="B194" s="56"/>
      <c r="C194" s="56"/>
      <c r="G194" s="60"/>
      <c r="H194" s="56"/>
      <c r="I194" s="56"/>
    </row>
    <row r="195" spans="1:11" ht="18.75" thickBot="1" x14ac:dyDescent="0.3">
      <c r="A195" s="66"/>
      <c r="B195" s="56"/>
      <c r="C195" s="64"/>
      <c r="G195" s="66"/>
      <c r="H195" s="56"/>
      <c r="I195" s="64"/>
    </row>
    <row r="196" spans="1:11" ht="24" thickBot="1" x14ac:dyDescent="0.3">
      <c r="A196" s="68">
        <f>SUM(A173:A195)</f>
        <v>7695</v>
      </c>
      <c r="B196" s="69">
        <f>SUM(B173:B195)</f>
        <v>10098</v>
      </c>
      <c r="D196" s="314" t="str">
        <f>IF(E196&gt;0,"زيادة","عجز")</f>
        <v>عجز</v>
      </c>
      <c r="E196" s="99">
        <f>E201-E197</f>
        <v>0</v>
      </c>
      <c r="G196" s="68">
        <f>SUM(G173:G195)</f>
        <v>310</v>
      </c>
      <c r="H196" s="69">
        <f>SUM(H173:H195)</f>
        <v>7006</v>
      </c>
      <c r="J196" s="314" t="str">
        <f>IF(K196&gt;0,"زيادة","عجز")</f>
        <v>عجز</v>
      </c>
      <c r="K196" s="99">
        <f>K201-K197</f>
        <v>0</v>
      </c>
    </row>
    <row r="197" spans="1:11" ht="24" thickBot="1" x14ac:dyDescent="0.3">
      <c r="A197" s="462" t="s">
        <v>139</v>
      </c>
      <c r="B197" s="463"/>
      <c r="C197" s="71" t="s">
        <v>75</v>
      </c>
      <c r="D197" s="135" t="s">
        <v>94</v>
      </c>
      <c r="E197" s="99"/>
      <c r="G197" s="462" t="s">
        <v>139</v>
      </c>
      <c r="H197" s="463"/>
      <c r="I197" s="71" t="s">
        <v>75</v>
      </c>
      <c r="J197" s="135" t="s">
        <v>94</v>
      </c>
      <c r="K197" s="99"/>
    </row>
    <row r="198" spans="1:11" ht="24" thickBot="1" x14ac:dyDescent="0.3">
      <c r="A198" s="464">
        <f>B196+A196</f>
        <v>17793</v>
      </c>
      <c r="B198" s="465"/>
      <c r="C198" s="313">
        <f>237+46+39</f>
        <v>322</v>
      </c>
      <c r="D198" s="136" t="s">
        <v>65</v>
      </c>
      <c r="E198" s="85"/>
      <c r="G198" s="464">
        <f>H196+G196</f>
        <v>7316</v>
      </c>
      <c r="H198" s="465"/>
      <c r="I198" s="313"/>
      <c r="J198" s="136" t="s">
        <v>65</v>
      </c>
      <c r="K198" s="85"/>
    </row>
    <row r="199" spans="1:11" ht="24" thickBot="1" x14ac:dyDescent="0.3">
      <c r="A199" s="466" t="s">
        <v>99</v>
      </c>
      <c r="B199" s="467"/>
      <c r="C199" s="78">
        <f>A200-C200</f>
        <v>100</v>
      </c>
      <c r="D199" s="82"/>
      <c r="E199" s="83"/>
      <c r="G199" s="466" t="s">
        <v>99</v>
      </c>
      <c r="H199" s="467"/>
      <c r="I199" s="78">
        <f>G200-I200</f>
        <v>27</v>
      </c>
      <c r="J199" s="82" t="s">
        <v>450</v>
      </c>
      <c r="K199" s="83"/>
    </row>
    <row r="200" spans="1:11" ht="24" thickBot="1" x14ac:dyDescent="0.3">
      <c r="A200" s="468">
        <f>C198+A198</f>
        <v>18115</v>
      </c>
      <c r="B200" s="469"/>
      <c r="C200" s="121">
        <v>18015</v>
      </c>
      <c r="D200" s="82"/>
      <c r="E200" s="83"/>
      <c r="G200" s="468">
        <f>I198+G198</f>
        <v>7316</v>
      </c>
      <c r="H200" s="469"/>
      <c r="I200" s="121">
        <v>7289</v>
      </c>
      <c r="J200" s="82"/>
      <c r="K200" s="83"/>
    </row>
    <row r="201" spans="1:11" ht="24" thickBot="1" x14ac:dyDescent="0.3">
      <c r="C201" s="314" t="str">
        <f>IF(C199&gt;0,"زيادة","عجز")</f>
        <v>زيادة</v>
      </c>
      <c r="D201" s="82" t="s">
        <v>164</v>
      </c>
      <c r="E201" s="83">
        <f>SUM(E198:E200)</f>
        <v>0</v>
      </c>
      <c r="I201" s="314" t="str">
        <f>IF(I199&gt;0,"زيادة","عجز")</f>
        <v>زيادة</v>
      </c>
      <c r="J201" s="82" t="s">
        <v>164</v>
      </c>
      <c r="K201" s="83">
        <f>SUM(K198:K200)</f>
        <v>0</v>
      </c>
    </row>
    <row r="203" spans="1:11" ht="15.75" thickBot="1" x14ac:dyDescent="0.3"/>
    <row r="204" spans="1:11" ht="24" thickBot="1" x14ac:dyDescent="0.3">
      <c r="A204" s="425" t="s">
        <v>15</v>
      </c>
      <c r="B204" s="460">
        <v>45136</v>
      </c>
      <c r="C204" s="461"/>
      <c r="G204" s="425" t="s">
        <v>1162</v>
      </c>
      <c r="H204" s="460">
        <v>45136</v>
      </c>
      <c r="I204" s="461"/>
    </row>
    <row r="205" spans="1:11" ht="21" thickBot="1" x14ac:dyDescent="0.3">
      <c r="A205" s="53" t="s">
        <v>137</v>
      </c>
      <c r="B205" s="53" t="s">
        <v>3</v>
      </c>
      <c r="C205" s="53" t="s">
        <v>138</v>
      </c>
      <c r="G205" s="53" t="s">
        <v>137</v>
      </c>
      <c r="H205" s="53" t="s">
        <v>3</v>
      </c>
      <c r="I205" s="53" t="s">
        <v>138</v>
      </c>
    </row>
    <row r="206" spans="1:11" ht="18" x14ac:dyDescent="0.25">
      <c r="A206" s="55">
        <f>5000+1000+3150+110</f>
        <v>9260</v>
      </c>
      <c r="B206" s="77">
        <v>15</v>
      </c>
      <c r="C206" s="57" t="s">
        <v>29</v>
      </c>
      <c r="G206" s="55">
        <f>5000+3650+500+75</f>
        <v>9225</v>
      </c>
      <c r="H206" s="77">
        <v>135</v>
      </c>
      <c r="I206" s="57" t="s">
        <v>1450</v>
      </c>
    </row>
    <row r="207" spans="1:11" ht="18" x14ac:dyDescent="0.25">
      <c r="A207" s="60"/>
      <c r="B207" s="56">
        <v>15</v>
      </c>
      <c r="C207" s="57" t="s">
        <v>555</v>
      </c>
      <c r="G207" s="60"/>
      <c r="H207" s="56">
        <v>205</v>
      </c>
      <c r="I207" s="57" t="s">
        <v>708</v>
      </c>
    </row>
    <row r="208" spans="1:11" ht="18" x14ac:dyDescent="0.25">
      <c r="A208" s="60"/>
      <c r="B208" s="77">
        <v>27</v>
      </c>
      <c r="C208" s="57" t="s">
        <v>315</v>
      </c>
      <c r="G208" s="60"/>
      <c r="H208" s="77">
        <v>90</v>
      </c>
      <c r="I208" s="57" t="s">
        <v>223</v>
      </c>
    </row>
    <row r="209" spans="1:9" ht="18" x14ac:dyDescent="0.25">
      <c r="A209" s="60"/>
      <c r="B209" s="56">
        <v>100</v>
      </c>
      <c r="C209" s="57" t="s">
        <v>1419</v>
      </c>
      <c r="G209" s="60"/>
      <c r="H209" s="56">
        <v>85</v>
      </c>
      <c r="I209" s="57" t="s">
        <v>1219</v>
      </c>
    </row>
    <row r="210" spans="1:9" ht="18" x14ac:dyDescent="0.25">
      <c r="A210" s="60"/>
      <c r="B210" s="77">
        <v>180</v>
      </c>
      <c r="C210" s="57" t="s">
        <v>715</v>
      </c>
      <c r="G210" s="60"/>
      <c r="H210" s="77"/>
      <c r="I210" s="57"/>
    </row>
    <row r="211" spans="1:9" ht="18" x14ac:dyDescent="0.25">
      <c r="A211" s="60"/>
      <c r="B211" s="77">
        <v>625</v>
      </c>
      <c r="C211" s="57" t="s">
        <v>313</v>
      </c>
      <c r="G211" s="60"/>
      <c r="H211" s="77"/>
      <c r="I211" s="57"/>
    </row>
    <row r="212" spans="1:9" ht="18" x14ac:dyDescent="0.25">
      <c r="A212" s="60"/>
      <c r="B212" s="56">
        <v>1155</v>
      </c>
      <c r="C212" s="57" t="s">
        <v>331</v>
      </c>
      <c r="G212" s="60"/>
      <c r="H212" s="56"/>
      <c r="I212" s="57"/>
    </row>
    <row r="213" spans="1:9" ht="18" x14ac:dyDescent="0.25">
      <c r="A213" s="60"/>
      <c r="B213" s="56">
        <v>120</v>
      </c>
      <c r="C213" s="56" t="s">
        <v>1585</v>
      </c>
      <c r="G213" s="60"/>
      <c r="H213" s="56"/>
      <c r="I213" s="56"/>
    </row>
    <row r="214" spans="1:9" ht="18" x14ac:dyDescent="0.25">
      <c r="A214" s="60"/>
      <c r="B214" s="56">
        <v>2075</v>
      </c>
      <c r="C214" s="57" t="s">
        <v>1421</v>
      </c>
      <c r="G214" s="60"/>
      <c r="H214" s="56"/>
      <c r="I214" s="57"/>
    </row>
    <row r="215" spans="1:9" ht="18" x14ac:dyDescent="0.25">
      <c r="A215" s="60"/>
      <c r="B215" s="56">
        <v>208</v>
      </c>
      <c r="C215" s="57" t="s">
        <v>1586</v>
      </c>
      <c r="G215" s="60"/>
      <c r="H215" s="56"/>
      <c r="I215" s="57"/>
    </row>
    <row r="216" spans="1:9" ht="18" x14ac:dyDescent="0.25">
      <c r="A216" s="60"/>
      <c r="B216" s="56">
        <v>160</v>
      </c>
      <c r="C216" s="57" t="s">
        <v>498</v>
      </c>
      <c r="G216" s="60"/>
      <c r="H216" s="56"/>
      <c r="I216" s="57"/>
    </row>
    <row r="217" spans="1:9" ht="18" x14ac:dyDescent="0.25">
      <c r="A217" s="60"/>
      <c r="B217" s="56">
        <v>215</v>
      </c>
      <c r="C217" s="57" t="s">
        <v>1319</v>
      </c>
      <c r="G217" s="60"/>
      <c r="H217" s="56"/>
      <c r="I217" s="57"/>
    </row>
    <row r="218" spans="1:9" ht="18" x14ac:dyDescent="0.25">
      <c r="A218" s="60"/>
      <c r="B218" s="56">
        <v>4000</v>
      </c>
      <c r="C218" s="57" t="s">
        <v>1584</v>
      </c>
      <c r="G218" s="60"/>
      <c r="H218" s="56"/>
      <c r="I218" s="57"/>
    </row>
    <row r="219" spans="1:9" ht="18" x14ac:dyDescent="0.25">
      <c r="A219" s="60"/>
      <c r="B219" s="56"/>
      <c r="C219" s="57"/>
      <c r="G219" s="60"/>
      <c r="H219" s="56"/>
      <c r="I219" s="57"/>
    </row>
    <row r="220" spans="1:9" ht="18" x14ac:dyDescent="0.25">
      <c r="A220" s="60"/>
      <c r="B220" s="56"/>
      <c r="C220" s="57"/>
      <c r="G220" s="60"/>
      <c r="H220" s="56"/>
      <c r="I220" s="57"/>
    </row>
    <row r="221" spans="1:9" ht="18" x14ac:dyDescent="0.25">
      <c r="A221" s="60"/>
      <c r="B221" s="56"/>
      <c r="C221" s="57"/>
      <c r="G221" s="60"/>
      <c r="H221" s="56"/>
      <c r="I221" s="57"/>
    </row>
    <row r="222" spans="1:9" ht="18" x14ac:dyDescent="0.25">
      <c r="A222" s="60"/>
      <c r="B222" s="56"/>
      <c r="C222" s="57"/>
      <c r="G222" s="60"/>
      <c r="H222" s="56"/>
      <c r="I222" s="57"/>
    </row>
    <row r="223" spans="1:9" ht="18" x14ac:dyDescent="0.25">
      <c r="A223" s="60"/>
      <c r="B223" s="56"/>
      <c r="C223" s="57"/>
      <c r="G223" s="60"/>
      <c r="H223" s="56"/>
      <c r="I223" s="57"/>
    </row>
    <row r="224" spans="1:9" ht="18" x14ac:dyDescent="0.25">
      <c r="A224" s="60"/>
      <c r="B224" s="56"/>
      <c r="C224" s="57"/>
      <c r="G224" s="60"/>
      <c r="H224" s="56"/>
      <c r="I224" s="57"/>
    </row>
    <row r="225" spans="1:11" ht="18" x14ac:dyDescent="0.25">
      <c r="A225" s="60"/>
      <c r="B225" s="56"/>
      <c r="C225" s="57"/>
      <c r="G225" s="60"/>
      <c r="H225" s="56"/>
      <c r="I225" s="57"/>
    </row>
    <row r="226" spans="1:11" ht="18" x14ac:dyDescent="0.25">
      <c r="A226" s="60"/>
      <c r="B226" s="56"/>
      <c r="C226" s="56"/>
      <c r="G226" s="60"/>
      <c r="H226" s="56"/>
      <c r="I226" s="56"/>
    </row>
    <row r="227" spans="1:11" ht="18" x14ac:dyDescent="0.25">
      <c r="A227" s="60"/>
      <c r="B227" s="56"/>
      <c r="C227" s="56"/>
      <c r="G227" s="60"/>
      <c r="H227" s="56"/>
      <c r="I227" s="56"/>
    </row>
    <row r="228" spans="1:11" ht="18.75" thickBot="1" x14ac:dyDescent="0.3">
      <c r="A228" s="66"/>
      <c r="B228" s="56"/>
      <c r="C228" s="64"/>
      <c r="G228" s="66"/>
      <c r="H228" s="56"/>
      <c r="I228" s="64"/>
    </row>
    <row r="229" spans="1:11" ht="24" thickBot="1" x14ac:dyDescent="0.3">
      <c r="A229" s="68">
        <f>SUM(A206:A228)</f>
        <v>9260</v>
      </c>
      <c r="B229" s="69">
        <f>SUM(B206:B228)</f>
        <v>8895</v>
      </c>
      <c r="D229" s="314" t="str">
        <f>IF(E229&gt;0,"زيادة","عجز")</f>
        <v>زيادة</v>
      </c>
      <c r="E229" s="99">
        <f>E234-E230</f>
        <v>24</v>
      </c>
      <c r="G229" s="68">
        <f>SUM(G206:G228)</f>
        <v>9225</v>
      </c>
      <c r="H229" s="69">
        <f>SUM(H206:H228)</f>
        <v>515</v>
      </c>
      <c r="J229" s="314" t="str">
        <f>IF(K229&gt;0,"زيادة","عجز")</f>
        <v>عجز</v>
      </c>
      <c r="K229" s="99">
        <f>K234-K230</f>
        <v>0</v>
      </c>
    </row>
    <row r="230" spans="1:11" ht="24" thickBot="1" x14ac:dyDescent="0.3">
      <c r="A230" s="462" t="s">
        <v>139</v>
      </c>
      <c r="B230" s="463"/>
      <c r="C230" s="71" t="s">
        <v>75</v>
      </c>
      <c r="D230" s="135" t="s">
        <v>94</v>
      </c>
      <c r="E230" s="99">
        <f>2573-1274</f>
        <v>1299</v>
      </c>
      <c r="G230" s="462" t="s">
        <v>139</v>
      </c>
      <c r="H230" s="463"/>
      <c r="I230" s="71" t="s">
        <v>75</v>
      </c>
      <c r="J230" s="135" t="s">
        <v>94</v>
      </c>
      <c r="K230" s="99"/>
    </row>
    <row r="231" spans="1:11" ht="24" thickBot="1" x14ac:dyDescent="0.3">
      <c r="A231" s="464">
        <f>B229+A229</f>
        <v>18155</v>
      </c>
      <c r="B231" s="465"/>
      <c r="C231" s="313">
        <f>115+105+140</f>
        <v>360</v>
      </c>
      <c r="D231" s="136" t="s">
        <v>65</v>
      </c>
      <c r="E231" s="85">
        <f>1180</f>
        <v>1180</v>
      </c>
      <c r="G231" s="464">
        <f>H229+G229</f>
        <v>9740</v>
      </c>
      <c r="H231" s="465"/>
      <c r="I231" s="313">
        <v>62</v>
      </c>
      <c r="J231" s="136" t="s">
        <v>65</v>
      </c>
      <c r="K231" s="85"/>
    </row>
    <row r="232" spans="1:11" ht="24" thickBot="1" x14ac:dyDescent="0.3">
      <c r="A232" s="466" t="s">
        <v>99</v>
      </c>
      <c r="B232" s="467"/>
      <c r="C232" s="78">
        <f>A233-C233</f>
        <v>-1</v>
      </c>
      <c r="D232" s="82" t="s">
        <v>450</v>
      </c>
      <c r="E232" s="83">
        <v>143</v>
      </c>
      <c r="G232" s="466" t="s">
        <v>99</v>
      </c>
      <c r="H232" s="467"/>
      <c r="I232" s="78">
        <f>G233-I233</f>
        <v>-8</v>
      </c>
      <c r="J232" s="82"/>
      <c r="K232" s="83"/>
    </row>
    <row r="233" spans="1:11" ht="24" thickBot="1" x14ac:dyDescent="0.3">
      <c r="A233" s="468">
        <f>C231+A231</f>
        <v>18515</v>
      </c>
      <c r="B233" s="469"/>
      <c r="C233" s="121">
        <v>18516</v>
      </c>
      <c r="D233" s="82"/>
      <c r="E233" s="83"/>
      <c r="G233" s="468">
        <f>I231+G231</f>
        <v>9802</v>
      </c>
      <c r="H233" s="469"/>
      <c r="I233" s="121">
        <f>9427+383</f>
        <v>9810</v>
      </c>
      <c r="J233" s="82"/>
      <c r="K233" s="83"/>
    </row>
    <row r="234" spans="1:11" ht="24" thickBot="1" x14ac:dyDescent="0.3">
      <c r="C234" s="314" t="str">
        <f>IF(C232&gt;0,"زيادة","عجز")</f>
        <v>عجز</v>
      </c>
      <c r="D234" s="82" t="s">
        <v>164</v>
      </c>
      <c r="E234" s="83">
        <f>SUM(E231:E233)</f>
        <v>1323</v>
      </c>
      <c r="I234" s="314" t="str">
        <f>IF(I232&gt;0,"زيادة","عجز")</f>
        <v>عجز</v>
      </c>
      <c r="J234" s="82" t="s">
        <v>164</v>
      </c>
      <c r="K234" s="83">
        <f>SUM(K231:K233)</f>
        <v>0</v>
      </c>
    </row>
  </sheetData>
  <mergeCells count="66">
    <mergeCell ref="B2:C2"/>
    <mergeCell ref="H2:I2"/>
    <mergeCell ref="A26:B26"/>
    <mergeCell ref="G26:H26"/>
    <mergeCell ref="A27:B27"/>
    <mergeCell ref="G27:H27"/>
    <mergeCell ref="A28:B28"/>
    <mergeCell ref="G28:H28"/>
    <mergeCell ref="A29:B29"/>
    <mergeCell ref="G29:H29"/>
    <mergeCell ref="B34:C34"/>
    <mergeCell ref="H34:I34"/>
    <mergeCell ref="A92:B92"/>
    <mergeCell ref="G92:H92"/>
    <mergeCell ref="D51:E51"/>
    <mergeCell ref="G57:H57"/>
    <mergeCell ref="G58:H58"/>
    <mergeCell ref="G59:H59"/>
    <mergeCell ref="G60:H60"/>
    <mergeCell ref="B63:C63"/>
    <mergeCell ref="H63:I63"/>
    <mergeCell ref="J87:K87"/>
    <mergeCell ref="G89:H89"/>
    <mergeCell ref="G90:H90"/>
    <mergeCell ref="A91:B91"/>
    <mergeCell ref="G91:H91"/>
    <mergeCell ref="B96:C96"/>
    <mergeCell ref="H96:I96"/>
    <mergeCell ref="A122:B122"/>
    <mergeCell ref="G122:H122"/>
    <mergeCell ref="A123:B123"/>
    <mergeCell ref="G123:H123"/>
    <mergeCell ref="A165:B165"/>
    <mergeCell ref="A166:B166"/>
    <mergeCell ref="A167:B167"/>
    <mergeCell ref="A124:B124"/>
    <mergeCell ref="G124:H124"/>
    <mergeCell ref="A125:B125"/>
    <mergeCell ref="G125:H125"/>
    <mergeCell ref="B138:C138"/>
    <mergeCell ref="A164:B164"/>
    <mergeCell ref="H138:I138"/>
    <mergeCell ref="G164:H164"/>
    <mergeCell ref="G165:H165"/>
    <mergeCell ref="G166:H166"/>
    <mergeCell ref="G167:H167"/>
    <mergeCell ref="B171:C171"/>
    <mergeCell ref="A197:B197"/>
    <mergeCell ref="A198:B198"/>
    <mergeCell ref="A199:B199"/>
    <mergeCell ref="A200:B200"/>
    <mergeCell ref="H171:I171"/>
    <mergeCell ref="G197:H197"/>
    <mergeCell ref="G198:H198"/>
    <mergeCell ref="G199:H199"/>
    <mergeCell ref="G200:H200"/>
    <mergeCell ref="B204:C204"/>
    <mergeCell ref="A230:B230"/>
    <mergeCell ref="A231:B231"/>
    <mergeCell ref="A232:B232"/>
    <mergeCell ref="A233:B233"/>
    <mergeCell ref="H204:I204"/>
    <mergeCell ref="G230:H230"/>
    <mergeCell ref="G231:H231"/>
    <mergeCell ref="G232:H232"/>
    <mergeCell ref="G233:H233"/>
  </mergeCells>
  <conditionalFormatting sqref="C93">
    <cfRule type="expression" dxfId="511" priority="25">
      <formula>#REF!="عجز"</formula>
    </cfRule>
    <cfRule type="expression" dxfId="510" priority="26">
      <formula>#REF!="زيادة"</formula>
    </cfRule>
  </conditionalFormatting>
  <conditionalFormatting sqref="C126">
    <cfRule type="expression" dxfId="509" priority="41">
      <formula>#REF!="عجز"</formula>
    </cfRule>
    <cfRule type="expression" dxfId="508" priority="42">
      <formula>#REF!="زيادة"</formula>
    </cfRule>
  </conditionalFormatting>
  <conditionalFormatting sqref="C168">
    <cfRule type="expression" dxfId="507" priority="33">
      <formula>#REF!="عجز"</formula>
    </cfRule>
    <cfRule type="expression" dxfId="506" priority="34">
      <formula>#REF!="زيادة"</formula>
    </cfRule>
  </conditionalFormatting>
  <conditionalFormatting sqref="C201">
    <cfRule type="expression" dxfId="505" priority="19">
      <formula>#REF!="عجز"</formula>
    </cfRule>
    <cfRule type="expression" dxfId="504" priority="20">
      <formula>#REF!="زيادة"</formula>
    </cfRule>
  </conditionalFormatting>
  <conditionalFormatting sqref="C234">
    <cfRule type="expression" dxfId="503" priority="9">
      <formula>#REF!="عجز"</formula>
    </cfRule>
    <cfRule type="expression" dxfId="502" priority="10">
      <formula>#REF!="زيادة"</formula>
    </cfRule>
  </conditionalFormatting>
  <conditionalFormatting sqref="D24 J25 C30 I30 J56 C58 I61:I62">
    <cfRule type="expression" dxfId="501" priority="47">
      <formula>#REF!="عجز"</formula>
    </cfRule>
    <cfRule type="expression" dxfId="500" priority="48">
      <formula>#REF!="زيادة"</formula>
    </cfRule>
  </conditionalFormatting>
  <conditionalFormatting sqref="D52">
    <cfRule type="expression" dxfId="499" priority="43">
      <formula>#REF!="عجز"</formula>
    </cfRule>
    <cfRule type="expression" dxfId="498" priority="44">
      <formula>#REF!="زيادة"</formula>
    </cfRule>
  </conditionalFormatting>
  <conditionalFormatting sqref="D88">
    <cfRule type="expression" dxfId="497" priority="27">
      <formula>#REF!="عجز"</formula>
    </cfRule>
    <cfRule type="expression" dxfId="496" priority="28">
      <formula>#REF!="زيادة"</formula>
    </cfRule>
  </conditionalFormatting>
  <conditionalFormatting sqref="D121">
    <cfRule type="expression" dxfId="495" priority="39">
      <formula>#REF!="عجز"</formula>
    </cfRule>
    <cfRule type="expression" dxfId="494" priority="40">
      <formula>#REF!="زيادة"</formula>
    </cfRule>
  </conditionalFormatting>
  <conditionalFormatting sqref="D163">
    <cfRule type="expression" dxfId="493" priority="31">
      <formula>#REF!="عجز"</formula>
    </cfRule>
    <cfRule type="expression" dxfId="492" priority="32">
      <formula>#REF!="زيادة"</formula>
    </cfRule>
  </conditionalFormatting>
  <conditionalFormatting sqref="D196">
    <cfRule type="expression" dxfId="491" priority="15">
      <formula>#REF!="عجز"</formula>
    </cfRule>
    <cfRule type="expression" dxfId="490" priority="16">
      <formula>#REF!="زيادة"</formula>
    </cfRule>
  </conditionalFormatting>
  <conditionalFormatting sqref="D229">
    <cfRule type="expression" dxfId="489" priority="5">
      <formula>#REF!="عجز"</formula>
    </cfRule>
    <cfRule type="expression" dxfId="488" priority="6">
      <formula>#REF!="زيادة"</formula>
    </cfRule>
  </conditionalFormatting>
  <conditionalFormatting sqref="I93">
    <cfRule type="expression" dxfId="487" priority="45">
      <formula>#REF!="عجز"</formula>
    </cfRule>
    <cfRule type="expression" dxfId="486" priority="46">
      <formula>#REF!="زيادة"</formula>
    </cfRule>
  </conditionalFormatting>
  <conditionalFormatting sqref="I126">
    <cfRule type="expression" dxfId="485" priority="37">
      <formula>#REF!="عجز"</formula>
    </cfRule>
    <cfRule type="expression" dxfId="484" priority="38">
      <formula>#REF!="زيادة"</formula>
    </cfRule>
  </conditionalFormatting>
  <conditionalFormatting sqref="I168">
    <cfRule type="expression" dxfId="483" priority="23">
      <formula>#REF!="عجز"</formula>
    </cfRule>
    <cfRule type="expression" dxfId="482" priority="24">
      <formula>#REF!="زيادة"</formula>
    </cfRule>
  </conditionalFormatting>
  <conditionalFormatting sqref="I201">
    <cfRule type="expression" dxfId="481" priority="13">
      <formula>#REF!="عجز"</formula>
    </cfRule>
    <cfRule type="expression" dxfId="480" priority="14">
      <formula>#REF!="زيادة"</formula>
    </cfRule>
  </conditionalFormatting>
  <conditionalFormatting sqref="I234">
    <cfRule type="expression" dxfId="479" priority="3">
      <formula>#REF!="عجز"</formula>
    </cfRule>
    <cfRule type="expression" dxfId="478" priority="4">
      <formula>#REF!="زيادة"</formula>
    </cfRule>
  </conditionalFormatting>
  <conditionalFormatting sqref="J88">
    <cfRule type="expression" dxfId="477" priority="29">
      <formula>#REF!="عجز"</formula>
    </cfRule>
    <cfRule type="expression" dxfId="476" priority="30">
      <formula>#REF!="زيادة"</formula>
    </cfRule>
  </conditionalFormatting>
  <conditionalFormatting sqref="J121">
    <cfRule type="expression" dxfId="475" priority="35">
      <formula>#REF!="عجز"</formula>
    </cfRule>
    <cfRule type="expression" dxfId="474" priority="36">
      <formula>#REF!="زيادة"</formula>
    </cfRule>
  </conditionalFormatting>
  <conditionalFormatting sqref="J163">
    <cfRule type="expression" dxfId="473" priority="21">
      <formula>#REF!="عجز"</formula>
    </cfRule>
    <cfRule type="expression" dxfId="472" priority="22">
      <formula>#REF!="زيادة"</formula>
    </cfRule>
  </conditionalFormatting>
  <conditionalFormatting sqref="J196">
    <cfRule type="expression" dxfId="471" priority="11">
      <formula>#REF!="عجز"</formula>
    </cfRule>
    <cfRule type="expression" dxfId="470" priority="12">
      <formula>#REF!="زيادة"</formula>
    </cfRule>
  </conditionalFormatting>
  <conditionalFormatting sqref="J229">
    <cfRule type="expression" dxfId="469" priority="1">
      <formula>#REF!="عجز"</formula>
    </cfRule>
    <cfRule type="expression" dxfId="468" priority="2">
      <formula>#REF!="زيادة"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72B8-1EDD-47A6-9CC2-34FE8861DE06}">
  <dimension ref="A1:K186"/>
  <sheetViews>
    <sheetView rightToLeft="1" topLeftCell="A37" zoomScale="85" zoomScaleNormal="85" workbookViewId="0">
      <selection activeCell="B59" sqref="B59"/>
    </sheetView>
  </sheetViews>
  <sheetFormatPr defaultRowHeight="15" x14ac:dyDescent="0.25"/>
  <cols>
    <col min="1" max="1" width="39.140625" customWidth="1"/>
    <col min="2" max="2" width="18.7109375" bestFit="1" customWidth="1"/>
    <col min="3" max="3" width="26.7109375" customWidth="1"/>
    <col min="4" max="4" width="12.28515625" customWidth="1"/>
    <col min="5" max="5" width="10" customWidth="1"/>
    <col min="7" max="7" width="39.140625" customWidth="1"/>
    <col min="8" max="8" width="11.7109375" bestFit="1" customWidth="1"/>
    <col min="9" max="9" width="26.7109375" customWidth="1"/>
    <col min="10" max="10" width="16.7109375" bestFit="1" customWidth="1"/>
    <col min="11" max="11" width="11" bestFit="1" customWidth="1"/>
  </cols>
  <sheetData>
    <row r="1" spans="1:9" ht="15.75" thickBot="1" x14ac:dyDescent="0.3"/>
    <row r="2" spans="1:9" ht="24" thickBot="1" x14ac:dyDescent="0.3">
      <c r="A2" s="76" t="s">
        <v>300</v>
      </c>
      <c r="B2" s="460">
        <v>45135</v>
      </c>
      <c r="C2" s="461"/>
      <c r="G2" s="76" t="s">
        <v>363</v>
      </c>
      <c r="H2" s="460">
        <v>45135</v>
      </c>
      <c r="I2" s="461"/>
    </row>
    <row r="3" spans="1:9" ht="21" thickBot="1" x14ac:dyDescent="0.3">
      <c r="A3" s="53" t="s">
        <v>137</v>
      </c>
      <c r="B3" s="53" t="s">
        <v>3</v>
      </c>
      <c r="C3" s="53" t="s">
        <v>138</v>
      </c>
      <c r="G3" s="53" t="s">
        <v>137</v>
      </c>
      <c r="H3" s="53" t="s">
        <v>3</v>
      </c>
      <c r="I3" s="53" t="s">
        <v>138</v>
      </c>
    </row>
    <row r="4" spans="1:9" ht="18" x14ac:dyDescent="0.25">
      <c r="A4" s="55">
        <f>10000+1000+500+500+500+250+135+1750</f>
        <v>14635</v>
      </c>
      <c r="B4" s="57">
        <v>122</v>
      </c>
      <c r="C4" s="56" t="s">
        <v>1531</v>
      </c>
      <c r="G4" s="55">
        <f>5000+1000+3800+15</f>
        <v>9815</v>
      </c>
      <c r="H4" s="77">
        <v>115</v>
      </c>
      <c r="I4" s="57" t="s">
        <v>300</v>
      </c>
    </row>
    <row r="5" spans="1:9" ht="18" x14ac:dyDescent="0.25">
      <c r="A5" s="60"/>
      <c r="B5" s="56">
        <v>270</v>
      </c>
      <c r="C5" s="56" t="s">
        <v>8</v>
      </c>
      <c r="G5" s="60"/>
      <c r="H5" s="56">
        <v>320</v>
      </c>
      <c r="I5" s="57" t="s">
        <v>11</v>
      </c>
    </row>
    <row r="6" spans="1:9" ht="18" x14ac:dyDescent="0.25">
      <c r="A6" s="60"/>
      <c r="B6" s="77">
        <v>170</v>
      </c>
      <c r="C6" s="56" t="s">
        <v>399</v>
      </c>
      <c r="G6" s="60"/>
      <c r="H6" s="77"/>
      <c r="I6" s="57"/>
    </row>
    <row r="7" spans="1:9" ht="18" x14ac:dyDescent="0.25">
      <c r="A7" s="60"/>
      <c r="B7" s="77">
        <v>200</v>
      </c>
      <c r="C7" s="56" t="s">
        <v>7</v>
      </c>
      <c r="G7" s="60"/>
      <c r="H7" s="56"/>
      <c r="I7" s="57"/>
    </row>
    <row r="8" spans="1:9" ht="18" x14ac:dyDescent="0.25">
      <c r="A8" s="60"/>
      <c r="B8" s="56">
        <v>20</v>
      </c>
      <c r="C8" s="56" t="s">
        <v>1529</v>
      </c>
      <c r="G8" s="60"/>
      <c r="H8" s="77"/>
      <c r="I8" s="57"/>
    </row>
    <row r="9" spans="1:9" ht="18" x14ac:dyDescent="0.25">
      <c r="A9" s="60"/>
      <c r="B9" s="77">
        <v>20</v>
      </c>
      <c r="C9" s="56" t="s">
        <v>447</v>
      </c>
      <c r="G9" s="60"/>
      <c r="H9" s="77"/>
      <c r="I9" s="57"/>
    </row>
    <row r="10" spans="1:9" ht="18" x14ac:dyDescent="0.25">
      <c r="A10" s="60"/>
      <c r="B10" s="56">
        <v>27</v>
      </c>
      <c r="C10" s="56" t="s">
        <v>446</v>
      </c>
      <c r="G10" s="60"/>
      <c r="H10" s="56"/>
      <c r="I10" s="57"/>
    </row>
    <row r="11" spans="1:9" ht="18" x14ac:dyDescent="0.25">
      <c r="A11" s="60"/>
      <c r="B11" s="77">
        <v>2400</v>
      </c>
      <c r="C11" s="56" t="s">
        <v>1530</v>
      </c>
      <c r="G11" s="60"/>
      <c r="H11" s="56"/>
      <c r="I11" s="57"/>
    </row>
    <row r="12" spans="1:9" ht="18" x14ac:dyDescent="0.25">
      <c r="A12" s="60"/>
      <c r="B12" s="77"/>
      <c r="C12" s="56"/>
      <c r="G12" s="60"/>
      <c r="H12" s="56"/>
      <c r="I12" s="57"/>
    </row>
    <row r="13" spans="1:9" ht="18" x14ac:dyDescent="0.25">
      <c r="A13" s="60"/>
      <c r="B13" s="56"/>
      <c r="C13" s="56"/>
      <c r="G13" s="60"/>
      <c r="H13" s="56"/>
      <c r="I13" s="57"/>
    </row>
    <row r="14" spans="1:9" ht="18" x14ac:dyDescent="0.25">
      <c r="A14" s="60"/>
      <c r="B14" s="77"/>
      <c r="C14" s="56"/>
      <c r="G14" s="60"/>
      <c r="H14" s="56"/>
      <c r="I14" s="57"/>
    </row>
    <row r="15" spans="1:9" ht="18" x14ac:dyDescent="0.25">
      <c r="A15" s="60"/>
      <c r="B15" s="56"/>
      <c r="C15" s="56"/>
      <c r="G15" s="60"/>
      <c r="H15" s="56"/>
      <c r="I15" s="57"/>
    </row>
    <row r="16" spans="1:9" ht="18" x14ac:dyDescent="0.25">
      <c r="A16" s="60"/>
      <c r="B16" s="77"/>
      <c r="C16" s="56"/>
      <c r="G16" s="60"/>
      <c r="H16" s="56"/>
      <c r="I16" s="57"/>
    </row>
    <row r="17" spans="1:11" ht="18" x14ac:dyDescent="0.25">
      <c r="A17" s="60"/>
      <c r="B17" s="77"/>
      <c r="C17" s="56"/>
      <c r="G17" s="60"/>
      <c r="H17" s="77"/>
      <c r="I17" s="57"/>
    </row>
    <row r="18" spans="1:11" ht="18" x14ac:dyDescent="0.25">
      <c r="A18" s="60"/>
      <c r="B18" s="56"/>
      <c r="C18" s="56"/>
      <c r="G18" s="60"/>
      <c r="H18" s="56"/>
      <c r="I18" s="57"/>
    </row>
    <row r="19" spans="1:11" ht="18" x14ac:dyDescent="0.25">
      <c r="A19" s="60"/>
      <c r="B19" s="56"/>
      <c r="C19" s="56"/>
      <c r="G19" s="60"/>
      <c r="H19" s="56"/>
      <c r="I19" s="57"/>
    </row>
    <row r="20" spans="1:11" ht="18" x14ac:dyDescent="0.25">
      <c r="A20" s="60"/>
      <c r="B20" s="56"/>
      <c r="C20" s="56"/>
      <c r="G20" s="60"/>
      <c r="H20" s="56"/>
      <c r="I20" s="57"/>
    </row>
    <row r="21" spans="1:11" ht="18" x14ac:dyDescent="0.25">
      <c r="A21" s="60"/>
      <c r="B21" s="56"/>
      <c r="C21" s="56"/>
      <c r="G21" s="60"/>
      <c r="H21" s="56"/>
      <c r="I21" s="57"/>
    </row>
    <row r="22" spans="1:11" ht="18" x14ac:dyDescent="0.25">
      <c r="A22" s="60"/>
      <c r="B22" s="56"/>
      <c r="C22" s="56"/>
      <c r="G22" s="60"/>
      <c r="H22" s="56"/>
      <c r="I22" s="57"/>
    </row>
    <row r="23" spans="1:11" ht="18.75" thickBot="1" x14ac:dyDescent="0.3">
      <c r="A23" s="60"/>
      <c r="B23" s="56"/>
      <c r="C23" s="56"/>
      <c r="G23" s="60"/>
      <c r="H23" s="77"/>
      <c r="I23" s="57"/>
    </row>
    <row r="24" spans="1:11" ht="24" thickBot="1" x14ac:dyDescent="0.3">
      <c r="A24" s="66"/>
      <c r="B24" s="56"/>
      <c r="C24" s="64"/>
      <c r="D24" s="314" t="str">
        <f>IF(E24&gt;0,"زيادة","عجز")</f>
        <v>زيادة</v>
      </c>
      <c r="E24" s="99">
        <f>E29-E25</f>
        <v>89</v>
      </c>
      <c r="G24" s="60"/>
      <c r="H24" s="56"/>
      <c r="I24" s="57"/>
    </row>
    <row r="25" spans="1:11" ht="24" thickBot="1" x14ac:dyDescent="0.3">
      <c r="A25" s="68">
        <f>SUM(A4:A24)</f>
        <v>14635</v>
      </c>
      <c r="B25" s="69">
        <f>SUM(B4:B24)</f>
        <v>3229</v>
      </c>
      <c r="D25" s="135" t="s">
        <v>94</v>
      </c>
      <c r="E25" s="99">
        <f>10356-9008</f>
        <v>1348</v>
      </c>
      <c r="G25" s="68">
        <f>SUM(G4:G24)</f>
        <v>9815</v>
      </c>
      <c r="H25" s="69">
        <f>SUM(H4:H24)</f>
        <v>435</v>
      </c>
      <c r="J25" s="314" t="str">
        <f>IF(K25&gt;0,"زيادة","عجز")</f>
        <v>زيادة</v>
      </c>
      <c r="K25" s="99">
        <f>K30-K26</f>
        <v>18</v>
      </c>
    </row>
    <row r="26" spans="1:11" ht="24" thickBot="1" x14ac:dyDescent="0.3">
      <c r="A26" s="462" t="s">
        <v>139</v>
      </c>
      <c r="B26" s="463"/>
      <c r="C26" s="71" t="s">
        <v>75</v>
      </c>
      <c r="D26" s="136" t="s">
        <v>65</v>
      </c>
      <c r="E26" s="85">
        <f>1300+137</f>
        <v>1437</v>
      </c>
      <c r="G26" s="462" t="s">
        <v>139</v>
      </c>
      <c r="H26" s="463"/>
      <c r="I26" s="71" t="s">
        <v>75</v>
      </c>
      <c r="J26" s="135" t="s">
        <v>94</v>
      </c>
      <c r="K26" s="99">
        <f>9008-8446</f>
        <v>562</v>
      </c>
    </row>
    <row r="27" spans="1:11" ht="24" thickBot="1" x14ac:dyDescent="0.3">
      <c r="A27" s="464">
        <f>B25+A25</f>
        <v>17864</v>
      </c>
      <c r="B27" s="465"/>
      <c r="C27" s="313">
        <f>149+299+94+492+108+334</f>
        <v>1476</v>
      </c>
      <c r="D27" s="82"/>
      <c r="E27" s="83"/>
      <c r="G27" s="464">
        <f>H25+G25</f>
        <v>10250</v>
      </c>
      <c r="H27" s="465"/>
      <c r="I27" s="313">
        <f>10+62+266+39+182</f>
        <v>559</v>
      </c>
      <c r="J27" s="136" t="s">
        <v>65</v>
      </c>
      <c r="K27" s="85">
        <f>570+10</f>
        <v>580</v>
      </c>
    </row>
    <row r="28" spans="1:11" ht="24" thickBot="1" x14ac:dyDescent="0.3">
      <c r="A28" s="466" t="s">
        <v>99</v>
      </c>
      <c r="B28" s="467"/>
      <c r="C28" s="78">
        <f>A29-C29</f>
        <v>-15</v>
      </c>
      <c r="D28" s="82"/>
      <c r="E28" s="83"/>
      <c r="G28" s="466" t="s">
        <v>99</v>
      </c>
      <c r="H28" s="467"/>
      <c r="I28" s="78">
        <f>G29-I29</f>
        <v>22</v>
      </c>
      <c r="J28" s="82"/>
      <c r="K28" s="83"/>
    </row>
    <row r="29" spans="1:11" ht="24" thickBot="1" x14ac:dyDescent="0.3">
      <c r="A29" s="468">
        <f>C27+A27</f>
        <v>19340</v>
      </c>
      <c r="B29" s="469"/>
      <c r="C29" s="121">
        <f>19156+199</f>
        <v>19355</v>
      </c>
      <c r="D29" s="82" t="s">
        <v>164</v>
      </c>
      <c r="E29" s="83">
        <f>SUM(E26:E28)</f>
        <v>1437</v>
      </c>
      <c r="G29" s="468">
        <f>I27+G27</f>
        <v>10809</v>
      </c>
      <c r="H29" s="469"/>
      <c r="I29" s="121">
        <v>10787</v>
      </c>
      <c r="J29" s="82"/>
      <c r="K29" s="83"/>
    </row>
    <row r="30" spans="1:11" ht="24" thickBot="1" x14ac:dyDescent="0.3">
      <c r="C30" s="314" t="str">
        <f>IF(C28&gt;0,"زيادة","عجز")</f>
        <v>عجز</v>
      </c>
      <c r="D30" s="318"/>
      <c r="I30" s="314" t="str">
        <f>IF(I28&gt;0,"زيادة","عجز")</f>
        <v>زيادة</v>
      </c>
      <c r="J30" s="82" t="s">
        <v>164</v>
      </c>
      <c r="K30" s="83">
        <f>SUM(K27:K29)</f>
        <v>580</v>
      </c>
    </row>
    <row r="31" spans="1:11" ht="18.75" x14ac:dyDescent="0.25">
      <c r="J31" s="318"/>
    </row>
    <row r="33" spans="1:11" ht="15.75" thickBot="1" x14ac:dyDescent="0.3"/>
    <row r="34" spans="1:11" ht="24" thickBot="1" x14ac:dyDescent="0.3">
      <c r="A34" s="76" t="s">
        <v>80</v>
      </c>
      <c r="B34" s="460">
        <v>45134</v>
      </c>
      <c r="C34" s="474"/>
      <c r="G34" s="76" t="s">
        <v>363</v>
      </c>
      <c r="H34" s="460">
        <v>45134</v>
      </c>
      <c r="I34" s="461"/>
    </row>
    <row r="35" spans="1:11" ht="21" thickBot="1" x14ac:dyDescent="0.3">
      <c r="A35" s="53" t="s">
        <v>137</v>
      </c>
      <c r="B35" s="53" t="s">
        <v>3</v>
      </c>
      <c r="C35" s="53" t="s">
        <v>138</v>
      </c>
      <c r="G35" s="53" t="s">
        <v>137</v>
      </c>
      <c r="H35" s="53" t="s">
        <v>3</v>
      </c>
      <c r="I35" s="53" t="s">
        <v>138</v>
      </c>
    </row>
    <row r="36" spans="1:11" ht="18" x14ac:dyDescent="0.25">
      <c r="A36" s="55">
        <v>22325</v>
      </c>
      <c r="B36" s="77">
        <v>31</v>
      </c>
      <c r="C36" s="57" t="s">
        <v>349</v>
      </c>
      <c r="G36" s="55"/>
      <c r="H36" s="77"/>
      <c r="I36" s="57"/>
    </row>
    <row r="37" spans="1:11" ht="18" x14ac:dyDescent="0.25">
      <c r="A37" s="60"/>
      <c r="B37" s="56">
        <v>9</v>
      </c>
      <c r="C37" s="57" t="s">
        <v>71</v>
      </c>
      <c r="G37" s="60"/>
      <c r="H37" s="56"/>
      <c r="I37" s="57"/>
    </row>
    <row r="38" spans="1:11" ht="18" x14ac:dyDescent="0.25">
      <c r="A38" s="60"/>
      <c r="B38" s="77">
        <v>50</v>
      </c>
      <c r="C38" s="57" t="s">
        <v>1535</v>
      </c>
      <c r="G38" s="60"/>
      <c r="H38" s="77"/>
      <c r="I38" s="77"/>
    </row>
    <row r="39" spans="1:11" ht="18" x14ac:dyDescent="0.25">
      <c r="A39" s="60"/>
      <c r="B39" s="56">
        <v>260</v>
      </c>
      <c r="C39" s="57" t="s">
        <v>776</v>
      </c>
      <c r="G39" s="60"/>
      <c r="H39" s="56"/>
      <c r="I39" s="77"/>
    </row>
    <row r="40" spans="1:11" ht="18" x14ac:dyDescent="0.25">
      <c r="A40" s="60"/>
      <c r="B40" s="77"/>
      <c r="C40" s="56"/>
      <c r="G40" s="60"/>
      <c r="H40" s="77"/>
      <c r="I40" s="56"/>
    </row>
    <row r="41" spans="1:11" ht="18" x14ac:dyDescent="0.25">
      <c r="A41" s="60"/>
      <c r="B41" s="77"/>
      <c r="C41" s="56"/>
      <c r="G41" s="60"/>
      <c r="H41" s="77"/>
      <c r="I41" s="56"/>
    </row>
    <row r="42" spans="1:11" ht="18" x14ac:dyDescent="0.25">
      <c r="A42" s="60"/>
      <c r="B42" s="56"/>
      <c r="C42" s="56"/>
      <c r="G42" s="60"/>
      <c r="H42" s="56"/>
      <c r="I42" s="56"/>
    </row>
    <row r="43" spans="1:11" ht="18" x14ac:dyDescent="0.25">
      <c r="A43" s="60"/>
      <c r="B43" s="56"/>
      <c r="C43" s="56"/>
      <c r="G43" s="60"/>
      <c r="H43" s="56"/>
      <c r="I43" s="56"/>
    </row>
    <row r="44" spans="1:11" ht="18" x14ac:dyDescent="0.25">
      <c r="A44" s="60"/>
      <c r="B44" s="56"/>
      <c r="C44" s="56"/>
      <c r="G44" s="60"/>
      <c r="H44" s="56"/>
      <c r="I44" s="56"/>
    </row>
    <row r="45" spans="1:11" ht="18" x14ac:dyDescent="0.25">
      <c r="A45" s="60"/>
      <c r="B45" s="56"/>
      <c r="C45" s="56"/>
      <c r="G45" s="60"/>
      <c r="H45" s="56"/>
      <c r="I45" s="56"/>
      <c r="K45">
        <f>20+3+10+120+20+8+34+8+14+30+25</f>
        <v>292</v>
      </c>
    </row>
    <row r="46" spans="1:11" ht="18" x14ac:dyDescent="0.25">
      <c r="A46" s="60"/>
      <c r="B46" s="56"/>
      <c r="C46" s="56"/>
      <c r="G46" s="60"/>
      <c r="H46" s="56"/>
      <c r="I46" s="56"/>
    </row>
    <row r="47" spans="1:11" ht="18" x14ac:dyDescent="0.25">
      <c r="A47" s="60"/>
      <c r="B47" s="56"/>
      <c r="C47" s="56"/>
      <c r="G47" s="60"/>
      <c r="H47" s="56"/>
      <c r="I47" s="56"/>
    </row>
    <row r="48" spans="1:11" ht="18" x14ac:dyDescent="0.25">
      <c r="A48" s="60"/>
      <c r="B48" s="56"/>
      <c r="C48" s="56"/>
      <c r="G48" s="60"/>
      <c r="H48" s="56"/>
      <c r="I48" s="56"/>
    </row>
    <row r="49" spans="1:11" ht="18" x14ac:dyDescent="0.25">
      <c r="A49" s="60"/>
      <c r="B49" s="56"/>
      <c r="C49" s="56"/>
      <c r="G49" s="60"/>
      <c r="H49" s="56"/>
      <c r="I49" s="56"/>
    </row>
    <row r="50" spans="1:11" ht="18" x14ac:dyDescent="0.25">
      <c r="A50" s="60"/>
      <c r="B50" s="56"/>
      <c r="C50" s="56"/>
      <c r="G50" s="60"/>
      <c r="H50" s="56"/>
      <c r="I50" s="56"/>
    </row>
    <row r="51" spans="1:11" ht="27" thickBot="1" x14ac:dyDescent="0.45">
      <c r="A51" s="60"/>
      <c r="B51" s="56"/>
      <c r="C51" s="56"/>
      <c r="D51" s="472"/>
      <c r="E51" s="473"/>
      <c r="G51" s="60"/>
      <c r="H51" s="56"/>
      <c r="I51" s="56"/>
    </row>
    <row r="52" spans="1:11" ht="24" thickBot="1" x14ac:dyDescent="0.3">
      <c r="A52" s="66"/>
      <c r="B52" s="56"/>
      <c r="C52" s="64"/>
      <c r="D52" s="314" t="str">
        <f>IF(E52&gt;0,"زيادة","عجز")</f>
        <v>زيادة</v>
      </c>
      <c r="E52" s="99">
        <f>E58-E53</f>
        <v>26</v>
      </c>
      <c r="G52" s="60"/>
      <c r="H52" s="56"/>
      <c r="I52" s="56"/>
    </row>
    <row r="53" spans="1:11" ht="24" thickBot="1" x14ac:dyDescent="0.3">
      <c r="A53" s="68">
        <f>SUM(A36:A52)</f>
        <v>22325</v>
      </c>
      <c r="B53" s="69">
        <f>SUM(B36:B52)</f>
        <v>350</v>
      </c>
      <c r="D53" s="135" t="s">
        <v>94</v>
      </c>
      <c r="E53" s="99">
        <f>8446-7296</f>
        <v>1150</v>
      </c>
      <c r="G53" s="60"/>
      <c r="H53" s="56"/>
      <c r="I53" s="56"/>
    </row>
    <row r="54" spans="1:11" ht="21.75" thickBot="1" x14ac:dyDescent="0.3">
      <c r="A54" s="365" t="s">
        <v>139</v>
      </c>
      <c r="B54" s="366"/>
      <c r="C54" s="71" t="s">
        <v>75</v>
      </c>
      <c r="D54" s="136" t="s">
        <v>65</v>
      </c>
      <c r="E54" s="85">
        <f>875+229+36+36</f>
        <v>1176</v>
      </c>
      <c r="G54" s="60"/>
      <c r="H54" s="56"/>
      <c r="I54" s="56"/>
    </row>
    <row r="55" spans="1:11" ht="24" thickBot="1" x14ac:dyDescent="0.3">
      <c r="A55" s="367">
        <f>B53+A53</f>
        <v>22675</v>
      </c>
      <c r="B55" s="368"/>
      <c r="C55" s="313">
        <f>89+613+261+100+305</f>
        <v>1368</v>
      </c>
      <c r="D55" s="82"/>
      <c r="E55" s="83"/>
      <c r="G55" s="66"/>
      <c r="H55" s="56"/>
      <c r="I55" s="64"/>
    </row>
    <row r="56" spans="1:11" ht="24" thickBot="1" x14ac:dyDescent="0.3">
      <c r="A56" s="369" t="s">
        <v>99</v>
      </c>
      <c r="B56" s="370"/>
      <c r="C56" s="78">
        <f>A57-C57</f>
        <v>122</v>
      </c>
      <c r="D56" s="82"/>
      <c r="E56" s="83"/>
      <c r="G56" s="68">
        <f>SUM(G36:G55)</f>
        <v>0</v>
      </c>
      <c r="H56" s="69">
        <f>SUM(H36:H55)</f>
        <v>0</v>
      </c>
      <c r="J56" s="314" t="str">
        <f>IF(K56&gt;0,"زيادة","عجز")</f>
        <v>عجز</v>
      </c>
      <c r="K56" s="99">
        <f>K61-K57</f>
        <v>0</v>
      </c>
    </row>
    <row r="57" spans="1:11" ht="24" thickBot="1" x14ac:dyDescent="0.3">
      <c r="A57" s="371">
        <f>C55+A55</f>
        <v>24043</v>
      </c>
      <c r="B57" s="372"/>
      <c r="C57" s="121">
        <v>23921</v>
      </c>
      <c r="D57" s="82"/>
      <c r="E57" s="83"/>
      <c r="G57" s="462" t="s">
        <v>139</v>
      </c>
      <c r="H57" s="463"/>
      <c r="I57" s="71" t="s">
        <v>75</v>
      </c>
      <c r="J57" s="135" t="s">
        <v>94</v>
      </c>
      <c r="K57" s="99"/>
    </row>
    <row r="58" spans="1:11" ht="24" thickBot="1" x14ac:dyDescent="0.3">
      <c r="C58" s="314" t="str">
        <f>IF(C56&gt;0,"زيادة","عجز")</f>
        <v>زيادة</v>
      </c>
      <c r="D58" s="82" t="s">
        <v>164</v>
      </c>
      <c r="E58" s="83">
        <f>SUM(E54:E57)</f>
        <v>1176</v>
      </c>
      <c r="G58" s="464">
        <f>H56+G56</f>
        <v>0</v>
      </c>
      <c r="H58" s="465"/>
      <c r="I58" s="313"/>
      <c r="J58" s="136" t="s">
        <v>65</v>
      </c>
      <c r="K58" s="85"/>
    </row>
    <row r="59" spans="1:11" ht="24" thickBot="1" x14ac:dyDescent="0.3">
      <c r="D59" s="318"/>
      <c r="G59" s="466" t="s">
        <v>99</v>
      </c>
      <c r="H59" s="467"/>
      <c r="I59" s="78">
        <f>G60-I60</f>
        <v>0</v>
      </c>
      <c r="J59" s="82"/>
      <c r="K59" s="83"/>
    </row>
    <row r="60" spans="1:11" ht="24" thickBot="1" x14ac:dyDescent="0.3">
      <c r="G60" s="468">
        <f>I58+G58</f>
        <v>0</v>
      </c>
      <c r="H60" s="469"/>
      <c r="I60" s="121"/>
      <c r="J60" s="82"/>
      <c r="K60" s="83"/>
    </row>
    <row r="61" spans="1:11" ht="24" thickBot="1" x14ac:dyDescent="0.3">
      <c r="I61" s="314" t="str">
        <f>IF(I59&gt;0,"زيادة","عجز")</f>
        <v>عجز</v>
      </c>
      <c r="J61" s="82" t="s">
        <v>164</v>
      </c>
      <c r="K61" s="83">
        <f>SUM(K58:K60)</f>
        <v>0</v>
      </c>
    </row>
    <row r="62" spans="1:11" ht="24" thickBot="1" x14ac:dyDescent="0.3">
      <c r="I62" s="372"/>
      <c r="J62" s="318"/>
    </row>
    <row r="63" spans="1:11" ht="24" thickBot="1" x14ac:dyDescent="0.3">
      <c r="A63" s="76" t="s">
        <v>88</v>
      </c>
      <c r="B63" s="460">
        <v>45133</v>
      </c>
      <c r="C63" s="474"/>
      <c r="G63" s="76" t="s">
        <v>1162</v>
      </c>
      <c r="H63" s="460">
        <v>45134</v>
      </c>
      <c r="I63" s="461"/>
      <c r="J63" s="104"/>
    </row>
    <row r="64" spans="1:11" ht="21" thickBot="1" x14ac:dyDescent="0.3">
      <c r="A64" s="53" t="s">
        <v>137</v>
      </c>
      <c r="B64" s="53" t="s">
        <v>3</v>
      </c>
      <c r="C64" s="53" t="s">
        <v>138</v>
      </c>
      <c r="G64" s="53" t="s">
        <v>137</v>
      </c>
      <c r="H64" s="53" t="s">
        <v>3</v>
      </c>
      <c r="I64" s="53" t="s">
        <v>138</v>
      </c>
    </row>
    <row r="65" spans="1:9" ht="18" x14ac:dyDescent="0.25">
      <c r="A65" s="55"/>
      <c r="B65" s="77"/>
      <c r="C65" s="57"/>
      <c r="G65" s="55"/>
      <c r="H65" s="77"/>
      <c r="I65" s="57"/>
    </row>
    <row r="66" spans="1:9" ht="18" x14ac:dyDescent="0.25">
      <c r="A66" s="60"/>
      <c r="B66" s="56"/>
      <c r="C66" s="57"/>
      <c r="G66" s="60"/>
      <c r="H66" s="56"/>
      <c r="I66" s="57"/>
    </row>
    <row r="67" spans="1:9" ht="18" x14ac:dyDescent="0.25">
      <c r="A67" s="60"/>
      <c r="B67" s="77"/>
      <c r="C67" s="77"/>
      <c r="G67" s="60"/>
      <c r="H67" s="77"/>
      <c r="I67" s="77"/>
    </row>
    <row r="68" spans="1:9" ht="18" x14ac:dyDescent="0.25">
      <c r="A68" s="60"/>
      <c r="B68" s="56"/>
      <c r="C68" s="77"/>
      <c r="G68" s="60"/>
      <c r="H68" s="56"/>
      <c r="I68" s="77"/>
    </row>
    <row r="69" spans="1:9" ht="18" x14ac:dyDescent="0.25">
      <c r="A69" s="60"/>
      <c r="B69" s="77"/>
      <c r="C69" s="56"/>
      <c r="G69" s="60"/>
      <c r="H69" s="77"/>
      <c r="I69" s="56"/>
    </row>
    <row r="70" spans="1:9" ht="18" x14ac:dyDescent="0.25">
      <c r="A70" s="60"/>
      <c r="B70" s="77"/>
      <c r="C70" s="56"/>
      <c r="G70" s="60"/>
      <c r="H70" s="77"/>
      <c r="I70" s="56"/>
    </row>
    <row r="71" spans="1:9" ht="18" x14ac:dyDescent="0.25">
      <c r="A71" s="60"/>
      <c r="B71" s="56"/>
      <c r="C71" s="56"/>
      <c r="G71" s="60"/>
      <c r="H71" s="56"/>
      <c r="I71" s="56"/>
    </row>
    <row r="72" spans="1:9" ht="18" x14ac:dyDescent="0.25">
      <c r="A72" s="60"/>
      <c r="B72" s="56"/>
      <c r="C72" s="56"/>
      <c r="G72" s="60"/>
      <c r="H72" s="56"/>
      <c r="I72" s="56"/>
    </row>
    <row r="73" spans="1:9" ht="18" x14ac:dyDescent="0.25">
      <c r="A73" s="60"/>
      <c r="B73" s="56"/>
      <c r="C73" s="56"/>
      <c r="G73" s="60"/>
      <c r="H73" s="56"/>
      <c r="I73" s="56"/>
    </row>
    <row r="74" spans="1:9" ht="18" x14ac:dyDescent="0.25">
      <c r="A74" s="60"/>
      <c r="B74" s="56"/>
      <c r="C74" s="56"/>
      <c r="G74" s="60"/>
      <c r="H74" s="56"/>
      <c r="I74" s="56"/>
    </row>
    <row r="75" spans="1:9" ht="18" x14ac:dyDescent="0.25">
      <c r="A75" s="60"/>
      <c r="B75" s="56"/>
      <c r="C75" s="56"/>
      <c r="G75" s="60"/>
      <c r="H75" s="56"/>
      <c r="I75" s="56"/>
    </row>
    <row r="76" spans="1:9" ht="18" x14ac:dyDescent="0.25">
      <c r="A76" s="60"/>
      <c r="B76" s="56"/>
      <c r="C76" s="56"/>
      <c r="G76" s="60"/>
      <c r="H76" s="56"/>
      <c r="I76" s="56"/>
    </row>
    <row r="77" spans="1:9" ht="18" x14ac:dyDescent="0.25">
      <c r="A77" s="60"/>
      <c r="B77" s="56"/>
      <c r="C77" s="56"/>
      <c r="G77" s="60"/>
      <c r="H77" s="56"/>
      <c r="I77" s="56"/>
    </row>
    <row r="78" spans="1:9" ht="18" x14ac:dyDescent="0.25">
      <c r="A78" s="60"/>
      <c r="B78" s="56"/>
      <c r="C78" s="56"/>
      <c r="G78" s="60"/>
      <c r="H78" s="56"/>
      <c r="I78" s="56"/>
    </row>
    <row r="79" spans="1:9" ht="18" x14ac:dyDescent="0.25">
      <c r="A79" s="60"/>
      <c r="B79" s="56"/>
      <c r="C79" s="56"/>
      <c r="G79" s="60"/>
      <c r="H79" s="56"/>
      <c r="I79" s="56"/>
    </row>
    <row r="80" spans="1:9" ht="18" x14ac:dyDescent="0.25">
      <c r="A80" s="60"/>
      <c r="B80" s="56"/>
      <c r="C80" s="56"/>
      <c r="G80" s="60"/>
      <c r="H80" s="56"/>
      <c r="I80" s="56"/>
    </row>
    <row r="81" spans="1:11" ht="18" x14ac:dyDescent="0.25">
      <c r="A81" s="60"/>
      <c r="B81" s="56"/>
      <c r="C81" s="56"/>
      <c r="G81" s="60"/>
      <c r="H81" s="56"/>
      <c r="I81" s="56"/>
    </row>
    <row r="82" spans="1:11" ht="18" x14ac:dyDescent="0.25">
      <c r="A82" s="60"/>
      <c r="B82" s="56"/>
      <c r="C82" s="56"/>
      <c r="G82" s="60"/>
      <c r="H82" s="56"/>
      <c r="I82" s="56"/>
    </row>
    <row r="83" spans="1:11" ht="18" x14ac:dyDescent="0.25">
      <c r="A83" s="60"/>
      <c r="B83" s="56"/>
      <c r="C83" s="56"/>
      <c r="G83" s="60"/>
      <c r="H83" s="56"/>
      <c r="I83" s="56"/>
    </row>
    <row r="84" spans="1:11" ht="18" x14ac:dyDescent="0.25">
      <c r="A84" s="60"/>
      <c r="B84" s="56"/>
      <c r="C84" s="56"/>
      <c r="G84" s="60"/>
      <c r="H84" s="56"/>
      <c r="I84" s="56"/>
    </row>
    <row r="85" spans="1:11" ht="18" x14ac:dyDescent="0.25">
      <c r="A85" s="60"/>
      <c r="B85" s="56"/>
      <c r="C85" s="56"/>
      <c r="G85" s="60"/>
      <c r="H85" s="56"/>
      <c r="I85" s="56"/>
    </row>
    <row r="86" spans="1:11" ht="18.75" thickBot="1" x14ac:dyDescent="0.3">
      <c r="A86" s="60"/>
      <c r="B86" s="56"/>
      <c r="C86" s="56"/>
      <c r="G86" s="60"/>
      <c r="H86" s="56"/>
      <c r="I86" s="56"/>
    </row>
    <row r="87" spans="1:11" ht="24" thickBot="1" x14ac:dyDescent="0.4">
      <c r="A87" s="66"/>
      <c r="B87" s="56"/>
      <c r="C87" s="64"/>
      <c r="E87" s="424"/>
      <c r="G87" s="66"/>
      <c r="H87" s="56"/>
      <c r="I87" s="64"/>
      <c r="J87" s="475" t="s">
        <v>1386</v>
      </c>
      <c r="K87" s="476"/>
    </row>
    <row r="88" spans="1:11" ht="24" thickBot="1" x14ac:dyDescent="0.3">
      <c r="A88" s="68">
        <f>SUM(A65:A87)</f>
        <v>0</v>
      </c>
      <c r="B88" s="69">
        <f>SUM(B65:B87)</f>
        <v>0</v>
      </c>
      <c r="D88" s="314" t="str">
        <f>IF(E88&gt;0,"زيادة","عجز")</f>
        <v>عجز</v>
      </c>
      <c r="E88" s="99">
        <f>E93-E89</f>
        <v>0</v>
      </c>
      <c r="G88" s="68">
        <f>SUM(G65:G87)</f>
        <v>0</v>
      </c>
      <c r="H88" s="69">
        <f>SUM(H65:H87)</f>
        <v>0</v>
      </c>
      <c r="J88" s="314" t="str">
        <f>IF(K88&gt;0,"زيادة","عجز")</f>
        <v>عجز</v>
      </c>
      <c r="K88" s="99">
        <f>K93-K89</f>
        <v>0</v>
      </c>
    </row>
    <row r="89" spans="1:11" ht="24" thickBot="1" x14ac:dyDescent="0.3">
      <c r="A89" s="365" t="s">
        <v>139</v>
      </c>
      <c r="B89" s="366"/>
      <c r="C89" s="71" t="s">
        <v>75</v>
      </c>
      <c r="D89" s="135" t="s">
        <v>94</v>
      </c>
      <c r="E89" s="99"/>
      <c r="G89" s="462" t="s">
        <v>139</v>
      </c>
      <c r="H89" s="463"/>
      <c r="I89" s="71" t="s">
        <v>75</v>
      </c>
      <c r="J89" s="135" t="s">
        <v>94</v>
      </c>
      <c r="K89" s="99"/>
    </row>
    <row r="90" spans="1:11" ht="24" thickBot="1" x14ac:dyDescent="0.3">
      <c r="A90" s="367">
        <f>B88+A88</f>
        <v>0</v>
      </c>
      <c r="B90" s="368"/>
      <c r="C90" s="313"/>
      <c r="D90" s="136" t="s">
        <v>65</v>
      </c>
      <c r="E90" s="85"/>
      <c r="G90" s="464">
        <f>H88+G88</f>
        <v>0</v>
      </c>
      <c r="H90" s="465"/>
      <c r="I90" s="313"/>
      <c r="J90" s="136" t="s">
        <v>65</v>
      </c>
      <c r="K90" s="85"/>
    </row>
    <row r="91" spans="1:11" ht="24" thickBot="1" x14ac:dyDescent="0.3">
      <c r="A91" s="466" t="s">
        <v>99</v>
      </c>
      <c r="B91" s="467"/>
      <c r="C91" s="78">
        <f>A92-C92</f>
        <v>0</v>
      </c>
      <c r="D91" s="82"/>
      <c r="E91" s="83"/>
      <c r="G91" s="466" t="s">
        <v>99</v>
      </c>
      <c r="H91" s="467"/>
      <c r="I91" s="78">
        <f>G92-I92</f>
        <v>0</v>
      </c>
      <c r="J91" s="82"/>
      <c r="K91" s="83"/>
    </row>
    <row r="92" spans="1:11" ht="24" thickBot="1" x14ac:dyDescent="0.3">
      <c r="A92" s="468">
        <f>C90+A90</f>
        <v>0</v>
      </c>
      <c r="B92" s="469"/>
      <c r="C92" s="121"/>
      <c r="D92" s="82"/>
      <c r="E92" s="83"/>
      <c r="G92" s="468">
        <f>I90+G90</f>
        <v>0</v>
      </c>
      <c r="H92" s="469"/>
      <c r="I92" s="121"/>
      <c r="J92" s="82"/>
      <c r="K92" s="83"/>
    </row>
    <row r="93" spans="1:11" ht="24" thickBot="1" x14ac:dyDescent="0.3">
      <c r="C93" s="314" t="str">
        <f>IF(C91&gt;0,"زيادة","عجز")</f>
        <v>عجز</v>
      </c>
      <c r="D93" s="82" t="s">
        <v>164</v>
      </c>
      <c r="E93" s="83">
        <f>SUM(E90:E92)</f>
        <v>0</v>
      </c>
      <c r="I93" s="314" t="str">
        <f>IF(I91&gt;0,"زيادة","عجز")</f>
        <v>عجز</v>
      </c>
      <c r="J93" s="82" t="s">
        <v>164</v>
      </c>
      <c r="K93" s="83">
        <f>SUM(K90:K92)</f>
        <v>0</v>
      </c>
    </row>
    <row r="94" spans="1:11" ht="18.75" x14ac:dyDescent="0.25">
      <c r="D94" s="318"/>
      <c r="J94" s="318"/>
    </row>
    <row r="95" spans="1:11" ht="15.75" thickBot="1" x14ac:dyDescent="0.3"/>
    <row r="96" spans="1:11" ht="24" thickBot="1" x14ac:dyDescent="0.3">
      <c r="A96" s="425" t="s">
        <v>15</v>
      </c>
      <c r="B96" s="460">
        <v>45104</v>
      </c>
      <c r="C96" s="461"/>
      <c r="G96" s="425" t="s">
        <v>85</v>
      </c>
      <c r="H96" s="460">
        <v>45134</v>
      </c>
      <c r="I96" s="461"/>
    </row>
    <row r="97" spans="1:9" ht="21" thickBot="1" x14ac:dyDescent="0.3">
      <c r="A97" s="53" t="s">
        <v>137</v>
      </c>
      <c r="B97" s="53" t="s">
        <v>3</v>
      </c>
      <c r="C97" s="53" t="s">
        <v>138</v>
      </c>
      <c r="G97" s="53" t="s">
        <v>137</v>
      </c>
      <c r="H97" s="53" t="s">
        <v>3</v>
      </c>
      <c r="I97" s="53" t="s">
        <v>138</v>
      </c>
    </row>
    <row r="98" spans="1:9" ht="18" x14ac:dyDescent="0.25">
      <c r="A98" s="55"/>
      <c r="B98" s="77"/>
      <c r="C98" s="57"/>
      <c r="G98" s="55"/>
      <c r="H98" s="77"/>
      <c r="I98" s="57"/>
    </row>
    <row r="99" spans="1:9" ht="18" x14ac:dyDescent="0.25">
      <c r="A99" s="60"/>
      <c r="B99" s="56"/>
      <c r="C99" s="57"/>
      <c r="G99" s="60"/>
      <c r="H99" s="56"/>
      <c r="I99" s="57"/>
    </row>
    <row r="100" spans="1:9" ht="18" x14ac:dyDescent="0.25">
      <c r="A100" s="60"/>
      <c r="B100" s="77"/>
      <c r="C100" s="77"/>
      <c r="G100" s="60"/>
      <c r="H100" s="77"/>
      <c r="I100" s="77"/>
    </row>
    <row r="101" spans="1:9" ht="18" x14ac:dyDescent="0.25">
      <c r="A101" s="60"/>
      <c r="B101" s="56"/>
      <c r="C101" s="77"/>
      <c r="G101" s="60"/>
      <c r="H101" s="56"/>
      <c r="I101" s="77"/>
    </row>
    <row r="102" spans="1:9" ht="18" x14ac:dyDescent="0.25">
      <c r="A102" s="60"/>
      <c r="B102" s="77"/>
      <c r="C102" s="56"/>
      <c r="G102" s="60"/>
      <c r="H102" s="77"/>
      <c r="I102" s="56"/>
    </row>
    <row r="103" spans="1:9" ht="18" x14ac:dyDescent="0.25">
      <c r="A103" s="60"/>
      <c r="B103" s="77"/>
      <c r="C103" s="56"/>
      <c r="G103" s="60"/>
      <c r="H103" s="77"/>
      <c r="I103" s="56"/>
    </row>
    <row r="104" spans="1:9" ht="18" x14ac:dyDescent="0.25">
      <c r="A104" s="60"/>
      <c r="B104" s="56"/>
      <c r="C104" s="56"/>
      <c r="G104" s="60"/>
      <c r="H104" s="56"/>
      <c r="I104" s="56"/>
    </row>
    <row r="105" spans="1:9" ht="18" x14ac:dyDescent="0.25">
      <c r="A105" s="60"/>
      <c r="B105" s="56"/>
      <c r="C105" s="56"/>
      <c r="G105" s="60"/>
      <c r="H105" s="56"/>
      <c r="I105" s="56"/>
    </row>
    <row r="106" spans="1:9" ht="18" x14ac:dyDescent="0.25">
      <c r="A106" s="60"/>
      <c r="B106" s="56"/>
      <c r="C106" s="56"/>
      <c r="G106" s="60"/>
      <c r="H106" s="56"/>
      <c r="I106" s="56"/>
    </row>
    <row r="107" spans="1:9" ht="18" x14ac:dyDescent="0.25">
      <c r="A107" s="60"/>
      <c r="B107" s="56"/>
      <c r="C107" s="56"/>
      <c r="G107" s="60"/>
      <c r="H107" s="56"/>
      <c r="I107" s="56"/>
    </row>
    <row r="108" spans="1:9" ht="18" x14ac:dyDescent="0.25">
      <c r="A108" s="60"/>
      <c r="B108" s="56"/>
      <c r="C108" s="56"/>
      <c r="G108" s="60"/>
      <c r="H108" s="56"/>
      <c r="I108" s="56"/>
    </row>
    <row r="109" spans="1:9" ht="18" x14ac:dyDescent="0.25">
      <c r="A109" s="60"/>
      <c r="B109" s="56"/>
      <c r="C109" s="56"/>
      <c r="G109" s="60"/>
      <c r="H109" s="56"/>
      <c r="I109" s="56"/>
    </row>
    <row r="110" spans="1:9" ht="18" x14ac:dyDescent="0.25">
      <c r="A110" s="60"/>
      <c r="B110" s="56"/>
      <c r="C110" s="56"/>
      <c r="G110" s="60"/>
      <c r="H110" s="56"/>
      <c r="I110" s="56"/>
    </row>
    <row r="111" spans="1:9" ht="18" x14ac:dyDescent="0.25">
      <c r="A111" s="60"/>
      <c r="B111" s="56"/>
      <c r="C111" s="56"/>
      <c r="G111" s="60"/>
      <c r="H111" s="56"/>
      <c r="I111" s="56"/>
    </row>
    <row r="112" spans="1:9" ht="18" x14ac:dyDescent="0.25">
      <c r="A112" s="60"/>
      <c r="B112" s="56"/>
      <c r="C112" s="56"/>
      <c r="G112" s="60"/>
      <c r="H112" s="56"/>
      <c r="I112" s="56"/>
    </row>
    <row r="113" spans="1:11" ht="18" x14ac:dyDescent="0.25">
      <c r="A113" s="60"/>
      <c r="B113" s="56"/>
      <c r="C113" s="56"/>
      <c r="G113" s="60"/>
      <c r="H113" s="56"/>
      <c r="I113" s="56"/>
    </row>
    <row r="114" spans="1:11" ht="18" x14ac:dyDescent="0.25">
      <c r="A114" s="60"/>
      <c r="B114" s="56"/>
      <c r="C114" s="56"/>
      <c r="G114" s="60"/>
      <c r="H114" s="56"/>
      <c r="I114" s="56"/>
    </row>
    <row r="115" spans="1:11" ht="18" x14ac:dyDescent="0.25">
      <c r="A115" s="60"/>
      <c r="B115" s="56"/>
      <c r="C115" s="56"/>
      <c r="G115" s="60"/>
      <c r="H115" s="56"/>
      <c r="I115" s="56"/>
    </row>
    <row r="116" spans="1:11" ht="18" x14ac:dyDescent="0.25">
      <c r="A116" s="60"/>
      <c r="B116" s="56"/>
      <c r="C116" s="56"/>
      <c r="G116" s="60"/>
      <c r="H116" s="56"/>
      <c r="I116" s="56"/>
    </row>
    <row r="117" spans="1:11" ht="18" x14ac:dyDescent="0.25">
      <c r="A117" s="60"/>
      <c r="B117" s="56"/>
      <c r="C117" s="56"/>
      <c r="G117" s="60"/>
      <c r="H117" s="56"/>
      <c r="I117" s="56"/>
    </row>
    <row r="118" spans="1:11" ht="18" x14ac:dyDescent="0.25">
      <c r="A118" s="60"/>
      <c r="B118" s="56"/>
      <c r="C118" s="56"/>
      <c r="G118" s="60"/>
      <c r="H118" s="56"/>
      <c r="I118" s="56"/>
    </row>
    <row r="119" spans="1:11" ht="18" x14ac:dyDescent="0.25">
      <c r="A119" s="60"/>
      <c r="B119" s="56"/>
      <c r="C119" s="56"/>
      <c r="G119" s="60"/>
      <c r="H119" s="56"/>
      <c r="I119" s="56"/>
    </row>
    <row r="120" spans="1:11" ht="18.75" thickBot="1" x14ac:dyDescent="0.3">
      <c r="A120" s="66"/>
      <c r="B120" s="56"/>
      <c r="C120" s="64"/>
      <c r="G120" s="66"/>
      <c r="H120" s="56"/>
      <c r="I120" s="64"/>
    </row>
    <row r="121" spans="1:11" ht="24" thickBot="1" x14ac:dyDescent="0.3">
      <c r="A121" s="68">
        <f>SUM(A98:A120)</f>
        <v>0</v>
      </c>
      <c r="B121" s="69">
        <f>SUM(B98:B120)</f>
        <v>0</v>
      </c>
      <c r="D121" s="314" t="str">
        <f>IF(E121&gt;0,"زيادة","عجز")</f>
        <v>عجز</v>
      </c>
      <c r="E121" s="99">
        <f>E126-E122</f>
        <v>0</v>
      </c>
      <c r="G121" s="68">
        <f>SUM(G98:G120)</f>
        <v>0</v>
      </c>
      <c r="H121" s="69">
        <f>SUM(H98:H120)</f>
        <v>0</v>
      </c>
      <c r="J121" s="314" t="str">
        <f>IF(K122&gt;0,"زيادة","عجز")</f>
        <v>عجز</v>
      </c>
    </row>
    <row r="122" spans="1:11" ht="24" thickBot="1" x14ac:dyDescent="0.3">
      <c r="A122" s="462" t="s">
        <v>139</v>
      </c>
      <c r="B122" s="463"/>
      <c r="C122" s="71" t="s">
        <v>75</v>
      </c>
      <c r="D122" s="135" t="s">
        <v>94</v>
      </c>
      <c r="E122" s="99"/>
      <c r="G122" s="462" t="s">
        <v>139</v>
      </c>
      <c r="H122" s="463"/>
      <c r="I122" s="71" t="s">
        <v>75</v>
      </c>
      <c r="J122" s="135" t="s">
        <v>94</v>
      </c>
      <c r="K122" s="99">
        <f>K127-K123</f>
        <v>0</v>
      </c>
    </row>
    <row r="123" spans="1:11" ht="24" thickBot="1" x14ac:dyDescent="0.3">
      <c r="A123" s="464">
        <f>B121+A121</f>
        <v>0</v>
      </c>
      <c r="B123" s="465"/>
      <c r="C123" s="313"/>
      <c r="D123" s="136" t="s">
        <v>65</v>
      </c>
      <c r="E123" s="85"/>
      <c r="G123" s="464">
        <f>H121+G121</f>
        <v>0</v>
      </c>
      <c r="H123" s="465"/>
      <c r="I123" s="313"/>
      <c r="J123" s="136" t="s">
        <v>65</v>
      </c>
      <c r="K123" s="99"/>
    </row>
    <row r="124" spans="1:11" ht="24" thickBot="1" x14ac:dyDescent="0.3">
      <c r="A124" s="466" t="s">
        <v>99</v>
      </c>
      <c r="B124" s="467"/>
      <c r="C124" s="78">
        <f>A125-C125</f>
        <v>0</v>
      </c>
      <c r="D124" s="82" t="s">
        <v>344</v>
      </c>
      <c r="E124" s="83"/>
      <c r="G124" s="466" t="s">
        <v>99</v>
      </c>
      <c r="H124" s="467"/>
      <c r="I124" s="78">
        <f>G125-I125</f>
        <v>0</v>
      </c>
      <c r="J124" s="82"/>
      <c r="K124" s="85"/>
    </row>
    <row r="125" spans="1:11" ht="24" thickBot="1" x14ac:dyDescent="0.3">
      <c r="A125" s="468">
        <f>C123+A123</f>
        <v>0</v>
      </c>
      <c r="B125" s="469"/>
      <c r="C125" s="121"/>
      <c r="D125" s="82"/>
      <c r="E125" s="83"/>
      <c r="G125" s="468">
        <f>I123+G123</f>
        <v>0</v>
      </c>
      <c r="H125" s="469"/>
      <c r="I125" s="121"/>
      <c r="J125" s="82"/>
      <c r="K125" s="83"/>
    </row>
    <row r="126" spans="1:11" ht="24" thickBot="1" x14ac:dyDescent="0.3">
      <c r="C126" s="314" t="str">
        <f>IF(C124&gt;0,"زيادة","عجز")</f>
        <v>عجز</v>
      </c>
      <c r="D126" s="82" t="s">
        <v>164</v>
      </c>
      <c r="E126" s="83">
        <f>SUM(E123:E125)</f>
        <v>0</v>
      </c>
      <c r="I126" s="314" t="str">
        <f>IF(I124&gt;0,"زيادة","عجز")</f>
        <v>عجز</v>
      </c>
      <c r="J126" s="82" t="s">
        <v>164</v>
      </c>
      <c r="K126" s="83"/>
    </row>
    <row r="127" spans="1:11" ht="19.5" thickBot="1" x14ac:dyDescent="0.3">
      <c r="D127" s="318"/>
      <c r="J127" s="318"/>
      <c r="K127" s="83">
        <f>SUM(K124:K126)</f>
        <v>0</v>
      </c>
    </row>
    <row r="128" spans="1:11" x14ac:dyDescent="0.25">
      <c r="A128">
        <f>10+10+10+10+10</f>
        <v>50</v>
      </c>
    </row>
    <row r="137" spans="1:7" ht="15.75" thickBot="1" x14ac:dyDescent="0.3"/>
    <row r="138" spans="1:7" ht="24" thickBot="1" x14ac:dyDescent="0.3">
      <c r="A138" s="425" t="s">
        <v>59</v>
      </c>
      <c r="B138" s="460">
        <v>45127</v>
      </c>
      <c r="C138" s="461"/>
    </row>
    <row r="139" spans="1:7" ht="21" thickBot="1" x14ac:dyDescent="0.3">
      <c r="A139" s="53" t="s">
        <v>137</v>
      </c>
      <c r="B139" s="53" t="s">
        <v>3</v>
      </c>
      <c r="C139" s="53" t="s">
        <v>138</v>
      </c>
      <c r="G139">
        <f>3459-378-378+150-73+63</f>
        <v>2843</v>
      </c>
    </row>
    <row r="140" spans="1:7" ht="18" x14ac:dyDescent="0.25">
      <c r="A140" s="55"/>
      <c r="B140" s="77"/>
      <c r="C140" s="57"/>
    </row>
    <row r="141" spans="1:7" ht="18" x14ac:dyDescent="0.25">
      <c r="A141" s="60"/>
      <c r="B141" s="56"/>
      <c r="C141" s="57"/>
    </row>
    <row r="142" spans="1:7" ht="18" x14ac:dyDescent="0.25">
      <c r="A142" s="60"/>
      <c r="B142" s="77"/>
      <c r="C142" s="57"/>
    </row>
    <row r="143" spans="1:7" ht="18" x14ac:dyDescent="0.25">
      <c r="A143" s="60"/>
      <c r="B143" s="56"/>
      <c r="C143" s="57"/>
    </row>
    <row r="144" spans="1:7" ht="18" x14ac:dyDescent="0.25">
      <c r="A144" s="60"/>
      <c r="B144" s="77"/>
      <c r="C144" s="57"/>
    </row>
    <row r="145" spans="1:3" ht="18" x14ac:dyDescent="0.25">
      <c r="A145" s="60"/>
      <c r="B145" s="77"/>
      <c r="C145" s="56"/>
    </row>
    <row r="146" spans="1:3" ht="18" x14ac:dyDescent="0.25">
      <c r="A146" s="60"/>
      <c r="B146" s="56"/>
      <c r="C146" s="56"/>
    </row>
    <row r="147" spans="1:3" ht="18" x14ac:dyDescent="0.25">
      <c r="A147" s="60"/>
      <c r="B147" s="56"/>
      <c r="C147" s="56"/>
    </row>
    <row r="148" spans="1:3" ht="18" x14ac:dyDescent="0.25">
      <c r="A148" s="60"/>
      <c r="B148" s="56"/>
      <c r="C148" s="56"/>
    </row>
    <row r="149" spans="1:3" ht="18" x14ac:dyDescent="0.25">
      <c r="A149" s="60"/>
      <c r="B149" s="56"/>
      <c r="C149" s="56"/>
    </row>
    <row r="150" spans="1:3" ht="18" x14ac:dyDescent="0.25">
      <c r="A150" s="60"/>
      <c r="B150" s="56"/>
      <c r="C150" s="56"/>
    </row>
    <row r="151" spans="1:3" ht="18" x14ac:dyDescent="0.25">
      <c r="A151" s="60"/>
      <c r="B151" s="56"/>
      <c r="C151" s="56"/>
    </row>
    <row r="152" spans="1:3" ht="18" x14ac:dyDescent="0.25">
      <c r="A152" s="60"/>
      <c r="B152" s="56"/>
      <c r="C152" s="56"/>
    </row>
    <row r="153" spans="1:3" ht="18" x14ac:dyDescent="0.25">
      <c r="A153" s="60"/>
      <c r="B153" s="56"/>
      <c r="C153" s="56"/>
    </row>
    <row r="154" spans="1:3" ht="18" x14ac:dyDescent="0.25">
      <c r="A154" s="60"/>
      <c r="B154" s="56"/>
      <c r="C154" s="56"/>
    </row>
    <row r="155" spans="1:3" ht="18" x14ac:dyDescent="0.25">
      <c r="A155" s="60"/>
      <c r="B155" s="56"/>
      <c r="C155" s="56"/>
    </row>
    <row r="156" spans="1:3" ht="18" x14ac:dyDescent="0.25">
      <c r="A156" s="60"/>
      <c r="B156" s="56"/>
      <c r="C156" s="56"/>
    </row>
    <row r="157" spans="1:3" ht="18" x14ac:dyDescent="0.25">
      <c r="A157" s="60"/>
      <c r="B157" s="56"/>
      <c r="C157" s="56"/>
    </row>
    <row r="158" spans="1:3" ht="18" x14ac:dyDescent="0.25">
      <c r="A158" s="60"/>
      <c r="B158" s="56"/>
      <c r="C158" s="56"/>
    </row>
    <row r="159" spans="1:3" ht="18" x14ac:dyDescent="0.25">
      <c r="A159" s="60"/>
      <c r="B159" s="56"/>
      <c r="C159" s="56"/>
    </row>
    <row r="160" spans="1:3" ht="18" x14ac:dyDescent="0.25">
      <c r="A160" s="60"/>
      <c r="B160" s="56"/>
      <c r="C160" s="56"/>
    </row>
    <row r="161" spans="1:5" ht="18" x14ac:dyDescent="0.25">
      <c r="A161" s="60"/>
      <c r="B161" s="56"/>
      <c r="C161" s="56"/>
    </row>
    <row r="162" spans="1:5" ht="18.75" thickBot="1" x14ac:dyDescent="0.3">
      <c r="A162" s="66"/>
      <c r="B162" s="56"/>
      <c r="C162" s="64"/>
    </row>
    <row r="163" spans="1:5" ht="24" thickBot="1" x14ac:dyDescent="0.3">
      <c r="A163" s="68">
        <f>SUM(A140:A162)</f>
        <v>0</v>
      </c>
      <c r="B163" s="69">
        <f>SUM(B140:B162)</f>
        <v>0</v>
      </c>
      <c r="D163" s="314" t="str">
        <f>IF(E163&gt;0,"زيادة","عجز")</f>
        <v>عجز</v>
      </c>
      <c r="E163" s="99">
        <f>E168-E164</f>
        <v>0</v>
      </c>
    </row>
    <row r="164" spans="1:5" ht="24" thickBot="1" x14ac:dyDescent="0.3">
      <c r="A164" s="462" t="s">
        <v>139</v>
      </c>
      <c r="B164" s="463"/>
      <c r="C164" s="71" t="s">
        <v>75</v>
      </c>
      <c r="D164" s="135" t="s">
        <v>94</v>
      </c>
      <c r="E164" s="99"/>
    </row>
    <row r="165" spans="1:5" ht="24" thickBot="1" x14ac:dyDescent="0.3">
      <c r="A165" s="464">
        <f>B163+A163</f>
        <v>0</v>
      </c>
      <c r="B165" s="465"/>
      <c r="C165" s="313"/>
      <c r="D165" s="136" t="s">
        <v>65</v>
      </c>
      <c r="E165" s="85"/>
    </row>
    <row r="166" spans="1:5" ht="24" thickBot="1" x14ac:dyDescent="0.3">
      <c r="A166" s="466" t="s">
        <v>99</v>
      </c>
      <c r="B166" s="467"/>
      <c r="C166" s="78">
        <f>A167-C167</f>
        <v>0</v>
      </c>
      <c r="D166" s="82"/>
      <c r="E166" s="83"/>
    </row>
    <row r="167" spans="1:5" ht="24" thickBot="1" x14ac:dyDescent="0.3">
      <c r="A167" s="468">
        <f>C165+A165</f>
        <v>0</v>
      </c>
      <c r="B167" s="469"/>
      <c r="C167" s="121"/>
      <c r="D167" s="82"/>
      <c r="E167" s="83"/>
    </row>
    <row r="168" spans="1:5" ht="24" thickBot="1" x14ac:dyDescent="0.3">
      <c r="C168" s="314" t="str">
        <f>IF(C166&gt;0,"زيادة","عجز")</f>
        <v>عجز</v>
      </c>
      <c r="D168" s="82" t="s">
        <v>164</v>
      </c>
      <c r="E168" s="83">
        <f>SUM(E165:E167)</f>
        <v>0</v>
      </c>
    </row>
    <row r="169" spans="1:5" ht="18.75" x14ac:dyDescent="0.25">
      <c r="D169" s="318"/>
    </row>
    <row r="183" spans="3:6" x14ac:dyDescent="0.25">
      <c r="C183" t="s">
        <v>1414</v>
      </c>
      <c r="D183">
        <v>1</v>
      </c>
    </row>
    <row r="184" spans="3:6" x14ac:dyDescent="0.25">
      <c r="C184" t="s">
        <v>1414</v>
      </c>
      <c r="D184">
        <v>2</v>
      </c>
    </row>
    <row r="185" spans="3:6" x14ac:dyDescent="0.25">
      <c r="C185" t="s">
        <v>1414</v>
      </c>
      <c r="D185">
        <v>3</v>
      </c>
    </row>
    <row r="186" spans="3:6" x14ac:dyDescent="0.25">
      <c r="C186" t="s">
        <v>1414</v>
      </c>
      <c r="D186">
        <v>4</v>
      </c>
      <c r="F186" t="s">
        <v>1414</v>
      </c>
    </row>
  </sheetData>
  <mergeCells count="41">
    <mergeCell ref="B2:C2"/>
    <mergeCell ref="H2:I2"/>
    <mergeCell ref="A26:B26"/>
    <mergeCell ref="G26:H26"/>
    <mergeCell ref="A27:B27"/>
    <mergeCell ref="G27:H27"/>
    <mergeCell ref="A28:B28"/>
    <mergeCell ref="G28:H28"/>
    <mergeCell ref="A29:B29"/>
    <mergeCell ref="G29:H29"/>
    <mergeCell ref="B34:C34"/>
    <mergeCell ref="H34:I34"/>
    <mergeCell ref="A92:B92"/>
    <mergeCell ref="G92:H92"/>
    <mergeCell ref="D51:E51"/>
    <mergeCell ref="G57:H57"/>
    <mergeCell ref="G58:H58"/>
    <mergeCell ref="G59:H59"/>
    <mergeCell ref="G60:H60"/>
    <mergeCell ref="B63:C63"/>
    <mergeCell ref="H63:I63"/>
    <mergeCell ref="J87:K87"/>
    <mergeCell ref="G89:H89"/>
    <mergeCell ref="G90:H90"/>
    <mergeCell ref="A91:B91"/>
    <mergeCell ref="G91:H91"/>
    <mergeCell ref="B96:C96"/>
    <mergeCell ref="H96:I96"/>
    <mergeCell ref="A122:B122"/>
    <mergeCell ref="G122:H122"/>
    <mergeCell ref="A123:B123"/>
    <mergeCell ref="G123:H123"/>
    <mergeCell ref="A165:B165"/>
    <mergeCell ref="A166:B166"/>
    <mergeCell ref="A167:B167"/>
    <mergeCell ref="A124:B124"/>
    <mergeCell ref="G124:H124"/>
    <mergeCell ref="A125:B125"/>
    <mergeCell ref="G125:H125"/>
    <mergeCell ref="B138:C138"/>
    <mergeCell ref="A164:B164"/>
  </mergeCells>
  <conditionalFormatting sqref="C93">
    <cfRule type="expression" dxfId="467" priority="1">
      <formula>#REF!="عجز"</formula>
    </cfRule>
    <cfRule type="expression" dxfId="466" priority="2">
      <formula>#REF!="زيادة"</formula>
    </cfRule>
  </conditionalFormatting>
  <conditionalFormatting sqref="C126">
    <cfRule type="expression" dxfId="465" priority="17">
      <formula>#REF!="عجز"</formula>
    </cfRule>
    <cfRule type="expression" dxfId="464" priority="18">
      <formula>#REF!="زيادة"</formula>
    </cfRule>
  </conditionalFormatting>
  <conditionalFormatting sqref="C168">
    <cfRule type="expression" dxfId="463" priority="9">
      <formula>#REF!="عجز"</formula>
    </cfRule>
    <cfRule type="expression" dxfId="462" priority="10">
      <formula>#REF!="زيادة"</formula>
    </cfRule>
  </conditionalFormatting>
  <conditionalFormatting sqref="D24 J25 C30 I30 J56 C58 I61:I62">
    <cfRule type="expression" dxfId="461" priority="23">
      <formula>#REF!="عجز"</formula>
    </cfRule>
    <cfRule type="expression" dxfId="460" priority="24">
      <formula>#REF!="زيادة"</formula>
    </cfRule>
  </conditionalFormatting>
  <conditionalFormatting sqref="D52">
    <cfRule type="expression" dxfId="459" priority="19">
      <formula>#REF!="عجز"</formula>
    </cfRule>
    <cfRule type="expression" dxfId="458" priority="20">
      <formula>#REF!="زيادة"</formula>
    </cfRule>
  </conditionalFormatting>
  <conditionalFormatting sqref="D88">
    <cfRule type="expression" dxfId="457" priority="3">
      <formula>#REF!="عجز"</formula>
    </cfRule>
    <cfRule type="expression" dxfId="456" priority="4">
      <formula>#REF!="زيادة"</formula>
    </cfRule>
  </conditionalFormatting>
  <conditionalFormatting sqref="D121">
    <cfRule type="expression" dxfId="455" priority="15">
      <formula>#REF!="عجز"</formula>
    </cfRule>
    <cfRule type="expression" dxfId="454" priority="16">
      <formula>#REF!="زيادة"</formula>
    </cfRule>
  </conditionalFormatting>
  <conditionalFormatting sqref="D163">
    <cfRule type="expression" dxfId="453" priority="7">
      <formula>#REF!="عجز"</formula>
    </cfRule>
    <cfRule type="expression" dxfId="452" priority="8">
      <formula>#REF!="زيادة"</formula>
    </cfRule>
  </conditionalFormatting>
  <conditionalFormatting sqref="I93">
    <cfRule type="expression" dxfId="451" priority="21">
      <formula>#REF!="عجز"</formula>
    </cfRule>
    <cfRule type="expression" dxfId="450" priority="22">
      <formula>#REF!="زيادة"</formula>
    </cfRule>
  </conditionalFormatting>
  <conditionalFormatting sqref="I126">
    <cfRule type="expression" dxfId="449" priority="13">
      <formula>#REF!="عجز"</formula>
    </cfRule>
    <cfRule type="expression" dxfId="448" priority="14">
      <formula>#REF!="زيادة"</formula>
    </cfRule>
  </conditionalFormatting>
  <conditionalFormatting sqref="J88">
    <cfRule type="expression" dxfId="447" priority="5">
      <formula>#REF!="عجز"</formula>
    </cfRule>
    <cfRule type="expression" dxfId="446" priority="6">
      <formula>#REF!="زيادة"</formula>
    </cfRule>
  </conditionalFormatting>
  <conditionalFormatting sqref="J121">
    <cfRule type="expression" dxfId="445" priority="11">
      <formula>#REF!="عجز"</formula>
    </cfRule>
    <cfRule type="expression" dxfId="444" priority="12">
      <formula>#REF!="زيادة"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B5E39-0CBC-48AD-89F2-67AAE76DD462}">
  <dimension ref="A1:K186"/>
  <sheetViews>
    <sheetView rightToLeft="1" zoomScale="85" zoomScaleNormal="85" workbookViewId="0">
      <selection activeCell="G108" sqref="G108"/>
    </sheetView>
  </sheetViews>
  <sheetFormatPr defaultRowHeight="15" x14ac:dyDescent="0.25"/>
  <cols>
    <col min="1" max="1" width="39.140625" customWidth="1"/>
    <col min="2" max="2" width="18.7109375" bestFit="1" customWidth="1"/>
    <col min="3" max="3" width="26.7109375" customWidth="1"/>
    <col min="4" max="4" width="12.28515625" customWidth="1"/>
    <col min="5" max="5" width="10" customWidth="1"/>
    <col min="7" max="7" width="39.140625" customWidth="1"/>
    <col min="8" max="8" width="11.7109375" bestFit="1" customWidth="1"/>
    <col min="9" max="9" width="26.7109375" customWidth="1"/>
    <col min="10" max="10" width="16.7109375" bestFit="1" customWidth="1"/>
    <col min="11" max="11" width="11" bestFit="1" customWidth="1"/>
  </cols>
  <sheetData>
    <row r="1" spans="1:11" ht="15.75" thickBot="1" x14ac:dyDescent="0.3"/>
    <row r="2" spans="1:11" ht="24" thickBot="1" x14ac:dyDescent="0.3">
      <c r="A2" s="76" t="s">
        <v>300</v>
      </c>
      <c r="B2" s="460">
        <v>45134</v>
      </c>
      <c r="C2" s="461"/>
      <c r="G2" s="76" t="s">
        <v>1502</v>
      </c>
      <c r="H2" s="460">
        <v>45134</v>
      </c>
      <c r="I2" s="461"/>
    </row>
    <row r="3" spans="1:11" ht="21" thickBot="1" x14ac:dyDescent="0.3">
      <c r="A3" s="53" t="s">
        <v>137</v>
      </c>
      <c r="B3" s="53" t="s">
        <v>3</v>
      </c>
      <c r="C3" s="53" t="s">
        <v>138</v>
      </c>
      <c r="G3" s="53" t="s">
        <v>137</v>
      </c>
      <c r="H3" s="53" t="s">
        <v>3</v>
      </c>
      <c r="I3" s="53" t="s">
        <v>138</v>
      </c>
    </row>
    <row r="4" spans="1:11" ht="18" x14ac:dyDescent="0.25">
      <c r="A4" s="55">
        <f>5000+3050+500+500+255</f>
        <v>9305</v>
      </c>
      <c r="B4" s="57">
        <v>30</v>
      </c>
      <c r="C4" s="56" t="s">
        <v>1318</v>
      </c>
      <c r="G4" s="55">
        <f>10000+4300+258-100</f>
        <v>14458</v>
      </c>
      <c r="H4" s="77">
        <v>75</v>
      </c>
      <c r="I4" s="57" t="s">
        <v>13</v>
      </c>
    </row>
    <row r="5" spans="1:11" ht="18" x14ac:dyDescent="0.25">
      <c r="A5" s="60"/>
      <c r="B5" s="56">
        <v>20</v>
      </c>
      <c r="C5" s="56" t="s">
        <v>73</v>
      </c>
      <c r="G5" s="60"/>
      <c r="H5" s="56">
        <v>8</v>
      </c>
      <c r="I5" s="57" t="s">
        <v>1503</v>
      </c>
    </row>
    <row r="6" spans="1:11" ht="18" x14ac:dyDescent="0.25">
      <c r="A6" s="60"/>
      <c r="B6" s="77">
        <v>10</v>
      </c>
      <c r="C6" s="56" t="s">
        <v>446</v>
      </c>
      <c r="G6" s="60"/>
      <c r="H6" s="77">
        <v>133</v>
      </c>
      <c r="I6" s="57" t="s">
        <v>300</v>
      </c>
    </row>
    <row r="7" spans="1:11" ht="18" x14ac:dyDescent="0.25">
      <c r="A7" s="60"/>
      <c r="B7" s="77">
        <v>10</v>
      </c>
      <c r="C7" s="56" t="s">
        <v>447</v>
      </c>
      <c r="G7" s="60"/>
      <c r="H7" s="56">
        <v>114</v>
      </c>
      <c r="I7" s="57" t="s">
        <v>38</v>
      </c>
    </row>
    <row r="8" spans="1:11" ht="18" x14ac:dyDescent="0.25">
      <c r="A8" s="60"/>
      <c r="B8" s="56">
        <v>15</v>
      </c>
      <c r="C8" s="56" t="s">
        <v>1134</v>
      </c>
      <c r="G8" s="60"/>
      <c r="H8" s="77"/>
      <c r="I8" s="57"/>
      <c r="K8">
        <f>322-25</f>
        <v>297</v>
      </c>
    </row>
    <row r="9" spans="1:11" ht="18" x14ac:dyDescent="0.25">
      <c r="A9" s="60"/>
      <c r="B9" s="77">
        <v>195</v>
      </c>
      <c r="C9" s="56" t="s">
        <v>7</v>
      </c>
      <c r="G9" s="60"/>
      <c r="H9" s="77"/>
      <c r="I9" s="57"/>
    </row>
    <row r="10" spans="1:11" ht="18" x14ac:dyDescent="0.25">
      <c r="A10" s="60"/>
      <c r="B10" s="56">
        <v>175</v>
      </c>
      <c r="C10" s="56" t="s">
        <v>373</v>
      </c>
      <c r="G10" s="60"/>
      <c r="H10" s="56"/>
      <c r="I10" s="57"/>
    </row>
    <row r="11" spans="1:11" ht="18" x14ac:dyDescent="0.25">
      <c r="A11" s="60"/>
      <c r="B11" s="77">
        <v>180</v>
      </c>
      <c r="C11" s="56" t="s">
        <v>399</v>
      </c>
      <c r="G11" s="60"/>
      <c r="H11" s="56"/>
      <c r="I11" s="56"/>
    </row>
    <row r="12" spans="1:11" ht="18" x14ac:dyDescent="0.25">
      <c r="A12" s="60"/>
      <c r="B12" s="77">
        <v>275</v>
      </c>
      <c r="C12" s="56" t="s">
        <v>8</v>
      </c>
      <c r="G12" s="60"/>
      <c r="H12" s="56"/>
      <c r="I12" s="56"/>
    </row>
    <row r="13" spans="1:11" ht="18" x14ac:dyDescent="0.25">
      <c r="A13" s="60"/>
      <c r="B13" s="56">
        <v>2645</v>
      </c>
      <c r="C13" s="56" t="s">
        <v>345</v>
      </c>
      <c r="G13" s="60"/>
      <c r="H13" s="56"/>
      <c r="I13" s="56"/>
    </row>
    <row r="14" spans="1:11" ht="18" x14ac:dyDescent="0.25">
      <c r="A14" s="60"/>
      <c r="B14" s="77">
        <v>610</v>
      </c>
      <c r="C14" s="56" t="s">
        <v>11</v>
      </c>
      <c r="G14" s="60"/>
      <c r="H14" s="56"/>
      <c r="I14" s="56"/>
    </row>
    <row r="15" spans="1:11" ht="18" x14ac:dyDescent="0.25">
      <c r="A15" s="60"/>
      <c r="B15" s="56">
        <v>3320</v>
      </c>
      <c r="C15" s="56" t="s">
        <v>77</v>
      </c>
      <c r="G15" s="60"/>
      <c r="H15" s="56"/>
      <c r="I15" s="56"/>
    </row>
    <row r="16" spans="1:11" ht="18" x14ac:dyDescent="0.25">
      <c r="A16" s="60"/>
      <c r="B16" s="77"/>
      <c r="C16" s="56"/>
      <c r="G16" s="60"/>
      <c r="H16" s="56"/>
      <c r="I16" s="56"/>
    </row>
    <row r="17" spans="1:11" ht="18" x14ac:dyDescent="0.25">
      <c r="A17" s="60"/>
      <c r="B17" s="77"/>
      <c r="C17" s="56"/>
      <c r="G17" s="60"/>
      <c r="H17" s="56"/>
      <c r="I17" s="56"/>
    </row>
    <row r="18" spans="1:11" ht="18" x14ac:dyDescent="0.25">
      <c r="A18" s="60"/>
      <c r="B18" s="56"/>
      <c r="C18" s="56"/>
      <c r="G18" s="60"/>
      <c r="H18" s="56"/>
      <c r="I18" s="56"/>
    </row>
    <row r="19" spans="1:11" ht="18" x14ac:dyDescent="0.25">
      <c r="A19" s="60"/>
      <c r="B19" s="56"/>
      <c r="C19" s="56"/>
      <c r="G19" s="60"/>
      <c r="H19" s="56"/>
      <c r="I19" s="56"/>
    </row>
    <row r="20" spans="1:11" ht="18" x14ac:dyDescent="0.25">
      <c r="A20" s="60"/>
      <c r="B20" s="56"/>
      <c r="C20" s="56"/>
      <c r="G20" s="60"/>
      <c r="H20" s="56"/>
      <c r="I20" s="56"/>
    </row>
    <row r="21" spans="1:11" ht="18" x14ac:dyDescent="0.25">
      <c r="A21" s="60"/>
      <c r="B21" s="56"/>
      <c r="C21" s="56"/>
      <c r="G21" s="60"/>
      <c r="H21" s="56"/>
      <c r="I21" s="56"/>
    </row>
    <row r="22" spans="1:11" ht="18" x14ac:dyDescent="0.25">
      <c r="A22" s="60"/>
      <c r="B22" s="56"/>
      <c r="C22" s="56"/>
      <c r="G22" s="60"/>
      <c r="H22" s="56"/>
      <c r="I22" s="56"/>
    </row>
    <row r="23" spans="1:11" ht="18.75" thickBot="1" x14ac:dyDescent="0.3">
      <c r="A23" s="60"/>
      <c r="B23" s="56"/>
      <c r="C23" s="56"/>
      <c r="G23" s="60"/>
      <c r="I23" s="56"/>
    </row>
    <row r="24" spans="1:11" ht="24" thickBot="1" x14ac:dyDescent="0.3">
      <c r="A24" s="66"/>
      <c r="B24" s="56"/>
      <c r="C24" s="64"/>
      <c r="D24" s="314" t="str">
        <f>IF(E24&gt;0,"زيادة","عجز")</f>
        <v>زيادة</v>
      </c>
      <c r="E24" s="99">
        <f>E29-E25</f>
        <v>57</v>
      </c>
      <c r="G24" s="66"/>
      <c r="H24" s="56"/>
      <c r="I24" s="64"/>
    </row>
    <row r="25" spans="1:11" ht="24" thickBot="1" x14ac:dyDescent="0.3">
      <c r="A25" s="68">
        <f>SUM(A4:A24)</f>
        <v>9305</v>
      </c>
      <c r="B25" s="69">
        <f>SUM(B4:B24)</f>
        <v>7485</v>
      </c>
      <c r="D25" s="135" t="s">
        <v>94</v>
      </c>
      <c r="E25" s="99">
        <f>16946-16042</f>
        <v>904</v>
      </c>
      <c r="G25" s="68">
        <f>SUM(G4:G24)</f>
        <v>14458</v>
      </c>
      <c r="H25" s="69">
        <f>SUM(H4:H24)</f>
        <v>330</v>
      </c>
      <c r="J25" s="314" t="str">
        <f>IF(K25&gt;0,"زيادة","عجز")</f>
        <v>زيادة</v>
      </c>
      <c r="K25" s="99">
        <f>K30-K26</f>
        <v>58</v>
      </c>
    </row>
    <row r="26" spans="1:11" ht="24" thickBot="1" x14ac:dyDescent="0.3">
      <c r="A26" s="462" t="s">
        <v>139</v>
      </c>
      <c r="B26" s="463"/>
      <c r="C26" s="71" t="s">
        <v>75</v>
      </c>
      <c r="D26" s="136" t="s">
        <v>65</v>
      </c>
      <c r="E26" s="85">
        <f>400+95</f>
        <v>495</v>
      </c>
      <c r="G26" s="462" t="s">
        <v>139</v>
      </c>
      <c r="H26" s="463"/>
      <c r="I26" s="71" t="s">
        <v>75</v>
      </c>
      <c r="J26" s="135" t="s">
        <v>94</v>
      </c>
      <c r="K26" s="99">
        <f>16042-13214</f>
        <v>2828</v>
      </c>
    </row>
    <row r="27" spans="1:11" ht="24" thickBot="1" x14ac:dyDescent="0.3">
      <c r="A27" s="464">
        <f>B25+A25</f>
        <v>16790</v>
      </c>
      <c r="B27" s="465"/>
      <c r="C27" s="313">
        <f>35+118+10</f>
        <v>163</v>
      </c>
      <c r="D27" s="82" t="s">
        <v>19</v>
      </c>
      <c r="E27" s="83">
        <f>63+403</f>
        <v>466</v>
      </c>
      <c r="G27" s="464">
        <f>H25+G25</f>
        <v>14788</v>
      </c>
      <c r="H27" s="465"/>
      <c r="I27" s="313">
        <f>11+142+141+458</f>
        <v>752</v>
      </c>
      <c r="J27" s="136" t="s">
        <v>65</v>
      </c>
      <c r="K27" s="85">
        <f>1+195+1+1+2550+120</f>
        <v>2868</v>
      </c>
    </row>
    <row r="28" spans="1:11" ht="24" thickBot="1" x14ac:dyDescent="0.3">
      <c r="A28" s="466" t="s">
        <v>99</v>
      </c>
      <c r="B28" s="467"/>
      <c r="C28" s="78">
        <f>A29-C29</f>
        <v>-22</v>
      </c>
      <c r="D28" s="82"/>
      <c r="E28" s="83"/>
      <c r="G28" s="466" t="s">
        <v>99</v>
      </c>
      <c r="H28" s="467"/>
      <c r="I28" s="78">
        <f>G29-I29</f>
        <v>-172</v>
      </c>
      <c r="J28" s="82" t="s">
        <v>52</v>
      </c>
      <c r="K28" s="83">
        <v>18</v>
      </c>
    </row>
    <row r="29" spans="1:11" ht="24" thickBot="1" x14ac:dyDescent="0.3">
      <c r="A29" s="468">
        <f>C27+A27</f>
        <v>16953</v>
      </c>
      <c r="B29" s="469"/>
      <c r="C29" s="121">
        <f>16781+194</f>
        <v>16975</v>
      </c>
      <c r="D29" s="82" t="s">
        <v>164</v>
      </c>
      <c r="E29" s="83">
        <f>SUM(E26:E28)</f>
        <v>961</v>
      </c>
      <c r="G29" s="468">
        <f>I27+G27</f>
        <v>15540</v>
      </c>
      <c r="H29" s="469"/>
      <c r="I29" s="121">
        <f>15414+298</f>
        <v>15712</v>
      </c>
      <c r="J29" s="82"/>
      <c r="K29" s="83"/>
    </row>
    <row r="30" spans="1:11" ht="24" thickBot="1" x14ac:dyDescent="0.3">
      <c r="C30" s="314" t="str">
        <f>IF(C28&gt;0,"زيادة","عجز")</f>
        <v>عجز</v>
      </c>
      <c r="D30" s="318"/>
      <c r="I30" s="314" t="str">
        <f>IF(I28&gt;0,"زيادة","عجز")</f>
        <v>عجز</v>
      </c>
      <c r="J30" s="82" t="s">
        <v>164</v>
      </c>
      <c r="K30" s="83">
        <f>SUM(K27:K29)</f>
        <v>2886</v>
      </c>
    </row>
    <row r="31" spans="1:11" ht="18.75" x14ac:dyDescent="0.25">
      <c r="J31" s="318"/>
    </row>
    <row r="33" spans="1:11" ht="15.75" thickBot="1" x14ac:dyDescent="0.3"/>
    <row r="34" spans="1:11" ht="24" thickBot="1" x14ac:dyDescent="0.3">
      <c r="A34" s="76" t="s">
        <v>85</v>
      </c>
      <c r="B34" s="460">
        <v>45133</v>
      </c>
      <c r="C34" s="474"/>
      <c r="G34" s="76" t="s">
        <v>363</v>
      </c>
      <c r="H34" s="460">
        <v>45134</v>
      </c>
      <c r="I34" s="461"/>
    </row>
    <row r="35" spans="1:11" ht="21" thickBot="1" x14ac:dyDescent="0.3">
      <c r="A35" s="53" t="s">
        <v>137</v>
      </c>
      <c r="B35" s="53" t="s">
        <v>3</v>
      </c>
      <c r="C35" s="53" t="s">
        <v>138</v>
      </c>
      <c r="G35" s="53" t="s">
        <v>137</v>
      </c>
      <c r="H35" s="53" t="s">
        <v>3</v>
      </c>
      <c r="I35" s="53" t="s">
        <v>138</v>
      </c>
    </row>
    <row r="36" spans="1:11" ht="18" x14ac:dyDescent="0.25">
      <c r="A36" s="55">
        <f>10000+500+40</f>
        <v>10540</v>
      </c>
      <c r="B36" s="77">
        <v>50</v>
      </c>
      <c r="C36" s="57" t="s">
        <v>1511</v>
      </c>
      <c r="G36" s="55">
        <f>10000+8200+1100+205</f>
        <v>19505</v>
      </c>
      <c r="H36" s="77">
        <v>10</v>
      </c>
      <c r="I36" s="57" t="s">
        <v>373</v>
      </c>
    </row>
    <row r="37" spans="1:11" ht="18" x14ac:dyDescent="0.25">
      <c r="A37" s="60"/>
      <c r="B37" s="56">
        <v>260</v>
      </c>
      <c r="C37" s="57" t="s">
        <v>1512</v>
      </c>
      <c r="G37" s="60"/>
      <c r="H37" s="56"/>
      <c r="I37" s="57"/>
    </row>
    <row r="38" spans="1:11" ht="18" x14ac:dyDescent="0.25">
      <c r="A38" s="60"/>
      <c r="B38" s="77">
        <v>100</v>
      </c>
      <c r="C38" s="77" t="s">
        <v>1513</v>
      </c>
      <c r="G38" s="60"/>
      <c r="H38" s="77"/>
      <c r="I38" s="77"/>
    </row>
    <row r="39" spans="1:11" ht="18" x14ac:dyDescent="0.25">
      <c r="A39" s="60"/>
      <c r="B39" s="56">
        <v>185</v>
      </c>
      <c r="C39" s="77" t="s">
        <v>86</v>
      </c>
      <c r="G39" s="60"/>
      <c r="H39" s="56"/>
      <c r="I39" s="77"/>
    </row>
    <row r="40" spans="1:11" ht="18" x14ac:dyDescent="0.25">
      <c r="A40" s="60"/>
      <c r="B40" s="77">
        <v>165</v>
      </c>
      <c r="C40" s="56" t="s">
        <v>15</v>
      </c>
      <c r="G40" s="60"/>
      <c r="H40" s="77"/>
      <c r="I40" s="56"/>
    </row>
    <row r="41" spans="1:11" ht="18" x14ac:dyDescent="0.25">
      <c r="A41" s="60"/>
      <c r="B41" s="77">
        <v>95</v>
      </c>
      <c r="C41" s="56" t="s">
        <v>510</v>
      </c>
      <c r="G41" s="60"/>
      <c r="H41" s="77"/>
      <c r="I41" s="56"/>
    </row>
    <row r="42" spans="1:11" ht="18" x14ac:dyDescent="0.25">
      <c r="A42" s="60"/>
      <c r="B42" s="56"/>
      <c r="C42" s="56"/>
      <c r="G42" s="60"/>
      <c r="H42" s="56"/>
      <c r="I42" s="56"/>
    </row>
    <row r="43" spans="1:11" ht="18" x14ac:dyDescent="0.25">
      <c r="A43" s="60"/>
      <c r="B43" s="56"/>
      <c r="C43" s="56"/>
      <c r="G43" s="60"/>
      <c r="H43" s="56"/>
      <c r="I43" s="56"/>
    </row>
    <row r="44" spans="1:11" ht="18" x14ac:dyDescent="0.25">
      <c r="A44" s="60"/>
      <c r="B44" s="56"/>
      <c r="C44" s="56"/>
      <c r="G44" s="60"/>
      <c r="H44" s="56"/>
      <c r="I44" s="56"/>
    </row>
    <row r="45" spans="1:11" ht="18" x14ac:dyDescent="0.25">
      <c r="A45" s="60"/>
      <c r="B45" s="56"/>
      <c r="C45" s="56"/>
      <c r="G45" s="60"/>
      <c r="H45" s="56"/>
      <c r="I45" s="56"/>
      <c r="K45">
        <f>20+3+10+120+20+8+34+8+14+30+25</f>
        <v>292</v>
      </c>
    </row>
    <row r="46" spans="1:11" ht="18" x14ac:dyDescent="0.25">
      <c r="A46" s="60"/>
      <c r="B46" s="56"/>
      <c r="C46" s="56"/>
      <c r="G46" s="60"/>
      <c r="H46" s="56"/>
      <c r="I46" s="56"/>
    </row>
    <row r="47" spans="1:11" ht="18" x14ac:dyDescent="0.25">
      <c r="A47" s="60"/>
      <c r="B47" s="56"/>
      <c r="C47" s="56"/>
      <c r="G47" s="60"/>
      <c r="H47" s="56"/>
      <c r="I47" s="56"/>
    </row>
    <row r="48" spans="1:11" ht="18" x14ac:dyDescent="0.25">
      <c r="A48" s="60"/>
      <c r="B48" s="56"/>
      <c r="C48" s="56"/>
      <c r="G48" s="60"/>
      <c r="H48" s="56"/>
      <c r="I48" s="56"/>
    </row>
    <row r="49" spans="1:11" ht="18" x14ac:dyDescent="0.25">
      <c r="A49" s="60"/>
      <c r="B49" s="56"/>
      <c r="C49" s="56"/>
      <c r="G49" s="60"/>
      <c r="H49" s="56"/>
      <c r="I49" s="56"/>
    </row>
    <row r="50" spans="1:11" ht="18" x14ac:dyDescent="0.25">
      <c r="A50" s="60"/>
      <c r="B50" s="56"/>
      <c r="C50" s="56"/>
      <c r="G50" s="60"/>
      <c r="H50" s="56"/>
      <c r="I50" s="56"/>
    </row>
    <row r="51" spans="1:11" ht="27" thickBot="1" x14ac:dyDescent="0.45">
      <c r="A51" s="60"/>
      <c r="B51" s="56"/>
      <c r="C51" s="56"/>
      <c r="D51" s="472"/>
      <c r="E51" s="473"/>
      <c r="G51" s="60"/>
      <c r="H51" s="56"/>
      <c r="I51" s="56"/>
    </row>
    <row r="52" spans="1:11" ht="24" thickBot="1" x14ac:dyDescent="0.3">
      <c r="A52" s="66"/>
      <c r="B52" s="56"/>
      <c r="C52" s="64"/>
      <c r="D52" s="314" t="str">
        <f>IF(E52&gt;0,"زيادة","عجز")</f>
        <v>عجز</v>
      </c>
      <c r="E52" s="99">
        <f>E58-E53</f>
        <v>0</v>
      </c>
      <c r="G52" s="60"/>
      <c r="H52" s="56"/>
      <c r="I52" s="56"/>
    </row>
    <row r="53" spans="1:11" ht="24" thickBot="1" x14ac:dyDescent="0.3">
      <c r="A53" s="68">
        <f>SUM(A36:A52)</f>
        <v>10540</v>
      </c>
      <c r="B53" s="69">
        <f>SUM(B36:B52)</f>
        <v>855</v>
      </c>
      <c r="D53" s="135" t="s">
        <v>94</v>
      </c>
      <c r="E53" s="99"/>
      <c r="G53" s="60"/>
      <c r="H53" s="56"/>
      <c r="I53" s="56"/>
    </row>
    <row r="54" spans="1:11" ht="21.75" thickBot="1" x14ac:dyDescent="0.3">
      <c r="A54" s="365" t="s">
        <v>139</v>
      </c>
      <c r="B54" s="366"/>
      <c r="C54" s="71" t="s">
        <v>75</v>
      </c>
      <c r="D54" s="136" t="s">
        <v>65</v>
      </c>
      <c r="E54" s="85"/>
      <c r="G54" s="60"/>
      <c r="H54" s="56"/>
      <c r="I54" s="56"/>
    </row>
    <row r="55" spans="1:11" ht="24" thickBot="1" x14ac:dyDescent="0.3">
      <c r="A55" s="367">
        <f>B53+A53</f>
        <v>11395</v>
      </c>
      <c r="B55" s="368"/>
      <c r="C55" s="313">
        <f>230+224</f>
        <v>454</v>
      </c>
      <c r="D55" s="82"/>
      <c r="E55" s="83"/>
      <c r="G55" s="66"/>
      <c r="H55" s="56"/>
      <c r="I55" s="64"/>
    </row>
    <row r="56" spans="1:11" ht="24" thickBot="1" x14ac:dyDescent="0.3">
      <c r="A56" s="369" t="s">
        <v>99</v>
      </c>
      <c r="B56" s="370"/>
      <c r="C56" s="78">
        <f>A57-C57</f>
        <v>54</v>
      </c>
      <c r="D56" s="82"/>
      <c r="E56" s="83"/>
      <c r="G56" s="68">
        <f>SUM(G36:G55)</f>
        <v>19505</v>
      </c>
      <c r="H56" s="69">
        <f>SUM(H36:H55)</f>
        <v>10</v>
      </c>
      <c r="J56" s="314" t="str">
        <f>IF(K56&gt;0,"زيادة","عجز")</f>
        <v>عجز</v>
      </c>
      <c r="K56" s="99">
        <f>K61-K57</f>
        <v>0</v>
      </c>
    </row>
    <row r="57" spans="1:11" ht="24" thickBot="1" x14ac:dyDescent="0.3">
      <c r="A57" s="371">
        <f>C55+A55</f>
        <v>11849</v>
      </c>
      <c r="B57" s="372"/>
      <c r="C57" s="121">
        <v>11795</v>
      </c>
      <c r="D57" s="82"/>
      <c r="E57" s="83"/>
      <c r="G57" s="462" t="s">
        <v>139</v>
      </c>
      <c r="H57" s="463"/>
      <c r="I57" s="71" t="s">
        <v>75</v>
      </c>
      <c r="J57" s="135" t="s">
        <v>94</v>
      </c>
      <c r="K57" s="99"/>
    </row>
    <row r="58" spans="1:11" ht="24" thickBot="1" x14ac:dyDescent="0.3">
      <c r="C58" s="314" t="str">
        <f>IF(C56&gt;0,"زيادة","عجز")</f>
        <v>زيادة</v>
      </c>
      <c r="D58" s="82" t="s">
        <v>164</v>
      </c>
      <c r="E58" s="83">
        <f>SUM(E54:E57)</f>
        <v>0</v>
      </c>
      <c r="G58" s="464">
        <f>H56+G56</f>
        <v>19515</v>
      </c>
      <c r="H58" s="465"/>
      <c r="I58" s="313">
        <f>157+71+33+274+439+205+458+29+417</f>
        <v>2083</v>
      </c>
      <c r="J58" s="136" t="s">
        <v>65</v>
      </c>
      <c r="K58" s="85"/>
    </row>
    <row r="59" spans="1:11" ht="24" thickBot="1" x14ac:dyDescent="0.3">
      <c r="D59" s="318"/>
      <c r="G59" s="466" t="s">
        <v>99</v>
      </c>
      <c r="H59" s="467"/>
      <c r="I59" s="78">
        <f>G60-I60</f>
        <v>525</v>
      </c>
      <c r="J59" s="82"/>
      <c r="K59" s="83"/>
    </row>
    <row r="60" spans="1:11" ht="24" thickBot="1" x14ac:dyDescent="0.3">
      <c r="G60" s="468">
        <f>I58+G58</f>
        <v>21598</v>
      </c>
      <c r="H60" s="469"/>
      <c r="I60" s="121">
        <v>21073</v>
      </c>
      <c r="J60" s="82"/>
      <c r="K60" s="83"/>
    </row>
    <row r="61" spans="1:11" ht="24" thickBot="1" x14ac:dyDescent="0.3">
      <c r="I61" s="314" t="str">
        <f>IF(I59&gt;0,"زيادة","عجز")</f>
        <v>زيادة</v>
      </c>
      <c r="J61" s="82" t="s">
        <v>164</v>
      </c>
      <c r="K61" s="83">
        <f>SUM(K58:K60)</f>
        <v>0</v>
      </c>
    </row>
    <row r="62" spans="1:11" ht="24" thickBot="1" x14ac:dyDescent="0.3">
      <c r="I62" s="372"/>
      <c r="J62" s="318"/>
    </row>
    <row r="63" spans="1:11" ht="24" thickBot="1" x14ac:dyDescent="0.3">
      <c r="A63" s="76" t="s">
        <v>88</v>
      </c>
      <c r="B63" s="460">
        <v>45133</v>
      </c>
      <c r="C63" s="474"/>
      <c r="G63" s="76" t="s">
        <v>1162</v>
      </c>
      <c r="H63" s="460">
        <v>45134</v>
      </c>
      <c r="I63" s="461"/>
      <c r="J63" s="104"/>
    </row>
    <row r="64" spans="1:11" ht="21" thickBot="1" x14ac:dyDescent="0.3">
      <c r="A64" s="53" t="s">
        <v>137</v>
      </c>
      <c r="B64" s="53" t="s">
        <v>3</v>
      </c>
      <c r="C64" s="53" t="s">
        <v>138</v>
      </c>
      <c r="G64" s="53" t="s">
        <v>137</v>
      </c>
      <c r="H64" s="53" t="s">
        <v>3</v>
      </c>
      <c r="I64" s="53" t="s">
        <v>138</v>
      </c>
    </row>
    <row r="65" spans="1:9" ht="18" x14ac:dyDescent="0.25">
      <c r="A65" s="55">
        <f>5000+2100</f>
        <v>7100</v>
      </c>
      <c r="B65" s="77">
        <v>210</v>
      </c>
      <c r="C65" s="57" t="s">
        <v>799</v>
      </c>
      <c r="G65" s="55">
        <f>10000+1670-500</f>
        <v>11170</v>
      </c>
      <c r="H65" s="77">
        <v>150</v>
      </c>
      <c r="I65" s="57" t="s">
        <v>97</v>
      </c>
    </row>
    <row r="66" spans="1:9" ht="18" x14ac:dyDescent="0.25">
      <c r="A66" s="60"/>
      <c r="B66" s="56">
        <v>142</v>
      </c>
      <c r="C66" s="57" t="s">
        <v>1515</v>
      </c>
      <c r="G66" s="60"/>
      <c r="H66" s="56">
        <v>190</v>
      </c>
      <c r="I66" s="57" t="s">
        <v>1450</v>
      </c>
    </row>
    <row r="67" spans="1:9" ht="18" x14ac:dyDescent="0.25">
      <c r="A67" s="60"/>
      <c r="B67" s="77">
        <v>23</v>
      </c>
      <c r="C67" s="77" t="s">
        <v>212</v>
      </c>
      <c r="G67" s="60"/>
      <c r="H67" s="77">
        <v>90</v>
      </c>
      <c r="I67" s="77" t="s">
        <v>223</v>
      </c>
    </row>
    <row r="68" spans="1:9" ht="18" x14ac:dyDescent="0.25">
      <c r="A68" s="60"/>
      <c r="B68" s="56">
        <v>120</v>
      </c>
      <c r="C68" s="77" t="s">
        <v>393</v>
      </c>
      <c r="G68" s="60"/>
      <c r="H68" s="56">
        <v>95</v>
      </c>
      <c r="I68" s="77" t="s">
        <v>30</v>
      </c>
    </row>
    <row r="69" spans="1:9" ht="18" x14ac:dyDescent="0.25">
      <c r="A69" s="60"/>
      <c r="B69" s="77">
        <v>667</v>
      </c>
      <c r="C69" s="56" t="s">
        <v>1069</v>
      </c>
      <c r="G69" s="60"/>
      <c r="H69" s="77">
        <v>70</v>
      </c>
      <c r="I69" s="56" t="s">
        <v>26</v>
      </c>
    </row>
    <row r="70" spans="1:9" ht="18" x14ac:dyDescent="0.25">
      <c r="A70" s="60"/>
      <c r="B70" s="77">
        <v>140</v>
      </c>
      <c r="C70" s="56" t="s">
        <v>288</v>
      </c>
      <c r="G70" s="60"/>
      <c r="H70" s="77">
        <v>60</v>
      </c>
      <c r="I70" s="56" t="s">
        <v>1219</v>
      </c>
    </row>
    <row r="71" spans="1:9" ht="18" x14ac:dyDescent="0.25">
      <c r="A71" s="60"/>
      <c r="B71" s="56">
        <v>250</v>
      </c>
      <c r="C71" s="56" t="s">
        <v>744</v>
      </c>
      <c r="G71" s="60"/>
      <c r="H71" s="56">
        <v>115</v>
      </c>
      <c r="I71" s="56" t="s">
        <v>27</v>
      </c>
    </row>
    <row r="72" spans="1:9" ht="18" x14ac:dyDescent="0.25">
      <c r="A72" s="60"/>
      <c r="B72" s="56">
        <v>135</v>
      </c>
      <c r="C72" s="56" t="s">
        <v>341</v>
      </c>
      <c r="G72" s="60"/>
      <c r="H72" s="56"/>
      <c r="I72" s="56"/>
    </row>
    <row r="73" spans="1:9" ht="18" x14ac:dyDescent="0.25">
      <c r="A73" s="60"/>
      <c r="B73" s="56">
        <v>90</v>
      </c>
      <c r="C73" s="56" t="s">
        <v>339</v>
      </c>
      <c r="G73" s="60"/>
      <c r="H73" s="56"/>
      <c r="I73" s="56"/>
    </row>
    <row r="74" spans="1:9" ht="18" x14ac:dyDescent="0.25">
      <c r="A74" s="60"/>
      <c r="B74" s="56">
        <v>370</v>
      </c>
      <c r="C74" s="56" t="s">
        <v>34</v>
      </c>
      <c r="G74" s="60"/>
      <c r="H74" s="56"/>
      <c r="I74" s="56"/>
    </row>
    <row r="75" spans="1:9" ht="18" x14ac:dyDescent="0.25">
      <c r="A75" s="60"/>
      <c r="B75" s="56">
        <v>140</v>
      </c>
      <c r="C75" s="56" t="s">
        <v>39</v>
      </c>
      <c r="G75" s="60"/>
      <c r="H75" s="56"/>
      <c r="I75" s="56"/>
    </row>
    <row r="76" spans="1:9" ht="18" x14ac:dyDescent="0.25">
      <c r="A76" s="60"/>
      <c r="B76" s="56">
        <v>400</v>
      </c>
      <c r="C76" s="56" t="s">
        <v>278</v>
      </c>
      <c r="G76" s="60"/>
      <c r="H76" s="56"/>
      <c r="I76" s="56"/>
    </row>
    <row r="77" spans="1:9" ht="18" x14ac:dyDescent="0.25">
      <c r="A77" s="60"/>
      <c r="B77" s="56">
        <v>2815</v>
      </c>
      <c r="C77" s="56" t="s">
        <v>1516</v>
      </c>
      <c r="G77" s="60"/>
      <c r="H77" s="56"/>
      <c r="I77" s="56"/>
    </row>
    <row r="78" spans="1:9" ht="18" x14ac:dyDescent="0.25">
      <c r="A78" s="60"/>
      <c r="B78" s="56">
        <v>2645</v>
      </c>
      <c r="C78" s="56" t="s">
        <v>12</v>
      </c>
      <c r="G78" s="60"/>
      <c r="H78" s="56"/>
      <c r="I78" s="56"/>
    </row>
    <row r="79" spans="1:9" ht="18" x14ac:dyDescent="0.25">
      <c r="A79" s="60"/>
      <c r="B79" s="56">
        <v>350</v>
      </c>
      <c r="C79" s="56" t="s">
        <v>1517</v>
      </c>
      <c r="G79" s="60"/>
      <c r="H79" s="56"/>
      <c r="I79" s="56"/>
    </row>
    <row r="80" spans="1:9" ht="18" x14ac:dyDescent="0.25">
      <c r="A80" s="60"/>
      <c r="B80" s="56">
        <v>2815</v>
      </c>
      <c r="C80" s="56" t="s">
        <v>20</v>
      </c>
      <c r="G80" s="60"/>
      <c r="H80" s="56"/>
      <c r="I80" s="56"/>
    </row>
    <row r="81" spans="1:11" ht="18" x14ac:dyDescent="0.25">
      <c r="A81" s="60"/>
      <c r="B81" s="56"/>
      <c r="C81" s="56"/>
      <c r="G81" s="60"/>
      <c r="H81" s="56"/>
      <c r="I81" s="56"/>
    </row>
    <row r="82" spans="1:11" ht="18" x14ac:dyDescent="0.25">
      <c r="A82" s="60"/>
      <c r="B82" s="56"/>
      <c r="C82" s="56"/>
      <c r="G82" s="60"/>
      <c r="H82" s="56"/>
      <c r="I82" s="56"/>
    </row>
    <row r="83" spans="1:11" ht="18" x14ac:dyDescent="0.25">
      <c r="A83" s="60"/>
      <c r="B83" s="56"/>
      <c r="C83" s="56"/>
      <c r="G83" s="60"/>
      <c r="H83" s="56"/>
      <c r="I83" s="56"/>
    </row>
    <row r="84" spans="1:11" ht="18" x14ac:dyDescent="0.25">
      <c r="A84" s="60"/>
      <c r="B84" s="56"/>
      <c r="C84" s="56"/>
      <c r="G84" s="60"/>
      <c r="H84" s="56"/>
      <c r="I84" s="56"/>
    </row>
    <row r="85" spans="1:11" ht="18" x14ac:dyDescent="0.25">
      <c r="A85" s="60"/>
      <c r="B85" s="56"/>
      <c r="C85" s="56"/>
      <c r="G85" s="60"/>
      <c r="H85" s="56"/>
      <c r="I85" s="56"/>
    </row>
    <row r="86" spans="1:11" ht="18.75" thickBot="1" x14ac:dyDescent="0.3">
      <c r="A86" s="60"/>
      <c r="B86" s="56"/>
      <c r="C86" s="56"/>
      <c r="G86" s="60"/>
      <c r="H86" s="56"/>
      <c r="I86" s="56"/>
    </row>
    <row r="87" spans="1:11" ht="24" thickBot="1" x14ac:dyDescent="0.4">
      <c r="A87" s="66"/>
      <c r="B87" s="56"/>
      <c r="C87" s="64"/>
      <c r="E87" s="424"/>
      <c r="G87" s="66"/>
      <c r="H87" s="56"/>
      <c r="I87" s="64"/>
      <c r="J87" s="475" t="s">
        <v>1386</v>
      </c>
      <c r="K87" s="476"/>
    </row>
    <row r="88" spans="1:11" ht="24" thickBot="1" x14ac:dyDescent="0.3">
      <c r="A88" s="68">
        <f>SUM(A65:A87)</f>
        <v>7100</v>
      </c>
      <c r="B88" s="69">
        <f>SUM(B65:B87)</f>
        <v>11312</v>
      </c>
      <c r="D88" s="314" t="str">
        <f>IF(E88&gt;0,"زيادة","عجز")</f>
        <v>زيادة</v>
      </c>
      <c r="E88" s="99">
        <f>E93-E89</f>
        <v>48</v>
      </c>
      <c r="G88" s="68">
        <f>SUM(G65:G87)</f>
        <v>11170</v>
      </c>
      <c r="H88" s="69">
        <f>SUM(H65:H87)</f>
        <v>770</v>
      </c>
      <c r="J88" s="314" t="str">
        <f>IF(K88&gt;0,"زيادة","عجز")</f>
        <v>عجز</v>
      </c>
      <c r="K88" s="99">
        <f>K93-K89</f>
        <v>-799.5</v>
      </c>
    </row>
    <row r="89" spans="1:11" ht="24" thickBot="1" x14ac:dyDescent="0.3">
      <c r="A89" s="365" t="s">
        <v>139</v>
      </c>
      <c r="B89" s="366"/>
      <c r="C89" s="71" t="s">
        <v>75</v>
      </c>
      <c r="D89" s="135" t="s">
        <v>94</v>
      </c>
      <c r="E89" s="99">
        <f>229-2125+3000</f>
        <v>1104</v>
      </c>
      <c r="G89" s="462" t="s">
        <v>139</v>
      </c>
      <c r="H89" s="463"/>
      <c r="I89" s="71" t="s">
        <v>75</v>
      </c>
      <c r="J89" s="135" t="s">
        <v>94</v>
      </c>
      <c r="K89" s="99">
        <f>13214-10356</f>
        <v>2858</v>
      </c>
    </row>
    <row r="90" spans="1:11" ht="24" thickBot="1" x14ac:dyDescent="0.3">
      <c r="A90" s="367">
        <f>B88+A88</f>
        <v>18412</v>
      </c>
      <c r="B90" s="368"/>
      <c r="C90" s="313">
        <f>182+258+648+26</f>
        <v>1114</v>
      </c>
      <c r="D90" s="136" t="s">
        <v>65</v>
      </c>
      <c r="E90" s="85">
        <f>1050+30</f>
        <v>1080</v>
      </c>
      <c r="G90" s="464">
        <f>H88+G88</f>
        <v>11940</v>
      </c>
      <c r="H90" s="465"/>
      <c r="I90" s="313">
        <v>100</v>
      </c>
      <c r="J90" s="136" t="s">
        <v>65</v>
      </c>
      <c r="K90" s="85">
        <f>2032+6.5</f>
        <v>2038.5</v>
      </c>
    </row>
    <row r="91" spans="1:11" ht="24" thickBot="1" x14ac:dyDescent="0.3">
      <c r="A91" s="466" t="s">
        <v>99</v>
      </c>
      <c r="B91" s="467"/>
      <c r="C91" s="78">
        <f>A92-C92</f>
        <v>-54</v>
      </c>
      <c r="D91" s="82" t="s">
        <v>1333</v>
      </c>
      <c r="E91" s="83">
        <v>72</v>
      </c>
      <c r="G91" s="466" t="s">
        <v>99</v>
      </c>
      <c r="H91" s="467"/>
      <c r="I91" s="78">
        <f>G92-I92</f>
        <v>863</v>
      </c>
      <c r="J91" s="82" t="s">
        <v>52</v>
      </c>
      <c r="K91" s="83">
        <v>20</v>
      </c>
    </row>
    <row r="92" spans="1:11" ht="24" thickBot="1" x14ac:dyDescent="0.3">
      <c r="A92" s="468">
        <f>C90+A90</f>
        <v>19526</v>
      </c>
      <c r="B92" s="469"/>
      <c r="C92" s="121">
        <v>19580</v>
      </c>
      <c r="D92" s="82"/>
      <c r="E92" s="83"/>
      <c r="G92" s="468">
        <f>I90+G90</f>
        <v>12040</v>
      </c>
      <c r="H92" s="469"/>
      <c r="I92" s="121">
        <f>10671+506</f>
        <v>11177</v>
      </c>
      <c r="J92" s="82"/>
      <c r="K92" s="83"/>
    </row>
    <row r="93" spans="1:11" ht="24" thickBot="1" x14ac:dyDescent="0.3">
      <c r="C93" s="314" t="str">
        <f>IF(C91&gt;0,"زيادة","عجز")</f>
        <v>عجز</v>
      </c>
      <c r="D93" s="82" t="s">
        <v>164</v>
      </c>
      <c r="E93" s="83">
        <f>SUM(E90:E92)</f>
        <v>1152</v>
      </c>
      <c r="I93" s="314" t="str">
        <f>IF(I91&gt;0,"زيادة","عجز")</f>
        <v>زيادة</v>
      </c>
      <c r="J93" s="82" t="s">
        <v>164</v>
      </c>
      <c r="K93" s="83">
        <f>SUM(K90:K92)</f>
        <v>2058.5</v>
      </c>
    </row>
    <row r="94" spans="1:11" ht="18.75" x14ac:dyDescent="0.25">
      <c r="D94" s="318"/>
      <c r="J94" s="318"/>
    </row>
    <row r="95" spans="1:11" ht="15.75" thickBot="1" x14ac:dyDescent="0.3"/>
    <row r="96" spans="1:11" ht="24" thickBot="1" x14ac:dyDescent="0.3">
      <c r="A96" s="425" t="s">
        <v>15</v>
      </c>
      <c r="B96" s="460">
        <v>45104</v>
      </c>
      <c r="C96" s="461"/>
      <c r="G96" s="425" t="s">
        <v>85</v>
      </c>
      <c r="H96" s="460">
        <v>45134</v>
      </c>
      <c r="I96" s="461"/>
    </row>
    <row r="97" spans="1:9" ht="21" thickBot="1" x14ac:dyDescent="0.3">
      <c r="A97" s="53" t="s">
        <v>137</v>
      </c>
      <c r="B97" s="53" t="s">
        <v>3</v>
      </c>
      <c r="C97" s="53" t="s">
        <v>138</v>
      </c>
      <c r="G97" s="53" t="s">
        <v>137</v>
      </c>
      <c r="H97" s="53" t="s">
        <v>3</v>
      </c>
      <c r="I97" s="53" t="s">
        <v>138</v>
      </c>
    </row>
    <row r="98" spans="1:9" ht="18" x14ac:dyDescent="0.25">
      <c r="A98" s="55">
        <f>10000+5000+3000+260</f>
        <v>18260</v>
      </c>
      <c r="B98" s="77">
        <v>10</v>
      </c>
      <c r="C98" s="57" t="s">
        <v>315</v>
      </c>
      <c r="G98" s="55">
        <v>4180</v>
      </c>
      <c r="H98" s="77">
        <v>175</v>
      </c>
      <c r="I98" s="57" t="s">
        <v>86</v>
      </c>
    </row>
    <row r="99" spans="1:9" ht="18" x14ac:dyDescent="0.25">
      <c r="A99" s="60"/>
      <c r="B99" s="56">
        <v>105</v>
      </c>
      <c r="C99" s="57" t="s">
        <v>1419</v>
      </c>
      <c r="G99" s="60">
        <v>10000</v>
      </c>
      <c r="H99" s="56">
        <v>52</v>
      </c>
      <c r="I99" s="57" t="s">
        <v>510</v>
      </c>
    </row>
    <row r="100" spans="1:9" ht="18" x14ac:dyDescent="0.25">
      <c r="A100" s="60"/>
      <c r="B100" s="77">
        <v>175</v>
      </c>
      <c r="C100" s="77" t="s">
        <v>498</v>
      </c>
      <c r="G100" s="60"/>
      <c r="H100" s="77">
        <v>165</v>
      </c>
      <c r="I100" s="77" t="s">
        <v>15</v>
      </c>
    </row>
    <row r="101" spans="1:9" ht="18" x14ac:dyDescent="0.25">
      <c r="A101" s="60"/>
      <c r="B101" s="56">
        <v>210</v>
      </c>
      <c r="C101" s="77" t="s">
        <v>1319</v>
      </c>
      <c r="G101" s="60"/>
      <c r="H101" s="56">
        <v>59</v>
      </c>
      <c r="I101" s="77" t="s">
        <v>212</v>
      </c>
    </row>
    <row r="102" spans="1:9" ht="18" x14ac:dyDescent="0.25">
      <c r="A102" s="60"/>
      <c r="B102" s="77">
        <v>5100</v>
      </c>
      <c r="C102" s="56" t="s">
        <v>1523</v>
      </c>
      <c r="G102" s="60"/>
      <c r="H102" s="77"/>
      <c r="I102" s="56"/>
    </row>
    <row r="103" spans="1:9" ht="18" x14ac:dyDescent="0.25">
      <c r="A103" s="60"/>
      <c r="B103" s="77">
        <v>100</v>
      </c>
      <c r="C103" s="56" t="s">
        <v>903</v>
      </c>
      <c r="G103" s="60"/>
      <c r="H103" s="77"/>
      <c r="I103" s="56"/>
    </row>
    <row r="104" spans="1:9" ht="18" x14ac:dyDescent="0.25">
      <c r="A104" s="60"/>
      <c r="B104" s="56"/>
      <c r="C104" s="56"/>
      <c r="G104" s="60"/>
      <c r="H104" s="56"/>
      <c r="I104" s="56"/>
    </row>
    <row r="105" spans="1:9" ht="18" x14ac:dyDescent="0.25">
      <c r="A105" s="60"/>
      <c r="B105" s="56"/>
      <c r="C105" s="56"/>
      <c r="G105" s="60"/>
      <c r="H105" s="56"/>
      <c r="I105" s="56"/>
    </row>
    <row r="106" spans="1:9" ht="18" x14ac:dyDescent="0.25">
      <c r="A106" s="60"/>
      <c r="B106" s="56"/>
      <c r="C106" s="56"/>
      <c r="G106" s="60"/>
      <c r="H106" s="56"/>
      <c r="I106" s="56"/>
    </row>
    <row r="107" spans="1:9" ht="18" x14ac:dyDescent="0.25">
      <c r="A107" s="60"/>
      <c r="B107" s="56"/>
      <c r="C107" s="56"/>
      <c r="G107" s="60"/>
      <c r="H107" s="56"/>
      <c r="I107" s="56"/>
    </row>
    <row r="108" spans="1:9" ht="18" x14ac:dyDescent="0.25">
      <c r="A108" s="60"/>
      <c r="B108" s="56"/>
      <c r="C108" s="56"/>
      <c r="G108" s="60"/>
      <c r="H108" s="56"/>
      <c r="I108" s="56"/>
    </row>
    <row r="109" spans="1:9" ht="18" x14ac:dyDescent="0.25">
      <c r="A109" s="60"/>
      <c r="B109" s="56"/>
      <c r="C109" s="56"/>
      <c r="G109" s="60"/>
      <c r="H109" s="56"/>
      <c r="I109" s="56"/>
    </row>
    <row r="110" spans="1:9" ht="18" x14ac:dyDescent="0.25">
      <c r="A110" s="60"/>
      <c r="B110" s="56"/>
      <c r="C110" s="56"/>
      <c r="G110" s="60"/>
      <c r="H110" s="56"/>
      <c r="I110" s="56"/>
    </row>
    <row r="111" spans="1:9" ht="18" x14ac:dyDescent="0.25">
      <c r="A111" s="60"/>
      <c r="B111" s="56"/>
      <c r="C111" s="56"/>
      <c r="G111" s="60"/>
      <c r="H111" s="56"/>
      <c r="I111" s="56"/>
    </row>
    <row r="112" spans="1:9" ht="18" x14ac:dyDescent="0.25">
      <c r="A112" s="60"/>
      <c r="B112" s="56"/>
      <c r="C112" s="56"/>
      <c r="G112" s="60"/>
      <c r="H112" s="56"/>
      <c r="I112" s="56"/>
    </row>
    <row r="113" spans="1:11" ht="18" x14ac:dyDescent="0.25">
      <c r="A113" s="60"/>
      <c r="B113" s="56"/>
      <c r="C113" s="56"/>
      <c r="G113" s="60"/>
      <c r="H113" s="56"/>
      <c r="I113" s="56"/>
    </row>
    <row r="114" spans="1:11" ht="18" x14ac:dyDescent="0.25">
      <c r="A114" s="60"/>
      <c r="B114" s="56"/>
      <c r="C114" s="56"/>
      <c r="G114" s="60"/>
      <c r="H114" s="56"/>
      <c r="I114" s="56"/>
    </row>
    <row r="115" spans="1:11" ht="18" x14ac:dyDescent="0.25">
      <c r="A115" s="60"/>
      <c r="B115" s="56"/>
      <c r="C115" s="56"/>
      <c r="G115" s="60"/>
      <c r="H115" s="56"/>
      <c r="I115" s="56"/>
    </row>
    <row r="116" spans="1:11" ht="18" x14ac:dyDescent="0.25">
      <c r="A116" s="60"/>
      <c r="B116" s="56"/>
      <c r="C116" s="56"/>
      <c r="G116" s="60"/>
      <c r="H116" s="56"/>
      <c r="I116" s="56"/>
    </row>
    <row r="117" spans="1:11" ht="18" x14ac:dyDescent="0.25">
      <c r="A117" s="60"/>
      <c r="B117" s="56"/>
      <c r="C117" s="56"/>
      <c r="G117" s="60"/>
      <c r="H117" s="56"/>
      <c r="I117" s="56"/>
    </row>
    <row r="118" spans="1:11" ht="18" x14ac:dyDescent="0.25">
      <c r="A118" s="60"/>
      <c r="B118" s="56"/>
      <c r="C118" s="56"/>
      <c r="G118" s="60"/>
      <c r="H118" s="56"/>
      <c r="I118" s="56"/>
    </row>
    <row r="119" spans="1:11" ht="18" x14ac:dyDescent="0.25">
      <c r="A119" s="60"/>
      <c r="B119" s="56"/>
      <c r="C119" s="56"/>
      <c r="G119" s="60"/>
      <c r="H119" s="56"/>
      <c r="I119" s="56"/>
    </row>
    <row r="120" spans="1:11" ht="18.75" thickBot="1" x14ac:dyDescent="0.3">
      <c r="A120" s="66"/>
      <c r="B120" s="56"/>
      <c r="C120" s="64"/>
      <c r="G120" s="66"/>
      <c r="H120" s="56"/>
      <c r="I120" s="64"/>
    </row>
    <row r="121" spans="1:11" ht="24" thickBot="1" x14ac:dyDescent="0.3">
      <c r="A121" s="68">
        <f>SUM(A98:A120)</f>
        <v>18260</v>
      </c>
      <c r="B121" s="69">
        <f>SUM(B98:B120)</f>
        <v>5700</v>
      </c>
      <c r="D121" s="314" t="str">
        <f>IF(E121&gt;0,"زيادة","عجز")</f>
        <v>زيادة</v>
      </c>
      <c r="E121" s="99">
        <f>E126-E122</f>
        <v>26</v>
      </c>
      <c r="G121" s="68">
        <f>SUM(G98:G120)</f>
        <v>14180</v>
      </c>
      <c r="H121" s="69">
        <f>SUM(H98:H120)</f>
        <v>451</v>
      </c>
      <c r="J121" s="314" t="str">
        <f>IF(K122&gt;0,"زيادة","عجز")</f>
        <v>عجز</v>
      </c>
    </row>
    <row r="122" spans="1:11" ht="24" thickBot="1" x14ac:dyDescent="0.3">
      <c r="A122" s="462" t="s">
        <v>139</v>
      </c>
      <c r="B122" s="463"/>
      <c r="C122" s="71" t="s">
        <v>75</v>
      </c>
      <c r="D122" s="135" t="s">
        <v>94</v>
      </c>
      <c r="E122" s="99">
        <v>616</v>
      </c>
      <c r="G122" s="462" t="s">
        <v>139</v>
      </c>
      <c r="H122" s="463"/>
      <c r="I122" s="71" t="s">
        <v>75</v>
      </c>
      <c r="J122" s="135" t="s">
        <v>94</v>
      </c>
      <c r="K122" s="99">
        <f>K127-K123</f>
        <v>0</v>
      </c>
    </row>
    <row r="123" spans="1:11" ht="24" thickBot="1" x14ac:dyDescent="0.3">
      <c r="A123" s="464">
        <f>B121+A121</f>
        <v>23960</v>
      </c>
      <c r="B123" s="465"/>
      <c r="C123" s="313">
        <f>220+160+67</f>
        <v>447</v>
      </c>
      <c r="D123" s="136" t="s">
        <v>65</v>
      </c>
      <c r="E123" s="85">
        <f>350+200+17</f>
        <v>567</v>
      </c>
      <c r="G123" s="464">
        <f>H121+G121</f>
        <v>14631</v>
      </c>
      <c r="H123" s="465"/>
      <c r="I123" s="313">
        <v>263</v>
      </c>
      <c r="J123" s="136" t="s">
        <v>65</v>
      </c>
      <c r="K123" s="99"/>
    </row>
    <row r="124" spans="1:11" ht="24" thickBot="1" x14ac:dyDescent="0.3">
      <c r="A124" s="466" t="s">
        <v>99</v>
      </c>
      <c r="B124" s="467"/>
      <c r="C124" s="78">
        <f>A125-C125</f>
        <v>22</v>
      </c>
      <c r="D124" s="82" t="s">
        <v>344</v>
      </c>
      <c r="E124" s="83">
        <v>75</v>
      </c>
      <c r="G124" s="466" t="s">
        <v>99</v>
      </c>
      <c r="H124" s="467"/>
      <c r="I124" s="78">
        <f>G125-I125</f>
        <v>59</v>
      </c>
      <c r="J124" s="82"/>
      <c r="K124" s="85"/>
    </row>
    <row r="125" spans="1:11" ht="24" thickBot="1" x14ac:dyDescent="0.3">
      <c r="A125" s="468">
        <f>C123+A123</f>
        <v>24407</v>
      </c>
      <c r="B125" s="469"/>
      <c r="C125" s="121">
        <v>24385</v>
      </c>
      <c r="D125" s="82"/>
      <c r="E125" s="83"/>
      <c r="G125" s="468">
        <f>I123+G123</f>
        <v>14894</v>
      </c>
      <c r="H125" s="469"/>
      <c r="I125" s="121">
        <v>14835</v>
      </c>
      <c r="J125" s="82"/>
      <c r="K125" s="83"/>
    </row>
    <row r="126" spans="1:11" ht="24" thickBot="1" x14ac:dyDescent="0.3">
      <c r="C126" s="314" t="str">
        <f>IF(C124&gt;0,"زيادة","عجز")</f>
        <v>زيادة</v>
      </c>
      <c r="D126" s="82" t="s">
        <v>164</v>
      </c>
      <c r="E126" s="83">
        <f>SUM(E123:E125)</f>
        <v>642</v>
      </c>
      <c r="I126" s="314" t="str">
        <f>IF(I124&gt;0,"زيادة","عجز")</f>
        <v>زيادة</v>
      </c>
      <c r="J126" s="82" t="s">
        <v>164</v>
      </c>
      <c r="K126" s="83"/>
    </row>
    <row r="127" spans="1:11" ht="19.5" thickBot="1" x14ac:dyDescent="0.3">
      <c r="D127" s="318"/>
      <c r="J127" s="318"/>
      <c r="K127" s="83">
        <f>SUM(K124:K126)</f>
        <v>0</v>
      </c>
    </row>
    <row r="128" spans="1:11" x14ac:dyDescent="0.25">
      <c r="A128">
        <f>10+10+10+10+10</f>
        <v>50</v>
      </c>
    </row>
    <row r="137" spans="1:7" ht="15.75" thickBot="1" x14ac:dyDescent="0.3"/>
    <row r="138" spans="1:7" ht="24" thickBot="1" x14ac:dyDescent="0.3">
      <c r="A138" s="425" t="s">
        <v>59</v>
      </c>
      <c r="B138" s="460">
        <v>45127</v>
      </c>
      <c r="C138" s="461"/>
    </row>
    <row r="139" spans="1:7" ht="21" thickBot="1" x14ac:dyDescent="0.3">
      <c r="A139" s="53" t="s">
        <v>137</v>
      </c>
      <c r="B139" s="53" t="s">
        <v>3</v>
      </c>
      <c r="C139" s="53" t="s">
        <v>138</v>
      </c>
      <c r="G139">
        <f>3459-378-378+150-73+63</f>
        <v>2843</v>
      </c>
    </row>
    <row r="140" spans="1:7" ht="18" x14ac:dyDescent="0.25">
      <c r="A140" s="55"/>
      <c r="B140" s="77"/>
      <c r="C140" s="57"/>
    </row>
    <row r="141" spans="1:7" ht="18" x14ac:dyDescent="0.25">
      <c r="A141" s="60"/>
      <c r="B141" s="56"/>
      <c r="C141" s="57"/>
    </row>
    <row r="142" spans="1:7" ht="18" x14ac:dyDescent="0.25">
      <c r="A142" s="60"/>
      <c r="B142" s="77"/>
      <c r="C142" s="57"/>
    </row>
    <row r="143" spans="1:7" ht="18" x14ac:dyDescent="0.25">
      <c r="A143" s="60"/>
      <c r="B143" s="56"/>
      <c r="C143" s="57"/>
    </row>
    <row r="144" spans="1:7" ht="18" x14ac:dyDescent="0.25">
      <c r="A144" s="60"/>
      <c r="B144" s="77"/>
      <c r="C144" s="57"/>
    </row>
    <row r="145" spans="1:3" ht="18" x14ac:dyDescent="0.25">
      <c r="A145" s="60"/>
      <c r="B145" s="77"/>
      <c r="C145" s="56"/>
    </row>
    <row r="146" spans="1:3" ht="18" x14ac:dyDescent="0.25">
      <c r="A146" s="60"/>
      <c r="B146" s="56"/>
      <c r="C146" s="56"/>
    </row>
    <row r="147" spans="1:3" ht="18" x14ac:dyDescent="0.25">
      <c r="A147" s="60"/>
      <c r="B147" s="56"/>
      <c r="C147" s="56"/>
    </row>
    <row r="148" spans="1:3" ht="18" x14ac:dyDescent="0.25">
      <c r="A148" s="60"/>
      <c r="B148" s="56"/>
      <c r="C148" s="56"/>
    </row>
    <row r="149" spans="1:3" ht="18" x14ac:dyDescent="0.25">
      <c r="A149" s="60"/>
      <c r="B149" s="56"/>
      <c r="C149" s="56"/>
    </row>
    <row r="150" spans="1:3" ht="18" x14ac:dyDescent="0.25">
      <c r="A150" s="60"/>
      <c r="B150" s="56"/>
      <c r="C150" s="56"/>
    </row>
    <row r="151" spans="1:3" ht="18" x14ac:dyDescent="0.25">
      <c r="A151" s="60"/>
      <c r="B151" s="56"/>
      <c r="C151" s="56"/>
    </row>
    <row r="152" spans="1:3" ht="18" x14ac:dyDescent="0.25">
      <c r="A152" s="60"/>
      <c r="B152" s="56"/>
      <c r="C152" s="56"/>
    </row>
    <row r="153" spans="1:3" ht="18" x14ac:dyDescent="0.25">
      <c r="A153" s="60"/>
      <c r="B153" s="56"/>
      <c r="C153" s="56"/>
    </row>
    <row r="154" spans="1:3" ht="18" x14ac:dyDescent="0.25">
      <c r="A154" s="60"/>
      <c r="B154" s="56"/>
      <c r="C154" s="56"/>
    </row>
    <row r="155" spans="1:3" ht="18" x14ac:dyDescent="0.25">
      <c r="A155" s="60"/>
      <c r="B155" s="56"/>
      <c r="C155" s="56"/>
    </row>
    <row r="156" spans="1:3" ht="18" x14ac:dyDescent="0.25">
      <c r="A156" s="60"/>
      <c r="B156" s="56"/>
      <c r="C156" s="56"/>
    </row>
    <row r="157" spans="1:3" ht="18" x14ac:dyDescent="0.25">
      <c r="A157" s="60"/>
      <c r="B157" s="56"/>
      <c r="C157" s="56"/>
    </row>
    <row r="158" spans="1:3" ht="18" x14ac:dyDescent="0.25">
      <c r="A158" s="60"/>
      <c r="B158" s="56"/>
      <c r="C158" s="56"/>
    </row>
    <row r="159" spans="1:3" ht="18" x14ac:dyDescent="0.25">
      <c r="A159" s="60"/>
      <c r="B159" s="56"/>
      <c r="C159" s="56"/>
    </row>
    <row r="160" spans="1:3" ht="18" x14ac:dyDescent="0.25">
      <c r="A160" s="60"/>
      <c r="B160" s="56"/>
      <c r="C160" s="56"/>
    </row>
    <row r="161" spans="1:5" ht="18" x14ac:dyDescent="0.25">
      <c r="A161" s="60"/>
      <c r="B161" s="56"/>
      <c r="C161" s="56"/>
    </row>
    <row r="162" spans="1:5" ht="18.75" thickBot="1" x14ac:dyDescent="0.3">
      <c r="A162" s="66"/>
      <c r="B162" s="56"/>
      <c r="C162" s="64"/>
    </row>
    <row r="163" spans="1:5" ht="24" thickBot="1" x14ac:dyDescent="0.3">
      <c r="A163" s="68">
        <f>SUM(A140:A162)</f>
        <v>0</v>
      </c>
      <c r="B163" s="69">
        <f>SUM(B140:B162)</f>
        <v>0</v>
      </c>
      <c r="D163" s="314" t="str">
        <f>IF(E163&gt;0,"زيادة","عجز")</f>
        <v>عجز</v>
      </c>
      <c r="E163" s="99">
        <f>E168-E164</f>
        <v>0</v>
      </c>
    </row>
    <row r="164" spans="1:5" ht="24" thickBot="1" x14ac:dyDescent="0.3">
      <c r="A164" s="462" t="s">
        <v>139</v>
      </c>
      <c r="B164" s="463"/>
      <c r="C164" s="71" t="s">
        <v>75</v>
      </c>
      <c r="D164" s="135" t="s">
        <v>94</v>
      </c>
      <c r="E164" s="99"/>
    </row>
    <row r="165" spans="1:5" ht="24" thickBot="1" x14ac:dyDescent="0.3">
      <c r="A165" s="464">
        <f>B163+A163</f>
        <v>0</v>
      </c>
      <c r="B165" s="465"/>
      <c r="C165" s="313"/>
      <c r="D165" s="136" t="s">
        <v>65</v>
      </c>
      <c r="E165" s="85"/>
    </row>
    <row r="166" spans="1:5" ht="24" thickBot="1" x14ac:dyDescent="0.3">
      <c r="A166" s="466" t="s">
        <v>99</v>
      </c>
      <c r="B166" s="467"/>
      <c r="C166" s="78">
        <f>A167-C167</f>
        <v>0</v>
      </c>
      <c r="D166" s="82"/>
      <c r="E166" s="83"/>
    </row>
    <row r="167" spans="1:5" ht="24" thickBot="1" x14ac:dyDescent="0.3">
      <c r="A167" s="468">
        <f>C165+A165</f>
        <v>0</v>
      </c>
      <c r="B167" s="469"/>
      <c r="C167" s="121"/>
      <c r="D167" s="82"/>
      <c r="E167" s="83"/>
    </row>
    <row r="168" spans="1:5" ht="24" thickBot="1" x14ac:dyDescent="0.3">
      <c r="C168" s="314" t="str">
        <f>IF(C166&gt;0,"زيادة","عجز")</f>
        <v>عجز</v>
      </c>
      <c r="D168" s="82" t="s">
        <v>164</v>
      </c>
      <c r="E168" s="83">
        <f>SUM(E165:E167)</f>
        <v>0</v>
      </c>
    </row>
    <row r="169" spans="1:5" ht="18.75" x14ac:dyDescent="0.25">
      <c r="D169" s="318"/>
    </row>
    <row r="183" spans="3:6" x14ac:dyDescent="0.25">
      <c r="C183" t="s">
        <v>1414</v>
      </c>
      <c r="D183">
        <v>1</v>
      </c>
    </row>
    <row r="184" spans="3:6" x14ac:dyDescent="0.25">
      <c r="C184" t="s">
        <v>1414</v>
      </c>
      <c r="D184">
        <v>2</v>
      </c>
    </row>
    <row r="185" spans="3:6" x14ac:dyDescent="0.25">
      <c r="C185" t="s">
        <v>1414</v>
      </c>
      <c r="D185">
        <v>3</v>
      </c>
    </row>
    <row r="186" spans="3:6" x14ac:dyDescent="0.25">
      <c r="C186" t="s">
        <v>1414</v>
      </c>
      <c r="D186">
        <v>4</v>
      </c>
      <c r="F186" t="s">
        <v>1414</v>
      </c>
    </row>
  </sheetData>
  <mergeCells count="41">
    <mergeCell ref="A165:B165"/>
    <mergeCell ref="A166:B166"/>
    <mergeCell ref="A167:B167"/>
    <mergeCell ref="J87:K87"/>
    <mergeCell ref="A124:B124"/>
    <mergeCell ref="G124:H124"/>
    <mergeCell ref="A125:B125"/>
    <mergeCell ref="G125:H125"/>
    <mergeCell ref="B138:C138"/>
    <mergeCell ref="A164:B164"/>
    <mergeCell ref="B96:C96"/>
    <mergeCell ref="H96:I96"/>
    <mergeCell ref="A122:B122"/>
    <mergeCell ref="G122:H122"/>
    <mergeCell ref="A123:B123"/>
    <mergeCell ref="G123:H123"/>
    <mergeCell ref="G89:H89"/>
    <mergeCell ref="G90:H90"/>
    <mergeCell ref="A91:B91"/>
    <mergeCell ref="G91:H91"/>
    <mergeCell ref="A92:B92"/>
    <mergeCell ref="G92:H92"/>
    <mergeCell ref="B63:C63"/>
    <mergeCell ref="H63:I63"/>
    <mergeCell ref="A28:B28"/>
    <mergeCell ref="G28:H28"/>
    <mergeCell ref="A29:B29"/>
    <mergeCell ref="G29:H29"/>
    <mergeCell ref="B34:C34"/>
    <mergeCell ref="H34:I34"/>
    <mergeCell ref="D51:E51"/>
    <mergeCell ref="G57:H57"/>
    <mergeCell ref="G58:H58"/>
    <mergeCell ref="G59:H59"/>
    <mergeCell ref="G60:H60"/>
    <mergeCell ref="B2:C2"/>
    <mergeCell ref="H2:I2"/>
    <mergeCell ref="A26:B26"/>
    <mergeCell ref="G26:H26"/>
    <mergeCell ref="A27:B27"/>
    <mergeCell ref="G27:H27"/>
  </mergeCells>
  <conditionalFormatting sqref="C93">
    <cfRule type="expression" dxfId="443" priority="1">
      <formula>#REF!="عجز"</formula>
    </cfRule>
    <cfRule type="expression" dxfId="442" priority="2">
      <formula>#REF!="زيادة"</formula>
    </cfRule>
  </conditionalFormatting>
  <conditionalFormatting sqref="C126">
    <cfRule type="expression" dxfId="441" priority="17">
      <formula>#REF!="عجز"</formula>
    </cfRule>
    <cfRule type="expression" dxfId="440" priority="18">
      <formula>#REF!="زيادة"</formula>
    </cfRule>
  </conditionalFormatting>
  <conditionalFormatting sqref="C168">
    <cfRule type="expression" dxfId="439" priority="9">
      <formula>#REF!="عجز"</formula>
    </cfRule>
    <cfRule type="expression" dxfId="438" priority="10">
      <formula>#REF!="زيادة"</formula>
    </cfRule>
  </conditionalFormatting>
  <conditionalFormatting sqref="D24 J25 C30 I30 J56 C58 I61:I62">
    <cfRule type="expression" dxfId="437" priority="23">
      <formula>#REF!="عجز"</formula>
    </cfRule>
    <cfRule type="expression" dxfId="436" priority="24">
      <formula>#REF!="زيادة"</formula>
    </cfRule>
  </conditionalFormatting>
  <conditionalFormatting sqref="D52">
    <cfRule type="expression" dxfId="435" priority="19">
      <formula>#REF!="عجز"</formula>
    </cfRule>
    <cfRule type="expression" dxfId="434" priority="20">
      <formula>#REF!="زيادة"</formula>
    </cfRule>
  </conditionalFormatting>
  <conditionalFormatting sqref="D88">
    <cfRule type="expression" dxfId="433" priority="3">
      <formula>#REF!="عجز"</formula>
    </cfRule>
    <cfRule type="expression" dxfId="432" priority="4">
      <formula>#REF!="زيادة"</formula>
    </cfRule>
  </conditionalFormatting>
  <conditionalFormatting sqref="D121">
    <cfRule type="expression" dxfId="431" priority="15">
      <formula>#REF!="عجز"</formula>
    </cfRule>
    <cfRule type="expression" dxfId="430" priority="16">
      <formula>#REF!="زيادة"</formula>
    </cfRule>
  </conditionalFormatting>
  <conditionalFormatting sqref="D163">
    <cfRule type="expression" dxfId="429" priority="7">
      <formula>#REF!="عجز"</formula>
    </cfRule>
    <cfRule type="expression" dxfId="428" priority="8">
      <formula>#REF!="زيادة"</formula>
    </cfRule>
  </conditionalFormatting>
  <conditionalFormatting sqref="I93">
    <cfRule type="expression" dxfId="427" priority="21">
      <formula>#REF!="عجز"</formula>
    </cfRule>
    <cfRule type="expression" dxfId="426" priority="22">
      <formula>#REF!="زيادة"</formula>
    </cfRule>
  </conditionalFormatting>
  <conditionalFormatting sqref="I126">
    <cfRule type="expression" dxfId="425" priority="13">
      <formula>#REF!="عجز"</formula>
    </cfRule>
    <cfRule type="expression" dxfId="424" priority="14">
      <formula>#REF!="زيادة"</formula>
    </cfRule>
  </conditionalFormatting>
  <conditionalFormatting sqref="J88">
    <cfRule type="expression" dxfId="423" priority="5">
      <formula>#REF!="عجز"</formula>
    </cfRule>
    <cfRule type="expression" dxfId="422" priority="6">
      <formula>#REF!="زيادة"</formula>
    </cfRule>
  </conditionalFormatting>
  <conditionalFormatting sqref="J121">
    <cfRule type="expression" dxfId="421" priority="11">
      <formula>#REF!="عجز"</formula>
    </cfRule>
    <cfRule type="expression" dxfId="420" priority="12">
      <formula>#REF!="زيادة"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6B12-C31E-4902-8160-5482292C2623}">
  <dimension ref="A1:K186"/>
  <sheetViews>
    <sheetView rightToLeft="1" topLeftCell="B31" zoomScale="85" zoomScaleNormal="85" workbookViewId="0">
      <selection activeCell="A88" sqref="A88"/>
    </sheetView>
  </sheetViews>
  <sheetFormatPr defaultRowHeight="15" x14ac:dyDescent="0.25"/>
  <cols>
    <col min="1" max="1" width="39.140625" customWidth="1"/>
    <col min="2" max="2" width="18.7109375" bestFit="1" customWidth="1"/>
    <col min="3" max="3" width="26.7109375" customWidth="1"/>
    <col min="4" max="4" width="12.28515625" customWidth="1"/>
    <col min="5" max="5" width="10" customWidth="1"/>
    <col min="7" max="7" width="39.140625" customWidth="1"/>
    <col min="8" max="8" width="11.7109375" bestFit="1" customWidth="1"/>
    <col min="9" max="9" width="26.7109375" customWidth="1"/>
    <col min="10" max="10" width="16.7109375" bestFit="1" customWidth="1"/>
    <col min="11" max="11" width="11" bestFit="1" customWidth="1"/>
  </cols>
  <sheetData>
    <row r="1" spans="1:9" ht="15.75" thickBot="1" x14ac:dyDescent="0.3"/>
    <row r="2" spans="1:9" ht="24" thickBot="1" x14ac:dyDescent="0.3">
      <c r="A2" s="76" t="s">
        <v>300</v>
      </c>
      <c r="B2" s="460">
        <v>45133</v>
      </c>
      <c r="C2" s="461"/>
      <c r="G2" s="76" t="s">
        <v>1076</v>
      </c>
      <c r="H2" s="460">
        <v>45133</v>
      </c>
      <c r="I2" s="461"/>
    </row>
    <row r="3" spans="1:9" ht="21" thickBot="1" x14ac:dyDescent="0.3">
      <c r="A3" s="53" t="s">
        <v>137</v>
      </c>
      <c r="B3" s="53" t="s">
        <v>3</v>
      </c>
      <c r="C3" s="53" t="s">
        <v>138</v>
      </c>
      <c r="G3" s="53" t="s">
        <v>137</v>
      </c>
      <c r="H3" s="53" t="s">
        <v>3</v>
      </c>
      <c r="I3" s="53" t="s">
        <v>138</v>
      </c>
    </row>
    <row r="4" spans="1:9" ht="18" x14ac:dyDescent="0.25">
      <c r="A4" s="55">
        <f>10000+1600</f>
        <v>11600</v>
      </c>
      <c r="B4" s="57">
        <v>50</v>
      </c>
      <c r="C4" s="56" t="s">
        <v>1473</v>
      </c>
      <c r="G4" s="55">
        <f>5000+1050</f>
        <v>6050</v>
      </c>
      <c r="H4" s="77">
        <v>655</v>
      </c>
      <c r="I4" s="57" t="s">
        <v>1007</v>
      </c>
    </row>
    <row r="5" spans="1:9" ht="18" x14ac:dyDescent="0.25">
      <c r="A5" s="60"/>
      <c r="B5" s="56">
        <v>30</v>
      </c>
      <c r="C5" s="56" t="s">
        <v>373</v>
      </c>
      <c r="G5" s="60"/>
      <c r="H5" s="56">
        <v>788</v>
      </c>
      <c r="I5" s="57" t="s">
        <v>333</v>
      </c>
    </row>
    <row r="6" spans="1:9" ht="18" x14ac:dyDescent="0.25">
      <c r="A6" s="60"/>
      <c r="B6" s="77">
        <v>170</v>
      </c>
      <c r="C6" s="56" t="s">
        <v>7</v>
      </c>
      <c r="G6" s="60"/>
      <c r="H6" s="77">
        <v>1100</v>
      </c>
      <c r="I6" s="57" t="s">
        <v>331</v>
      </c>
    </row>
    <row r="7" spans="1:9" ht="18" x14ac:dyDescent="0.25">
      <c r="A7" s="60"/>
      <c r="B7" s="77">
        <v>275</v>
      </c>
      <c r="C7" s="56" t="s">
        <v>8</v>
      </c>
      <c r="G7" s="60"/>
      <c r="H7" s="56">
        <v>2186</v>
      </c>
      <c r="I7" s="57" t="s">
        <v>12</v>
      </c>
    </row>
    <row r="8" spans="1:9" ht="18" x14ac:dyDescent="0.25">
      <c r="A8" s="60"/>
      <c r="B8" s="56">
        <v>40</v>
      </c>
      <c r="C8" s="56" t="s">
        <v>446</v>
      </c>
      <c r="G8" s="60"/>
      <c r="H8" s="77">
        <v>520</v>
      </c>
      <c r="I8" s="57" t="s">
        <v>56</v>
      </c>
    </row>
    <row r="9" spans="1:9" ht="18" x14ac:dyDescent="0.25">
      <c r="A9" s="60"/>
      <c r="B9" s="77">
        <v>20</v>
      </c>
      <c r="C9" s="56" t="s">
        <v>447</v>
      </c>
      <c r="G9" s="60"/>
      <c r="H9" s="77">
        <v>280</v>
      </c>
      <c r="I9" s="57" t="s">
        <v>61</v>
      </c>
    </row>
    <row r="10" spans="1:9" ht="18" x14ac:dyDescent="0.25">
      <c r="A10" s="60"/>
      <c r="B10" s="56">
        <v>160</v>
      </c>
      <c r="C10" s="56" t="s">
        <v>399</v>
      </c>
      <c r="G10" s="60"/>
      <c r="H10" s="56">
        <v>695</v>
      </c>
      <c r="I10" s="57" t="s">
        <v>1481</v>
      </c>
    </row>
    <row r="11" spans="1:9" ht="18" x14ac:dyDescent="0.25">
      <c r="A11" s="60"/>
      <c r="B11" s="56">
        <v>740</v>
      </c>
      <c r="C11" s="56" t="s">
        <v>1472</v>
      </c>
      <c r="G11" s="60"/>
      <c r="H11" s="56">
        <v>460</v>
      </c>
      <c r="I11" s="56" t="s">
        <v>1482</v>
      </c>
    </row>
    <row r="12" spans="1:9" ht="18" x14ac:dyDescent="0.25">
      <c r="A12" s="60"/>
      <c r="B12" s="436">
        <v>740</v>
      </c>
      <c r="C12" s="436" t="s">
        <v>1474</v>
      </c>
      <c r="G12" s="60"/>
      <c r="H12" s="56">
        <v>750</v>
      </c>
      <c r="I12" s="56" t="s">
        <v>1483</v>
      </c>
    </row>
    <row r="13" spans="1:9" ht="18" x14ac:dyDescent="0.25">
      <c r="A13" s="60"/>
      <c r="B13" s="436">
        <v>3310</v>
      </c>
      <c r="C13" s="436" t="s">
        <v>1475</v>
      </c>
      <c r="G13" s="60"/>
      <c r="H13" s="56">
        <v>1580</v>
      </c>
      <c r="I13" s="56" t="s">
        <v>1484</v>
      </c>
    </row>
    <row r="14" spans="1:9" ht="18" x14ac:dyDescent="0.25">
      <c r="A14" s="60"/>
      <c r="B14" s="56"/>
      <c r="C14" s="56"/>
      <c r="G14" s="60"/>
      <c r="H14" s="56">
        <v>125</v>
      </c>
      <c r="I14" s="56" t="s">
        <v>300</v>
      </c>
    </row>
    <row r="15" spans="1:9" ht="18" x14ac:dyDescent="0.25">
      <c r="A15" s="60"/>
      <c r="G15" s="60"/>
      <c r="H15" s="56"/>
      <c r="I15" s="56"/>
    </row>
    <row r="16" spans="1:9" ht="18" x14ac:dyDescent="0.25">
      <c r="A16" s="60"/>
      <c r="G16" s="60"/>
      <c r="H16" s="56"/>
      <c r="I16" s="56"/>
    </row>
    <row r="17" spans="1:11" ht="18" x14ac:dyDescent="0.25">
      <c r="A17" s="60"/>
      <c r="B17" s="56"/>
      <c r="C17" s="56"/>
      <c r="G17" s="60"/>
      <c r="H17" s="56"/>
      <c r="I17" s="56"/>
    </row>
    <row r="18" spans="1:11" ht="18" x14ac:dyDescent="0.25">
      <c r="A18" s="60"/>
      <c r="B18" s="56"/>
      <c r="C18" s="56"/>
      <c r="G18" s="60"/>
      <c r="H18" s="56"/>
      <c r="I18" s="56"/>
    </row>
    <row r="19" spans="1:11" ht="18" x14ac:dyDescent="0.25">
      <c r="A19" s="60"/>
      <c r="B19" s="56"/>
      <c r="C19" s="56"/>
      <c r="G19" s="60"/>
      <c r="H19" s="56"/>
      <c r="I19" s="56"/>
    </row>
    <row r="20" spans="1:11" ht="18" x14ac:dyDescent="0.25">
      <c r="A20" s="60"/>
      <c r="B20" s="56"/>
      <c r="C20" s="56"/>
      <c r="G20" s="60"/>
      <c r="H20" s="56"/>
      <c r="I20" s="56"/>
    </row>
    <row r="21" spans="1:11" ht="18" x14ac:dyDescent="0.25">
      <c r="A21" s="60"/>
      <c r="B21" s="56"/>
      <c r="C21" s="56"/>
      <c r="G21" s="60"/>
      <c r="H21" s="56"/>
      <c r="I21" s="56"/>
    </row>
    <row r="22" spans="1:11" ht="18" x14ac:dyDescent="0.25">
      <c r="A22" s="60"/>
      <c r="B22" s="56"/>
      <c r="C22" s="56"/>
      <c r="G22" s="60"/>
      <c r="H22" s="56"/>
      <c r="I22" s="56"/>
    </row>
    <row r="23" spans="1:11" ht="18.75" thickBot="1" x14ac:dyDescent="0.3">
      <c r="A23" s="60"/>
      <c r="B23" s="56"/>
      <c r="C23" s="56"/>
      <c r="G23" s="60"/>
      <c r="I23" s="56"/>
    </row>
    <row r="24" spans="1:11" ht="24" thickBot="1" x14ac:dyDescent="0.3">
      <c r="A24" s="66"/>
      <c r="B24" s="56"/>
      <c r="C24" s="64"/>
      <c r="D24" s="314" t="str">
        <f>IF(E24&gt;0,"زيادة","عجز")</f>
        <v>زيادة</v>
      </c>
      <c r="E24" s="99">
        <f>E29-E25</f>
        <v>80</v>
      </c>
      <c r="G24" s="66"/>
      <c r="H24" s="56"/>
      <c r="I24" s="64"/>
    </row>
    <row r="25" spans="1:11" ht="24" thickBot="1" x14ac:dyDescent="0.3">
      <c r="A25" s="68">
        <f>SUM(A4:A24)</f>
        <v>11600</v>
      </c>
      <c r="B25" s="69">
        <f>SUM(B4:B24)</f>
        <v>5535</v>
      </c>
      <c r="D25" s="135" t="s">
        <v>94</v>
      </c>
      <c r="E25" s="99">
        <f>6279-5849</f>
        <v>430</v>
      </c>
      <c r="G25" s="68">
        <f>SUM(G4:G24)</f>
        <v>6050</v>
      </c>
      <c r="H25" s="69">
        <f>SUM(H4:H24)</f>
        <v>9139</v>
      </c>
      <c r="J25" s="314" t="str">
        <f>IF(K25&gt;0,"زيادة","عجز")</f>
        <v>زيادة</v>
      </c>
      <c r="K25" s="99">
        <f>K30-K26</f>
        <v>19</v>
      </c>
    </row>
    <row r="26" spans="1:11" ht="24" thickBot="1" x14ac:dyDescent="0.3">
      <c r="A26" s="462" t="s">
        <v>139</v>
      </c>
      <c r="B26" s="463"/>
      <c r="C26" s="71" t="s">
        <v>75</v>
      </c>
      <c r="D26" s="136" t="s">
        <v>65</v>
      </c>
      <c r="E26" s="85">
        <f>250+240</f>
        <v>490</v>
      </c>
      <c r="G26" s="462" t="s">
        <v>139</v>
      </c>
      <c r="H26" s="463"/>
      <c r="I26" s="71" t="s">
        <v>75</v>
      </c>
      <c r="J26" s="135" t="s">
        <v>94</v>
      </c>
      <c r="K26" s="99">
        <f>5849-19044+15000</f>
        <v>1805</v>
      </c>
    </row>
    <row r="27" spans="1:11" ht="24" thickBot="1" x14ac:dyDescent="0.3">
      <c r="A27" s="464">
        <f>B25+A25</f>
        <v>17135</v>
      </c>
      <c r="B27" s="465"/>
      <c r="C27" s="313">
        <f>217+165+284</f>
        <v>666</v>
      </c>
      <c r="D27" s="82" t="s">
        <v>10</v>
      </c>
      <c r="E27" s="83">
        <v>20</v>
      </c>
      <c r="G27" s="464">
        <f>H25+G25</f>
        <v>15189</v>
      </c>
      <c r="H27" s="465"/>
      <c r="I27" s="313">
        <f>120+498+110+57+101+80</f>
        <v>966</v>
      </c>
      <c r="J27" s="136" t="s">
        <v>65</v>
      </c>
      <c r="K27" s="85">
        <f>1805</f>
        <v>1805</v>
      </c>
    </row>
    <row r="28" spans="1:11" ht="24" thickBot="1" x14ac:dyDescent="0.3">
      <c r="A28" s="466" t="s">
        <v>99</v>
      </c>
      <c r="B28" s="467"/>
      <c r="C28" s="78">
        <f>A29-C29</f>
        <v>716</v>
      </c>
      <c r="D28" s="82"/>
      <c r="E28" s="83"/>
      <c r="G28" s="466" t="s">
        <v>99</v>
      </c>
      <c r="H28" s="467"/>
      <c r="I28" s="78">
        <f>G29-I29</f>
        <v>-65</v>
      </c>
      <c r="J28" s="82" t="s">
        <v>54</v>
      </c>
      <c r="K28" s="83">
        <v>19</v>
      </c>
    </row>
    <row r="29" spans="1:11" ht="24" thickBot="1" x14ac:dyDescent="0.3">
      <c r="A29" s="468">
        <f>C27+A27</f>
        <v>17801</v>
      </c>
      <c r="B29" s="469"/>
      <c r="C29" s="121">
        <v>17085</v>
      </c>
      <c r="D29" s="82" t="s">
        <v>164</v>
      </c>
      <c r="E29" s="83">
        <f>SUM(E26:E28)</f>
        <v>510</v>
      </c>
      <c r="G29" s="468">
        <f>I27+G27</f>
        <v>16155</v>
      </c>
      <c r="H29" s="469"/>
      <c r="I29" s="121">
        <f>16095+125</f>
        <v>16220</v>
      </c>
      <c r="J29" s="82"/>
      <c r="K29" s="83"/>
    </row>
    <row r="30" spans="1:11" ht="24" thickBot="1" x14ac:dyDescent="0.3">
      <c r="C30" s="314" t="str">
        <f>IF(C28&gt;0,"زيادة","عجز")</f>
        <v>زيادة</v>
      </c>
      <c r="D30" s="318"/>
      <c r="I30" s="314" t="str">
        <f>IF(I28&gt;0,"زيادة","عجز")</f>
        <v>عجز</v>
      </c>
      <c r="J30" s="82" t="s">
        <v>164</v>
      </c>
      <c r="K30" s="83">
        <f>SUM(K27:K29)</f>
        <v>1824</v>
      </c>
    </row>
    <row r="31" spans="1:11" ht="18.75" x14ac:dyDescent="0.25">
      <c r="J31" s="318"/>
    </row>
    <row r="33" spans="1:11" ht="15.75" thickBot="1" x14ac:dyDescent="0.3"/>
    <row r="34" spans="1:11" ht="24" thickBot="1" x14ac:dyDescent="0.3">
      <c r="A34" s="76" t="s">
        <v>1447</v>
      </c>
      <c r="B34" s="460">
        <v>45132</v>
      </c>
      <c r="C34" s="474"/>
      <c r="G34" s="76" t="s">
        <v>15</v>
      </c>
      <c r="H34" s="460">
        <v>45132</v>
      </c>
      <c r="I34" s="461"/>
    </row>
    <row r="35" spans="1:11" ht="21" thickBot="1" x14ac:dyDescent="0.3">
      <c r="A35" s="53" t="s">
        <v>137</v>
      </c>
      <c r="B35" s="53" t="s">
        <v>3</v>
      </c>
      <c r="C35" s="53" t="s">
        <v>138</v>
      </c>
      <c r="G35" s="53" t="s">
        <v>137</v>
      </c>
      <c r="H35" s="53" t="s">
        <v>3</v>
      </c>
      <c r="I35" s="53" t="s">
        <v>138</v>
      </c>
    </row>
    <row r="36" spans="1:11" ht="18" x14ac:dyDescent="0.25">
      <c r="A36" s="55">
        <f>5000+4000+750+500+500+150-1000+200</f>
        <v>10100</v>
      </c>
      <c r="B36" s="77">
        <v>1000</v>
      </c>
      <c r="C36" s="57" t="s">
        <v>1490</v>
      </c>
      <c r="G36" s="55">
        <f>4830</f>
        <v>4830</v>
      </c>
      <c r="H36" s="77">
        <v>51</v>
      </c>
      <c r="I36" s="57" t="s">
        <v>315</v>
      </c>
    </row>
    <row r="37" spans="1:11" ht="18" x14ac:dyDescent="0.25">
      <c r="A37" s="60"/>
      <c r="B37" s="56">
        <v>30</v>
      </c>
      <c r="C37" s="57" t="s">
        <v>10</v>
      </c>
      <c r="G37" s="60"/>
      <c r="H37" s="56">
        <v>20</v>
      </c>
      <c r="I37" s="57" t="s">
        <v>555</v>
      </c>
    </row>
    <row r="38" spans="1:11" ht="18" x14ac:dyDescent="0.25">
      <c r="A38" s="60"/>
      <c r="B38" s="77">
        <v>2630</v>
      </c>
      <c r="C38" s="77" t="s">
        <v>1491</v>
      </c>
      <c r="G38" s="60"/>
      <c r="H38" s="77">
        <v>100</v>
      </c>
      <c r="I38" s="77" t="s">
        <v>1419</v>
      </c>
    </row>
    <row r="39" spans="1:11" ht="18" x14ac:dyDescent="0.25">
      <c r="A39" s="60"/>
      <c r="B39" s="56">
        <v>1000</v>
      </c>
      <c r="C39" s="77" t="s">
        <v>338</v>
      </c>
      <c r="G39" s="60"/>
      <c r="H39" s="56">
        <v>100</v>
      </c>
      <c r="I39" s="77" t="s">
        <v>29</v>
      </c>
    </row>
    <row r="40" spans="1:11" ht="18" x14ac:dyDescent="0.25">
      <c r="A40" s="60"/>
      <c r="B40" s="77">
        <v>190</v>
      </c>
      <c r="C40" s="56" t="s">
        <v>1450</v>
      </c>
      <c r="G40" s="60"/>
      <c r="H40" s="77">
        <v>20</v>
      </c>
      <c r="I40" s="56" t="s">
        <v>1493</v>
      </c>
    </row>
    <row r="41" spans="1:11" ht="18" x14ac:dyDescent="0.25">
      <c r="A41" s="60"/>
      <c r="B41" s="77">
        <v>3000</v>
      </c>
      <c r="C41" s="56" t="s">
        <v>1492</v>
      </c>
      <c r="G41" s="60"/>
      <c r="H41" s="77">
        <v>420</v>
      </c>
      <c r="I41" s="56" t="s">
        <v>1494</v>
      </c>
    </row>
    <row r="42" spans="1:11" ht="18" x14ac:dyDescent="0.25">
      <c r="A42" s="60"/>
      <c r="B42" s="56"/>
      <c r="C42" s="56"/>
      <c r="G42" s="60"/>
      <c r="H42" s="56">
        <v>118</v>
      </c>
      <c r="I42" s="56" t="s">
        <v>32</v>
      </c>
    </row>
    <row r="43" spans="1:11" ht="18" x14ac:dyDescent="0.25">
      <c r="A43" s="60"/>
      <c r="B43" s="56"/>
      <c r="C43" s="56"/>
      <c r="G43" s="60"/>
      <c r="H43" s="56">
        <v>3082</v>
      </c>
      <c r="I43" s="56" t="s">
        <v>589</v>
      </c>
    </row>
    <row r="44" spans="1:11" ht="18" x14ac:dyDescent="0.25">
      <c r="A44" s="60"/>
      <c r="B44" s="56"/>
      <c r="C44" s="56"/>
      <c r="G44" s="60"/>
      <c r="H44" s="56">
        <v>225</v>
      </c>
      <c r="I44" s="56" t="s">
        <v>1319</v>
      </c>
    </row>
    <row r="45" spans="1:11" ht="18" x14ac:dyDescent="0.25">
      <c r="A45" s="60"/>
      <c r="B45" s="56"/>
      <c r="C45" s="56"/>
      <c r="G45" s="60"/>
      <c r="H45" s="56">
        <v>18000</v>
      </c>
      <c r="I45" s="56" t="s">
        <v>27</v>
      </c>
      <c r="K45">
        <f>20+3+10+120+20+8+34+8+14+30+25</f>
        <v>292</v>
      </c>
    </row>
    <row r="46" spans="1:11" ht="18" x14ac:dyDescent="0.25">
      <c r="A46" s="60"/>
      <c r="B46" s="56"/>
      <c r="C46" s="56"/>
      <c r="G46" s="60"/>
      <c r="H46" s="56"/>
      <c r="I46" s="56"/>
    </row>
    <row r="47" spans="1:11" ht="18" x14ac:dyDescent="0.25">
      <c r="A47" s="60"/>
      <c r="B47" s="56"/>
      <c r="C47" s="56"/>
      <c r="G47" s="60"/>
      <c r="H47" s="56"/>
      <c r="I47" s="56"/>
    </row>
    <row r="48" spans="1:11" ht="18" x14ac:dyDescent="0.25">
      <c r="A48" s="60"/>
      <c r="B48" s="56"/>
      <c r="C48" s="56"/>
      <c r="G48" s="60"/>
      <c r="H48" s="56"/>
      <c r="I48" s="56"/>
    </row>
    <row r="49" spans="1:11" ht="18" x14ac:dyDescent="0.25">
      <c r="A49" s="60"/>
      <c r="B49" s="56"/>
      <c r="C49" s="56"/>
      <c r="G49" s="60"/>
      <c r="H49" s="56"/>
      <c r="I49" s="56"/>
    </row>
    <row r="50" spans="1:11" ht="18" x14ac:dyDescent="0.25">
      <c r="A50" s="60"/>
      <c r="B50" s="56"/>
      <c r="C50" s="56"/>
      <c r="G50" s="60"/>
      <c r="H50" s="56"/>
      <c r="I50" s="56"/>
    </row>
    <row r="51" spans="1:11" ht="27" thickBot="1" x14ac:dyDescent="0.45">
      <c r="A51" s="60"/>
      <c r="B51" s="56"/>
      <c r="C51" s="56"/>
      <c r="D51" s="472"/>
      <c r="E51" s="473"/>
      <c r="G51" s="60"/>
      <c r="H51" s="56"/>
      <c r="I51" s="56"/>
    </row>
    <row r="52" spans="1:11" ht="24" thickBot="1" x14ac:dyDescent="0.3">
      <c r="A52" s="66"/>
      <c r="B52" s="56"/>
      <c r="C52" s="64"/>
      <c r="D52" s="314" t="str">
        <f>IF(E52&gt;0,"زيادة","عجز")</f>
        <v>عجز</v>
      </c>
      <c r="E52" s="99">
        <f>E58-E53</f>
        <v>0</v>
      </c>
      <c r="G52" s="60"/>
      <c r="H52" s="56"/>
      <c r="I52" s="56"/>
    </row>
    <row r="53" spans="1:11" ht="24" thickBot="1" x14ac:dyDescent="0.3">
      <c r="A53" s="68">
        <f>SUM(A36:A52)</f>
        <v>10100</v>
      </c>
      <c r="B53" s="69">
        <f>SUM(B36:B52)</f>
        <v>7850</v>
      </c>
      <c r="D53" s="135" t="s">
        <v>94</v>
      </c>
      <c r="E53" s="99"/>
      <c r="G53" s="60"/>
      <c r="H53" s="56"/>
      <c r="I53" s="56"/>
    </row>
    <row r="54" spans="1:11" ht="21.75" thickBot="1" x14ac:dyDescent="0.3">
      <c r="A54" s="365" t="s">
        <v>139</v>
      </c>
      <c r="B54" s="366"/>
      <c r="C54" s="71" t="s">
        <v>75</v>
      </c>
      <c r="D54" s="136" t="s">
        <v>65</v>
      </c>
      <c r="E54" s="85"/>
      <c r="G54" s="60"/>
      <c r="H54" s="56"/>
      <c r="I54" s="56"/>
    </row>
    <row r="55" spans="1:11" ht="24" thickBot="1" x14ac:dyDescent="0.3">
      <c r="A55" s="367">
        <f>B53+A53</f>
        <v>17950</v>
      </c>
      <c r="B55" s="368"/>
      <c r="C55" s="313">
        <f>186+205+141</f>
        <v>532</v>
      </c>
      <c r="D55" s="82"/>
      <c r="E55" s="83"/>
      <c r="G55" s="66"/>
      <c r="H55" s="56"/>
      <c r="I55" s="64"/>
    </row>
    <row r="56" spans="1:11" ht="24" thickBot="1" x14ac:dyDescent="0.3">
      <c r="A56" s="369" t="s">
        <v>99</v>
      </c>
      <c r="B56" s="370"/>
      <c r="C56" s="78">
        <f>A57-C57</f>
        <v>19</v>
      </c>
      <c r="D56" s="82"/>
      <c r="E56" s="83"/>
      <c r="G56" s="68">
        <f>SUM(G36:G55)</f>
        <v>4830</v>
      </c>
      <c r="H56" s="69">
        <f>SUM(H36:H55)</f>
        <v>22136</v>
      </c>
      <c r="J56" s="314" t="str">
        <f>IF(K56&gt;0,"زيادة","عجز")</f>
        <v>زيادة</v>
      </c>
      <c r="K56" s="99">
        <f>K61-K57</f>
        <v>29</v>
      </c>
    </row>
    <row r="57" spans="1:11" ht="24" thickBot="1" x14ac:dyDescent="0.3">
      <c r="A57" s="371">
        <f>C55+A55</f>
        <v>18482</v>
      </c>
      <c r="B57" s="372"/>
      <c r="C57" s="121">
        <v>18463</v>
      </c>
      <c r="D57" s="82"/>
      <c r="E57" s="83"/>
      <c r="G57" s="462" t="s">
        <v>139</v>
      </c>
      <c r="H57" s="463"/>
      <c r="I57" s="71" t="s">
        <v>75</v>
      </c>
      <c r="J57" s="135" t="s">
        <v>94</v>
      </c>
      <c r="K57" s="99">
        <f>757-229</f>
        <v>528</v>
      </c>
    </row>
    <row r="58" spans="1:11" ht="24" thickBot="1" x14ac:dyDescent="0.3">
      <c r="C58" s="314" t="str">
        <f>IF(C56&gt;0,"زيادة","عجز")</f>
        <v>زيادة</v>
      </c>
      <c r="D58" s="82" t="s">
        <v>164</v>
      </c>
      <c r="E58" s="83">
        <f>SUM(E54:E57)</f>
        <v>0</v>
      </c>
      <c r="G58" s="464">
        <f>H56+G56</f>
        <v>26966</v>
      </c>
      <c r="H58" s="465"/>
      <c r="I58" s="313">
        <f>538+221+241+925+225</f>
        <v>2150</v>
      </c>
      <c r="J58" s="136" t="s">
        <v>65</v>
      </c>
      <c r="K58" s="85">
        <f>2+555</f>
        <v>557</v>
      </c>
    </row>
    <row r="59" spans="1:11" ht="24" thickBot="1" x14ac:dyDescent="0.3">
      <c r="D59" s="318"/>
      <c r="G59" s="466" t="s">
        <v>99</v>
      </c>
      <c r="H59" s="467"/>
      <c r="I59" s="78">
        <f>G60-I60</f>
        <v>53</v>
      </c>
      <c r="J59" s="82"/>
      <c r="K59" s="83"/>
    </row>
    <row r="60" spans="1:11" ht="24" thickBot="1" x14ac:dyDescent="0.3">
      <c r="G60" s="468">
        <f>I58+G58</f>
        <v>29116</v>
      </c>
      <c r="H60" s="469"/>
      <c r="I60" s="121">
        <v>29063</v>
      </c>
      <c r="J60" s="82"/>
      <c r="K60" s="83"/>
    </row>
    <row r="61" spans="1:11" ht="24" thickBot="1" x14ac:dyDescent="0.3">
      <c r="I61" s="314" t="str">
        <f>IF(I59&gt;0,"زيادة","عجز")</f>
        <v>زيادة</v>
      </c>
      <c r="J61" s="82" t="s">
        <v>164</v>
      </c>
      <c r="K61" s="83">
        <f>SUM(K58:K60)</f>
        <v>557</v>
      </c>
    </row>
    <row r="62" spans="1:11" ht="24" thickBot="1" x14ac:dyDescent="0.3">
      <c r="I62" s="372"/>
      <c r="J62" s="318"/>
    </row>
    <row r="63" spans="1:11" ht="24" thickBot="1" x14ac:dyDescent="0.3">
      <c r="A63" s="76" t="s">
        <v>88</v>
      </c>
      <c r="B63" s="460">
        <v>45133</v>
      </c>
      <c r="C63" s="474"/>
      <c r="G63" s="76" t="s">
        <v>1162</v>
      </c>
      <c r="H63" s="460">
        <v>45133</v>
      </c>
      <c r="I63" s="461"/>
      <c r="J63" s="104"/>
    </row>
    <row r="64" spans="1:11" ht="21" thickBot="1" x14ac:dyDescent="0.3">
      <c r="A64" s="53" t="s">
        <v>137</v>
      </c>
      <c r="B64" s="53" t="s">
        <v>3</v>
      </c>
      <c r="C64" s="53" t="s">
        <v>138</v>
      </c>
      <c r="G64" s="53" t="s">
        <v>137</v>
      </c>
      <c r="H64" s="53" t="s">
        <v>3</v>
      </c>
      <c r="I64" s="53" t="s">
        <v>138</v>
      </c>
    </row>
    <row r="65" spans="1:9" ht="18" x14ac:dyDescent="0.25">
      <c r="A65" s="55">
        <f>10000+5000+500+51</f>
        <v>15551</v>
      </c>
      <c r="B65" s="77">
        <v>140</v>
      </c>
      <c r="C65" s="57" t="s">
        <v>341</v>
      </c>
      <c r="G65" s="55">
        <f>5000+3800+30+3</f>
        <v>8833</v>
      </c>
      <c r="H65" s="77">
        <v>95</v>
      </c>
      <c r="I65" s="57" t="s">
        <v>223</v>
      </c>
    </row>
    <row r="66" spans="1:9" ht="18" x14ac:dyDescent="0.25">
      <c r="A66" s="60"/>
      <c r="B66" s="56">
        <v>354</v>
      </c>
      <c r="C66" s="57" t="s">
        <v>252</v>
      </c>
      <c r="G66" s="60"/>
      <c r="H66" s="56">
        <v>80</v>
      </c>
      <c r="I66" s="57" t="s">
        <v>1219</v>
      </c>
    </row>
    <row r="67" spans="1:9" ht="18" x14ac:dyDescent="0.25">
      <c r="A67" s="60"/>
      <c r="B67" s="77">
        <v>205</v>
      </c>
      <c r="C67" s="77" t="s">
        <v>255</v>
      </c>
      <c r="G67" s="60"/>
      <c r="H67" s="77">
        <v>215</v>
      </c>
      <c r="I67" s="77" t="s">
        <v>741</v>
      </c>
    </row>
    <row r="68" spans="1:9" ht="18" x14ac:dyDescent="0.25">
      <c r="A68" s="60"/>
      <c r="B68" s="56">
        <v>168</v>
      </c>
      <c r="C68" s="77" t="s">
        <v>211</v>
      </c>
      <c r="G68" s="60"/>
      <c r="H68" s="56">
        <v>100</v>
      </c>
      <c r="I68" s="77" t="s">
        <v>376</v>
      </c>
    </row>
    <row r="69" spans="1:9" ht="18" x14ac:dyDescent="0.25">
      <c r="A69" s="60"/>
      <c r="B69" s="77">
        <v>40</v>
      </c>
      <c r="C69" s="56" t="s">
        <v>212</v>
      </c>
      <c r="G69" s="60"/>
      <c r="H69" s="77">
        <v>80</v>
      </c>
      <c r="I69" s="56" t="s">
        <v>26</v>
      </c>
    </row>
    <row r="70" spans="1:9" ht="18" x14ac:dyDescent="0.25">
      <c r="A70" s="60"/>
      <c r="B70" s="77">
        <v>120</v>
      </c>
      <c r="C70" s="56" t="s">
        <v>288</v>
      </c>
      <c r="G70" s="60"/>
      <c r="H70" s="77"/>
      <c r="I70" s="56"/>
    </row>
    <row r="71" spans="1:9" ht="18" x14ac:dyDescent="0.25">
      <c r="A71" s="60"/>
      <c r="B71" s="56">
        <v>120</v>
      </c>
      <c r="C71" s="56" t="s">
        <v>393</v>
      </c>
      <c r="G71" s="60"/>
      <c r="H71" s="56"/>
      <c r="I71" s="56"/>
    </row>
    <row r="72" spans="1:9" ht="18" x14ac:dyDescent="0.25">
      <c r="A72" s="60"/>
      <c r="B72" s="56">
        <v>68</v>
      </c>
      <c r="C72" s="56" t="s">
        <v>339</v>
      </c>
      <c r="G72" s="60"/>
      <c r="H72" s="56"/>
      <c r="I72" s="56"/>
    </row>
    <row r="73" spans="1:9" ht="18" x14ac:dyDescent="0.25">
      <c r="A73" s="60"/>
      <c r="B73" s="56">
        <v>260</v>
      </c>
      <c r="C73" s="56" t="s">
        <v>744</v>
      </c>
      <c r="G73" s="60"/>
      <c r="H73" s="56"/>
      <c r="I73" s="56"/>
    </row>
    <row r="74" spans="1:9" ht="18" x14ac:dyDescent="0.25">
      <c r="A74" s="60"/>
      <c r="B74" s="56">
        <v>140</v>
      </c>
      <c r="C74" s="56" t="s">
        <v>265</v>
      </c>
      <c r="G74" s="60"/>
      <c r="H74" s="56"/>
      <c r="I74" s="56"/>
    </row>
    <row r="75" spans="1:9" ht="18" x14ac:dyDescent="0.25">
      <c r="A75" s="60"/>
      <c r="B75" s="56">
        <v>140</v>
      </c>
      <c r="C75" s="56" t="s">
        <v>39</v>
      </c>
      <c r="G75" s="60"/>
      <c r="H75" s="56"/>
      <c r="I75" s="56"/>
    </row>
    <row r="76" spans="1:9" ht="18" x14ac:dyDescent="0.25">
      <c r="A76" s="60"/>
      <c r="B76" s="437">
        <v>190</v>
      </c>
      <c r="C76" s="437" t="s">
        <v>34</v>
      </c>
      <c r="G76" s="60"/>
      <c r="H76" s="56"/>
      <c r="I76" s="56"/>
    </row>
    <row r="77" spans="1:9" ht="18" x14ac:dyDescent="0.25">
      <c r="A77" s="60"/>
      <c r="B77" s="56">
        <v>2320</v>
      </c>
      <c r="C77" s="56" t="s">
        <v>12</v>
      </c>
      <c r="G77" s="60"/>
      <c r="H77" s="56"/>
      <c r="I77" s="56"/>
    </row>
    <row r="78" spans="1:9" ht="18" x14ac:dyDescent="0.25">
      <c r="A78" s="60"/>
      <c r="B78" s="56">
        <v>1060</v>
      </c>
      <c r="C78" s="56" t="s">
        <v>1495</v>
      </c>
      <c r="G78" s="60"/>
      <c r="H78" s="56"/>
      <c r="I78" s="56"/>
    </row>
    <row r="79" spans="1:9" ht="18" x14ac:dyDescent="0.25">
      <c r="A79" s="60"/>
      <c r="B79" s="56">
        <v>1425</v>
      </c>
      <c r="C79" s="56" t="s">
        <v>51</v>
      </c>
      <c r="G79" s="60"/>
      <c r="H79" s="56"/>
      <c r="I79" s="56"/>
    </row>
    <row r="80" spans="1:9" ht="18" x14ac:dyDescent="0.25">
      <c r="A80" s="60"/>
      <c r="B80" s="56">
        <v>50</v>
      </c>
      <c r="C80" s="56" t="s">
        <v>1073</v>
      </c>
      <c r="G80" s="60"/>
      <c r="H80" s="56"/>
      <c r="I80" s="56"/>
    </row>
    <row r="81" spans="1:11" ht="18" x14ac:dyDescent="0.25">
      <c r="A81" s="60"/>
      <c r="B81" s="56"/>
      <c r="C81" s="56"/>
      <c r="G81" s="60"/>
      <c r="H81" s="56"/>
      <c r="I81" s="56"/>
    </row>
    <row r="82" spans="1:11" ht="18" x14ac:dyDescent="0.25">
      <c r="A82" s="60"/>
      <c r="B82" s="56"/>
      <c r="C82" s="56"/>
      <c r="G82" s="60"/>
      <c r="H82" s="56"/>
      <c r="I82" s="56"/>
    </row>
    <row r="83" spans="1:11" ht="18" x14ac:dyDescent="0.25">
      <c r="A83" s="60"/>
      <c r="B83" s="56"/>
      <c r="C83" s="56"/>
      <c r="G83" s="60"/>
      <c r="H83" s="56"/>
      <c r="I83" s="56"/>
    </row>
    <row r="84" spans="1:11" ht="18" x14ac:dyDescent="0.25">
      <c r="A84" s="60"/>
      <c r="B84" s="56"/>
      <c r="C84" s="56"/>
      <c r="G84" s="60"/>
      <c r="H84" s="56"/>
      <c r="I84" s="56"/>
    </row>
    <row r="85" spans="1:11" ht="18" x14ac:dyDescent="0.25">
      <c r="A85" s="60"/>
      <c r="B85" s="56"/>
      <c r="C85" s="56"/>
      <c r="G85" s="60"/>
      <c r="H85" s="56"/>
      <c r="I85" s="56"/>
    </row>
    <row r="86" spans="1:11" ht="18" x14ac:dyDescent="0.25">
      <c r="A86" s="60"/>
      <c r="B86" s="56"/>
      <c r="C86" s="56"/>
      <c r="G86" s="60"/>
      <c r="H86" s="56"/>
      <c r="I86" s="56"/>
    </row>
    <row r="87" spans="1:11" ht="18.75" thickBot="1" x14ac:dyDescent="0.3">
      <c r="A87" s="66"/>
      <c r="B87" s="56"/>
      <c r="C87" s="64"/>
      <c r="E87" s="424"/>
      <c r="G87" s="66"/>
      <c r="H87" s="56"/>
      <c r="I87" s="64"/>
    </row>
    <row r="88" spans="1:11" ht="24" thickBot="1" x14ac:dyDescent="0.3">
      <c r="A88" s="68">
        <f>SUM(A65:A87)</f>
        <v>15551</v>
      </c>
      <c r="B88" s="69">
        <f>SUM(B65:B87)</f>
        <v>6800</v>
      </c>
      <c r="D88" s="314" t="str">
        <f>IF(E88&gt;0,"زيادة","عجز")</f>
        <v>زيادة</v>
      </c>
      <c r="E88" s="99">
        <f>E93-E89</f>
        <v>32</v>
      </c>
      <c r="G88" s="68">
        <f>SUM(G65:G87)</f>
        <v>8833</v>
      </c>
      <c r="H88" s="69">
        <f>SUM(H65:H87)</f>
        <v>570</v>
      </c>
      <c r="J88" s="314" t="str">
        <f>IF(K88&gt;0,"زيادة","عجز")</f>
        <v>زيادة</v>
      </c>
      <c r="K88" s="99">
        <f>K93-K89</f>
        <v>87</v>
      </c>
    </row>
    <row r="89" spans="1:11" ht="24" thickBot="1" x14ac:dyDescent="0.3">
      <c r="A89" s="365" t="s">
        <v>139</v>
      </c>
      <c r="B89" s="366"/>
      <c r="C89" s="71" t="s">
        <v>75</v>
      </c>
      <c r="D89" s="135" t="s">
        <v>94</v>
      </c>
      <c r="E89" s="99">
        <f>2245-757</f>
        <v>1488</v>
      </c>
      <c r="G89" s="462" t="s">
        <v>139</v>
      </c>
      <c r="H89" s="463"/>
      <c r="I89" s="71" t="s">
        <v>75</v>
      </c>
      <c r="J89" s="135" t="s">
        <v>94</v>
      </c>
      <c r="K89" s="99">
        <f>19044-16946</f>
        <v>2098</v>
      </c>
    </row>
    <row r="90" spans="1:11" ht="24" thickBot="1" x14ac:dyDescent="0.3">
      <c r="A90" s="367">
        <f>B88+A88</f>
        <v>22351</v>
      </c>
      <c r="B90" s="368"/>
      <c r="C90" s="313">
        <f>189+117</f>
        <v>306</v>
      </c>
      <c r="D90" s="136" t="s">
        <v>65</v>
      </c>
      <c r="E90" s="85">
        <f>1520</f>
        <v>1520</v>
      </c>
      <c r="G90" s="464">
        <f>H88+G88</f>
        <v>9403</v>
      </c>
      <c r="H90" s="465"/>
      <c r="I90" s="313">
        <f>50+55+319+815</f>
        <v>1239</v>
      </c>
      <c r="J90" s="136" t="s">
        <v>65</v>
      </c>
      <c r="K90" s="85">
        <f>1900+275</f>
        <v>2175</v>
      </c>
    </row>
    <row r="91" spans="1:11" ht="24" thickBot="1" x14ac:dyDescent="0.3">
      <c r="A91" s="466" t="s">
        <v>99</v>
      </c>
      <c r="B91" s="467"/>
      <c r="C91" s="78">
        <f>A92-C92</f>
        <v>-43</v>
      </c>
      <c r="D91" s="82" t="s">
        <v>373</v>
      </c>
      <c r="E91" s="83"/>
      <c r="G91" s="466" t="s">
        <v>99</v>
      </c>
      <c r="H91" s="467"/>
      <c r="I91" s="78">
        <f>G92-I92</f>
        <v>63</v>
      </c>
      <c r="J91" s="82" t="s">
        <v>1497</v>
      </c>
      <c r="K91" s="83">
        <v>10</v>
      </c>
    </row>
    <row r="92" spans="1:11" ht="24" thickBot="1" x14ac:dyDescent="0.3">
      <c r="A92" s="468">
        <f>C90+A90</f>
        <v>22657</v>
      </c>
      <c r="B92" s="469"/>
      <c r="C92" s="121">
        <v>22700</v>
      </c>
      <c r="D92" s="82" t="s">
        <v>75</v>
      </c>
      <c r="E92" s="83"/>
      <c r="G92" s="468">
        <f>I90+G90</f>
        <v>10642</v>
      </c>
      <c r="H92" s="469"/>
      <c r="I92" s="121">
        <f>10019+560</f>
        <v>10579</v>
      </c>
      <c r="J92" s="82"/>
      <c r="K92" s="83"/>
    </row>
    <row r="93" spans="1:11" ht="24" thickBot="1" x14ac:dyDescent="0.3">
      <c r="C93" s="314" t="str">
        <f>IF(C91&gt;0,"زيادة","عجز")</f>
        <v>عجز</v>
      </c>
      <c r="D93" s="82" t="s">
        <v>164</v>
      </c>
      <c r="E93" s="83">
        <f>SUM(E90:E92)</f>
        <v>1520</v>
      </c>
      <c r="I93" s="314" t="str">
        <f>IF(I91&gt;0,"زيادة","عجز")</f>
        <v>زيادة</v>
      </c>
      <c r="J93" s="82" t="s">
        <v>164</v>
      </c>
      <c r="K93" s="83">
        <f>SUM(K90:K92)</f>
        <v>2185</v>
      </c>
    </row>
    <row r="94" spans="1:11" ht="18.75" x14ac:dyDescent="0.25">
      <c r="D94" s="318"/>
      <c r="J94" s="318"/>
    </row>
    <row r="95" spans="1:11" ht="15.75" thickBot="1" x14ac:dyDescent="0.3"/>
    <row r="96" spans="1:11" ht="24" thickBot="1" x14ac:dyDescent="0.3">
      <c r="A96" s="425" t="s">
        <v>15</v>
      </c>
      <c r="B96" s="460">
        <v>45127</v>
      </c>
      <c r="C96" s="461"/>
      <c r="G96" s="425" t="s">
        <v>85</v>
      </c>
      <c r="H96" s="460">
        <v>45127</v>
      </c>
      <c r="I96" s="461"/>
    </row>
    <row r="97" spans="1:9" ht="21" thickBot="1" x14ac:dyDescent="0.3">
      <c r="A97" s="53" t="s">
        <v>137</v>
      </c>
      <c r="B97" s="53" t="s">
        <v>3</v>
      </c>
      <c r="C97" s="53" t="s">
        <v>138</v>
      </c>
      <c r="G97" s="53" t="s">
        <v>137</v>
      </c>
      <c r="H97" s="53" t="s">
        <v>3</v>
      </c>
      <c r="I97" s="53" t="s">
        <v>138</v>
      </c>
    </row>
    <row r="98" spans="1:9" ht="18" x14ac:dyDescent="0.25">
      <c r="A98" s="55"/>
      <c r="B98" s="77"/>
      <c r="C98" s="57"/>
      <c r="G98" s="55"/>
      <c r="H98" s="77"/>
      <c r="I98" s="57"/>
    </row>
    <row r="99" spans="1:9" ht="18" x14ac:dyDescent="0.25">
      <c r="A99" s="60"/>
      <c r="B99" s="56"/>
      <c r="C99" s="57"/>
      <c r="G99" s="60"/>
      <c r="H99" s="56"/>
      <c r="I99" s="57"/>
    </row>
    <row r="100" spans="1:9" ht="18" x14ac:dyDescent="0.25">
      <c r="A100" s="60"/>
      <c r="B100" s="77"/>
      <c r="C100" s="77"/>
      <c r="G100" s="60"/>
      <c r="H100" s="77"/>
      <c r="I100" s="77"/>
    </row>
    <row r="101" spans="1:9" ht="18" x14ac:dyDescent="0.25">
      <c r="A101" s="60"/>
      <c r="B101" s="56"/>
      <c r="C101" s="77"/>
      <c r="G101" s="60"/>
      <c r="H101" s="56"/>
      <c r="I101" s="77"/>
    </row>
    <row r="102" spans="1:9" ht="18" x14ac:dyDescent="0.25">
      <c r="A102" s="60"/>
      <c r="B102" s="77"/>
      <c r="C102" s="56"/>
      <c r="G102" s="60"/>
      <c r="H102" s="77"/>
      <c r="I102" s="56"/>
    </row>
    <row r="103" spans="1:9" ht="18" x14ac:dyDescent="0.25">
      <c r="A103" s="60"/>
      <c r="B103" s="77"/>
      <c r="C103" s="56"/>
      <c r="G103" s="60"/>
      <c r="H103" s="77"/>
      <c r="I103" s="56"/>
    </row>
    <row r="104" spans="1:9" ht="18" x14ac:dyDescent="0.25">
      <c r="A104" s="60"/>
      <c r="B104" s="56"/>
      <c r="C104" s="56"/>
      <c r="G104" s="60"/>
      <c r="H104" s="56"/>
      <c r="I104" s="56"/>
    </row>
    <row r="105" spans="1:9" ht="18" x14ac:dyDescent="0.25">
      <c r="A105" s="60"/>
      <c r="B105" s="56"/>
      <c r="C105" s="56"/>
      <c r="G105" s="60"/>
      <c r="H105" s="56"/>
      <c r="I105" s="56"/>
    </row>
    <row r="106" spans="1:9" ht="18" x14ac:dyDescent="0.25">
      <c r="A106" s="60"/>
      <c r="B106" s="56"/>
      <c r="C106" s="56"/>
      <c r="G106" s="60"/>
      <c r="H106" s="56"/>
      <c r="I106" s="56"/>
    </row>
    <row r="107" spans="1:9" ht="18" x14ac:dyDescent="0.25">
      <c r="A107" s="60"/>
      <c r="B107" s="56"/>
      <c r="C107" s="56"/>
      <c r="G107" s="60"/>
      <c r="H107" s="56"/>
      <c r="I107" s="56"/>
    </row>
    <row r="108" spans="1:9" ht="18" x14ac:dyDescent="0.25">
      <c r="A108" s="60"/>
      <c r="B108" s="56"/>
      <c r="C108" s="56"/>
      <c r="G108" s="60"/>
      <c r="H108" s="56"/>
      <c r="I108" s="56"/>
    </row>
    <row r="109" spans="1:9" ht="18" x14ac:dyDescent="0.25">
      <c r="A109" s="60"/>
      <c r="B109" s="56"/>
      <c r="C109" s="56"/>
      <c r="G109" s="60"/>
      <c r="H109" s="56"/>
      <c r="I109" s="56"/>
    </row>
    <row r="110" spans="1:9" ht="18" x14ac:dyDescent="0.25">
      <c r="A110" s="60"/>
      <c r="B110" s="56"/>
      <c r="C110" s="56"/>
      <c r="G110" s="60"/>
      <c r="H110" s="56"/>
      <c r="I110" s="56"/>
    </row>
    <row r="111" spans="1:9" ht="18" x14ac:dyDescent="0.25">
      <c r="A111" s="60"/>
      <c r="B111" s="56"/>
      <c r="C111" s="56"/>
      <c r="G111" s="60"/>
      <c r="H111" s="56"/>
      <c r="I111" s="56"/>
    </row>
    <row r="112" spans="1:9" ht="18" x14ac:dyDescent="0.25">
      <c r="A112" s="60"/>
      <c r="B112" s="56"/>
      <c r="C112" s="56"/>
      <c r="G112" s="60"/>
      <c r="H112" s="56"/>
      <c r="I112" s="56"/>
    </row>
    <row r="113" spans="1:11" ht="18" x14ac:dyDescent="0.25">
      <c r="A113" s="60"/>
      <c r="B113" s="56"/>
      <c r="C113" s="56"/>
      <c r="G113" s="60"/>
      <c r="H113" s="56"/>
      <c r="I113" s="56"/>
    </row>
    <row r="114" spans="1:11" ht="18" x14ac:dyDescent="0.25">
      <c r="A114" s="60"/>
      <c r="B114" s="56"/>
      <c r="C114" s="56"/>
      <c r="G114" s="60"/>
      <c r="H114" s="56"/>
      <c r="I114" s="56"/>
    </row>
    <row r="115" spans="1:11" ht="18" x14ac:dyDescent="0.25">
      <c r="A115" s="60"/>
      <c r="B115" s="56"/>
      <c r="C115" s="56"/>
      <c r="G115" s="60"/>
      <c r="H115" s="56"/>
      <c r="I115" s="56"/>
    </row>
    <row r="116" spans="1:11" ht="18" x14ac:dyDescent="0.25">
      <c r="A116" s="60"/>
      <c r="B116" s="56"/>
      <c r="C116" s="56"/>
      <c r="G116" s="60"/>
      <c r="H116" s="56"/>
      <c r="I116" s="56"/>
    </row>
    <row r="117" spans="1:11" ht="18" x14ac:dyDescent="0.25">
      <c r="A117" s="60"/>
      <c r="B117" s="56"/>
      <c r="C117" s="56"/>
      <c r="G117" s="60"/>
      <c r="H117" s="56"/>
      <c r="I117" s="56"/>
    </row>
    <row r="118" spans="1:11" ht="18" x14ac:dyDescent="0.25">
      <c r="A118" s="60"/>
      <c r="B118" s="56"/>
      <c r="C118" s="56"/>
      <c r="G118" s="60"/>
      <c r="H118" s="56"/>
      <c r="I118" s="56"/>
    </row>
    <row r="119" spans="1:11" ht="18" x14ac:dyDescent="0.25">
      <c r="A119" s="60"/>
      <c r="B119" s="56"/>
      <c r="C119" s="56"/>
      <c r="G119" s="60"/>
      <c r="H119" s="56"/>
      <c r="I119" s="56"/>
    </row>
    <row r="120" spans="1:11" ht="18.75" thickBot="1" x14ac:dyDescent="0.3">
      <c r="A120" s="66"/>
      <c r="B120" s="56"/>
      <c r="C120" s="64"/>
      <c r="G120" s="66"/>
      <c r="H120" s="56"/>
      <c r="I120" s="64"/>
    </row>
    <row r="121" spans="1:11" ht="24" thickBot="1" x14ac:dyDescent="0.3">
      <c r="A121" s="68">
        <f>SUM(A98:A120)</f>
        <v>0</v>
      </c>
      <c r="B121" s="69">
        <f>SUM(B98:B120)</f>
        <v>0</v>
      </c>
      <c r="D121" s="314" t="str">
        <f>IF(E121&gt;0,"زيادة","عجز")</f>
        <v>عجز</v>
      </c>
      <c r="E121" s="99">
        <f>E126-E122</f>
        <v>0</v>
      </c>
      <c r="G121" s="68">
        <f>SUM(G98:G120)</f>
        <v>0</v>
      </c>
      <c r="H121" s="69">
        <f>SUM(H98:H120)</f>
        <v>0</v>
      </c>
      <c r="J121" s="314" t="str">
        <f>IF(K122&gt;0,"زيادة","عجز")</f>
        <v>عجز</v>
      </c>
    </row>
    <row r="122" spans="1:11" ht="24" thickBot="1" x14ac:dyDescent="0.3">
      <c r="A122" s="462" t="s">
        <v>139</v>
      </c>
      <c r="B122" s="463"/>
      <c r="C122" s="71" t="s">
        <v>75</v>
      </c>
      <c r="D122" s="135" t="s">
        <v>94</v>
      </c>
      <c r="E122" s="99"/>
      <c r="G122" s="462" t="s">
        <v>139</v>
      </c>
      <c r="H122" s="463"/>
      <c r="I122" s="71" t="s">
        <v>75</v>
      </c>
      <c r="J122" s="135" t="s">
        <v>94</v>
      </c>
      <c r="K122" s="99">
        <f>K127-K123</f>
        <v>0</v>
      </c>
    </row>
    <row r="123" spans="1:11" ht="24" thickBot="1" x14ac:dyDescent="0.3">
      <c r="A123" s="464">
        <f>B121+A121</f>
        <v>0</v>
      </c>
      <c r="B123" s="465"/>
      <c r="C123" s="313"/>
      <c r="D123" s="136" t="s">
        <v>65</v>
      </c>
      <c r="E123" s="85"/>
      <c r="G123" s="464">
        <f>H121+G121</f>
        <v>0</v>
      </c>
      <c r="H123" s="465"/>
      <c r="I123" s="313"/>
      <c r="J123" s="136" t="s">
        <v>65</v>
      </c>
      <c r="K123" s="99"/>
    </row>
    <row r="124" spans="1:11" ht="24" thickBot="1" x14ac:dyDescent="0.3">
      <c r="A124" s="466" t="s">
        <v>99</v>
      </c>
      <c r="B124" s="467"/>
      <c r="C124" s="78">
        <f>A125-C125</f>
        <v>0</v>
      </c>
      <c r="D124" s="82"/>
      <c r="E124" s="83"/>
      <c r="G124" s="466" t="s">
        <v>99</v>
      </c>
      <c r="H124" s="467"/>
      <c r="I124" s="78">
        <f>G125-I125</f>
        <v>0</v>
      </c>
      <c r="J124" s="82"/>
      <c r="K124" s="85"/>
    </row>
    <row r="125" spans="1:11" ht="24" thickBot="1" x14ac:dyDescent="0.3">
      <c r="A125" s="468">
        <f>C123+A123</f>
        <v>0</v>
      </c>
      <c r="B125" s="469"/>
      <c r="C125" s="121"/>
      <c r="D125" s="82"/>
      <c r="E125" s="83"/>
      <c r="G125" s="468">
        <f>I123+G123</f>
        <v>0</v>
      </c>
      <c r="H125" s="469"/>
      <c r="I125" s="121"/>
      <c r="J125" s="82"/>
      <c r="K125" s="83"/>
    </row>
    <row r="126" spans="1:11" ht="24" thickBot="1" x14ac:dyDescent="0.3">
      <c r="C126" s="314" t="str">
        <f>IF(C124&gt;0,"زيادة","عجز")</f>
        <v>عجز</v>
      </c>
      <c r="D126" s="82" t="s">
        <v>164</v>
      </c>
      <c r="E126" s="83">
        <f>SUM(E123:E125)</f>
        <v>0</v>
      </c>
      <c r="I126" s="314" t="str">
        <f>IF(I124&gt;0,"زيادة","عجز")</f>
        <v>عجز</v>
      </c>
      <c r="J126" s="82" t="s">
        <v>164</v>
      </c>
      <c r="K126" s="83"/>
    </row>
    <row r="127" spans="1:11" ht="19.5" thickBot="1" x14ac:dyDescent="0.3">
      <c r="D127" s="318"/>
      <c r="J127" s="318"/>
      <c r="K127" s="83">
        <f>SUM(K124:K126)</f>
        <v>0</v>
      </c>
    </row>
    <row r="128" spans="1:11" x14ac:dyDescent="0.25">
      <c r="A128">
        <f>10+10+10+10+10</f>
        <v>50</v>
      </c>
    </row>
    <row r="137" spans="1:7" ht="15.75" thickBot="1" x14ac:dyDescent="0.3"/>
    <row r="138" spans="1:7" ht="24" thickBot="1" x14ac:dyDescent="0.3">
      <c r="A138" s="425" t="s">
        <v>59</v>
      </c>
      <c r="B138" s="460">
        <v>45127</v>
      </c>
      <c r="C138" s="461"/>
    </row>
    <row r="139" spans="1:7" ht="21" thickBot="1" x14ac:dyDescent="0.3">
      <c r="A139" s="53" t="s">
        <v>137</v>
      </c>
      <c r="B139" s="53" t="s">
        <v>3</v>
      </c>
      <c r="C139" s="53" t="s">
        <v>138</v>
      </c>
      <c r="G139">
        <f>3459-378-378+150-73+63</f>
        <v>2843</v>
      </c>
    </row>
    <row r="140" spans="1:7" ht="18" x14ac:dyDescent="0.25">
      <c r="A140" s="55"/>
      <c r="B140" s="77"/>
      <c r="C140" s="57"/>
    </row>
    <row r="141" spans="1:7" ht="18" x14ac:dyDescent="0.25">
      <c r="A141" s="60"/>
      <c r="B141" s="56"/>
      <c r="C141" s="57"/>
    </row>
    <row r="142" spans="1:7" ht="18" x14ac:dyDescent="0.25">
      <c r="A142" s="60"/>
      <c r="B142" s="77"/>
      <c r="C142" s="57"/>
    </row>
    <row r="143" spans="1:7" ht="18" x14ac:dyDescent="0.25">
      <c r="A143" s="60"/>
      <c r="B143" s="56"/>
      <c r="C143" s="57"/>
    </row>
    <row r="144" spans="1:7" ht="18" x14ac:dyDescent="0.25">
      <c r="A144" s="60"/>
      <c r="B144" s="77"/>
      <c r="C144" s="57"/>
    </row>
    <row r="145" spans="1:3" ht="18" x14ac:dyDescent="0.25">
      <c r="A145" s="60"/>
      <c r="B145" s="77"/>
      <c r="C145" s="56"/>
    </row>
    <row r="146" spans="1:3" ht="18" x14ac:dyDescent="0.25">
      <c r="A146" s="60"/>
      <c r="B146" s="56"/>
      <c r="C146" s="56"/>
    </row>
    <row r="147" spans="1:3" ht="18" x14ac:dyDescent="0.25">
      <c r="A147" s="60"/>
      <c r="B147" s="56"/>
      <c r="C147" s="56"/>
    </row>
    <row r="148" spans="1:3" ht="18" x14ac:dyDescent="0.25">
      <c r="A148" s="60"/>
      <c r="B148" s="56"/>
      <c r="C148" s="56"/>
    </row>
    <row r="149" spans="1:3" ht="18" x14ac:dyDescent="0.25">
      <c r="A149" s="60"/>
      <c r="B149" s="56"/>
      <c r="C149" s="56"/>
    </row>
    <row r="150" spans="1:3" ht="18" x14ac:dyDescent="0.25">
      <c r="A150" s="60"/>
      <c r="B150" s="56"/>
      <c r="C150" s="56"/>
    </row>
    <row r="151" spans="1:3" ht="18" x14ac:dyDescent="0.25">
      <c r="A151" s="60"/>
      <c r="B151" s="56"/>
      <c r="C151" s="56"/>
    </row>
    <row r="152" spans="1:3" ht="18" x14ac:dyDescent="0.25">
      <c r="A152" s="60"/>
      <c r="B152" s="56"/>
      <c r="C152" s="56"/>
    </row>
    <row r="153" spans="1:3" ht="18" x14ac:dyDescent="0.25">
      <c r="A153" s="60"/>
      <c r="B153" s="56"/>
      <c r="C153" s="56"/>
    </row>
    <row r="154" spans="1:3" ht="18" x14ac:dyDescent="0.25">
      <c r="A154" s="60"/>
      <c r="B154" s="56"/>
      <c r="C154" s="56"/>
    </row>
    <row r="155" spans="1:3" ht="18" x14ac:dyDescent="0.25">
      <c r="A155" s="60"/>
      <c r="B155" s="56"/>
      <c r="C155" s="56"/>
    </row>
    <row r="156" spans="1:3" ht="18" x14ac:dyDescent="0.25">
      <c r="A156" s="60"/>
      <c r="B156" s="56"/>
      <c r="C156" s="56"/>
    </row>
    <row r="157" spans="1:3" ht="18" x14ac:dyDescent="0.25">
      <c r="A157" s="60"/>
      <c r="B157" s="56"/>
      <c r="C157" s="56"/>
    </row>
    <row r="158" spans="1:3" ht="18" x14ac:dyDescent="0.25">
      <c r="A158" s="60"/>
      <c r="B158" s="56"/>
      <c r="C158" s="56"/>
    </row>
    <row r="159" spans="1:3" ht="18" x14ac:dyDescent="0.25">
      <c r="A159" s="60"/>
      <c r="B159" s="56"/>
      <c r="C159" s="56"/>
    </row>
    <row r="160" spans="1:3" ht="18" x14ac:dyDescent="0.25">
      <c r="A160" s="60"/>
      <c r="B160" s="56"/>
      <c r="C160" s="56"/>
    </row>
    <row r="161" spans="1:5" ht="18" x14ac:dyDescent="0.25">
      <c r="A161" s="60"/>
      <c r="B161" s="56"/>
      <c r="C161" s="56"/>
    </row>
    <row r="162" spans="1:5" ht="18.75" thickBot="1" x14ac:dyDescent="0.3">
      <c r="A162" s="66"/>
      <c r="B162" s="56"/>
      <c r="C162" s="64"/>
    </row>
    <row r="163" spans="1:5" ht="24" thickBot="1" x14ac:dyDescent="0.3">
      <c r="A163" s="68">
        <f>SUM(A140:A162)</f>
        <v>0</v>
      </c>
      <c r="B163" s="69">
        <f>SUM(B140:B162)</f>
        <v>0</v>
      </c>
      <c r="D163" s="314" t="str">
        <f>IF(E163&gt;0,"زيادة","عجز")</f>
        <v>عجز</v>
      </c>
      <c r="E163" s="99">
        <f>E168-E164</f>
        <v>0</v>
      </c>
    </row>
    <row r="164" spans="1:5" ht="24" thickBot="1" x14ac:dyDescent="0.3">
      <c r="A164" s="462" t="s">
        <v>139</v>
      </c>
      <c r="B164" s="463"/>
      <c r="C164" s="71" t="s">
        <v>75</v>
      </c>
      <c r="D164" s="135" t="s">
        <v>94</v>
      </c>
      <c r="E164" s="99"/>
    </row>
    <row r="165" spans="1:5" ht="24" thickBot="1" x14ac:dyDescent="0.3">
      <c r="A165" s="464">
        <f>B163+A163</f>
        <v>0</v>
      </c>
      <c r="B165" s="465"/>
      <c r="C165" s="313"/>
      <c r="D165" s="136" t="s">
        <v>65</v>
      </c>
      <c r="E165" s="85"/>
    </row>
    <row r="166" spans="1:5" ht="24" thickBot="1" x14ac:dyDescent="0.3">
      <c r="A166" s="466" t="s">
        <v>99</v>
      </c>
      <c r="B166" s="467"/>
      <c r="C166" s="78">
        <f>A167-C167</f>
        <v>0</v>
      </c>
      <c r="D166" s="82"/>
      <c r="E166" s="83"/>
    </row>
    <row r="167" spans="1:5" ht="24" thickBot="1" x14ac:dyDescent="0.3">
      <c r="A167" s="468">
        <f>C165+A165</f>
        <v>0</v>
      </c>
      <c r="B167" s="469"/>
      <c r="C167" s="121"/>
      <c r="D167" s="82"/>
      <c r="E167" s="83"/>
    </row>
    <row r="168" spans="1:5" ht="24" thickBot="1" x14ac:dyDescent="0.3">
      <c r="C168" s="314" t="str">
        <f>IF(C166&gt;0,"زيادة","عجز")</f>
        <v>عجز</v>
      </c>
      <c r="D168" s="82" t="s">
        <v>164</v>
      </c>
      <c r="E168" s="83">
        <f>SUM(E165:E167)</f>
        <v>0</v>
      </c>
    </row>
    <row r="169" spans="1:5" ht="18.75" x14ac:dyDescent="0.25">
      <c r="D169" s="318"/>
    </row>
    <row r="183" spans="3:6" x14ac:dyDescent="0.25">
      <c r="C183" t="s">
        <v>1414</v>
      </c>
      <c r="D183">
        <v>1</v>
      </c>
    </row>
    <row r="184" spans="3:6" x14ac:dyDescent="0.25">
      <c r="C184" t="s">
        <v>1414</v>
      </c>
      <c r="D184">
        <v>2</v>
      </c>
    </row>
    <row r="185" spans="3:6" x14ac:dyDescent="0.25">
      <c r="C185" t="s">
        <v>1414</v>
      </c>
      <c r="D185">
        <v>3</v>
      </c>
    </row>
    <row r="186" spans="3:6" x14ac:dyDescent="0.25">
      <c r="C186" t="s">
        <v>1414</v>
      </c>
      <c r="D186">
        <v>4</v>
      </c>
      <c r="F186" t="s">
        <v>1414</v>
      </c>
    </row>
  </sheetData>
  <mergeCells count="40">
    <mergeCell ref="H2:I2"/>
    <mergeCell ref="B2:C2"/>
    <mergeCell ref="G26:H26"/>
    <mergeCell ref="A26:B26"/>
    <mergeCell ref="G27:H27"/>
    <mergeCell ref="A27:B27"/>
    <mergeCell ref="G28:H28"/>
    <mergeCell ref="A28:B28"/>
    <mergeCell ref="G90:H90"/>
    <mergeCell ref="A29:B29"/>
    <mergeCell ref="B34:C34"/>
    <mergeCell ref="H34:I34"/>
    <mergeCell ref="D51:E51"/>
    <mergeCell ref="G57:H57"/>
    <mergeCell ref="G58:H58"/>
    <mergeCell ref="G29:H29"/>
    <mergeCell ref="G59:H59"/>
    <mergeCell ref="G60:H60"/>
    <mergeCell ref="B63:C63"/>
    <mergeCell ref="H63:I63"/>
    <mergeCell ref="G89:H89"/>
    <mergeCell ref="A91:B91"/>
    <mergeCell ref="G91:H91"/>
    <mergeCell ref="A92:B92"/>
    <mergeCell ref="G92:H92"/>
    <mergeCell ref="B96:C96"/>
    <mergeCell ref="H96:I96"/>
    <mergeCell ref="A122:B122"/>
    <mergeCell ref="G122:H122"/>
    <mergeCell ref="A123:B123"/>
    <mergeCell ref="G123:H123"/>
    <mergeCell ref="A124:B124"/>
    <mergeCell ref="G124:H124"/>
    <mergeCell ref="A167:B167"/>
    <mergeCell ref="A125:B125"/>
    <mergeCell ref="G125:H125"/>
    <mergeCell ref="B138:C138"/>
    <mergeCell ref="A164:B164"/>
    <mergeCell ref="A165:B165"/>
    <mergeCell ref="A166:B166"/>
  </mergeCells>
  <conditionalFormatting sqref="C126">
    <cfRule type="expression" dxfId="419" priority="13">
      <formula>#REF!="عجز"</formula>
    </cfRule>
    <cfRule type="expression" dxfId="418" priority="14">
      <formula>#REF!="زيادة"</formula>
    </cfRule>
  </conditionalFormatting>
  <conditionalFormatting sqref="C168">
    <cfRule type="expression" dxfId="417" priority="5">
      <formula>#REF!="عجز"</formula>
    </cfRule>
    <cfRule type="expression" dxfId="416" priority="6">
      <formula>#REF!="زيادة"</formula>
    </cfRule>
  </conditionalFormatting>
  <conditionalFormatting sqref="D24 J25 C30 I30 J56 C58 I61:I62 D88 C93">
    <cfRule type="expression" dxfId="415" priority="21">
      <formula>#REF!="عجز"</formula>
    </cfRule>
    <cfRule type="expression" dxfId="414" priority="22">
      <formula>#REF!="زيادة"</formula>
    </cfRule>
  </conditionalFormatting>
  <conditionalFormatting sqref="D52">
    <cfRule type="expression" dxfId="413" priority="17">
      <formula>#REF!="عجز"</formula>
    </cfRule>
    <cfRule type="expression" dxfId="412" priority="18">
      <formula>#REF!="زيادة"</formula>
    </cfRule>
  </conditionalFormatting>
  <conditionalFormatting sqref="D121">
    <cfRule type="expression" dxfId="411" priority="11">
      <formula>#REF!="عجز"</formula>
    </cfRule>
    <cfRule type="expression" dxfId="410" priority="12">
      <formula>#REF!="زيادة"</formula>
    </cfRule>
  </conditionalFormatting>
  <conditionalFormatting sqref="D163">
    <cfRule type="expression" dxfId="409" priority="3">
      <formula>#REF!="عجز"</formula>
    </cfRule>
    <cfRule type="expression" dxfId="408" priority="4">
      <formula>#REF!="زيادة"</formula>
    </cfRule>
  </conditionalFormatting>
  <conditionalFormatting sqref="I93">
    <cfRule type="expression" dxfId="407" priority="19">
      <formula>#REF!="عجز"</formula>
    </cfRule>
    <cfRule type="expression" dxfId="406" priority="20">
      <formula>#REF!="زيادة"</formula>
    </cfRule>
  </conditionalFormatting>
  <conditionalFormatting sqref="I126">
    <cfRule type="expression" dxfId="405" priority="9">
      <formula>#REF!="عجز"</formula>
    </cfRule>
    <cfRule type="expression" dxfId="404" priority="10">
      <formula>#REF!="زيادة"</formula>
    </cfRule>
  </conditionalFormatting>
  <conditionalFormatting sqref="J88">
    <cfRule type="expression" dxfId="403" priority="1">
      <formula>#REF!="عجز"</formula>
    </cfRule>
    <cfRule type="expression" dxfId="402" priority="2">
      <formula>#REF!="زيادة"</formula>
    </cfRule>
  </conditionalFormatting>
  <conditionalFormatting sqref="J121">
    <cfRule type="expression" dxfId="401" priority="7">
      <formula>#REF!="عجز"</formula>
    </cfRule>
    <cfRule type="expression" dxfId="400" priority="8">
      <formula>#REF!="زيادة"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F286-06BC-4EB1-817E-327BAF1A3660}">
  <dimension ref="A1:K90"/>
  <sheetViews>
    <sheetView rightToLeft="1" topLeftCell="A85" zoomScale="85" zoomScaleNormal="85" workbookViewId="0">
      <selection activeCell="K85" sqref="K85"/>
    </sheetView>
  </sheetViews>
  <sheetFormatPr defaultRowHeight="15" x14ac:dyDescent="0.25"/>
  <cols>
    <col min="1" max="1" width="39.140625" customWidth="1"/>
    <col min="2" max="2" width="18.7109375" bestFit="1" customWidth="1"/>
    <col min="3" max="3" width="26.7109375" customWidth="1"/>
    <col min="4" max="4" width="12.28515625" customWidth="1"/>
    <col min="5" max="5" width="10" customWidth="1"/>
    <col min="7" max="7" width="39.140625" customWidth="1"/>
    <col min="8" max="8" width="11.7109375" bestFit="1" customWidth="1"/>
    <col min="9" max="9" width="26.7109375" customWidth="1"/>
    <col min="10" max="10" width="16.7109375" bestFit="1" customWidth="1"/>
    <col min="11" max="11" width="11" bestFit="1" customWidth="1"/>
  </cols>
  <sheetData>
    <row r="1" spans="1:10" ht="24" thickBot="1" x14ac:dyDescent="0.3">
      <c r="A1" s="76" t="s">
        <v>1385</v>
      </c>
      <c r="B1" s="460">
        <v>45132</v>
      </c>
      <c r="C1" s="461"/>
      <c r="G1" s="76" t="s">
        <v>60</v>
      </c>
      <c r="H1" s="460">
        <v>45132</v>
      </c>
      <c r="I1" s="461"/>
    </row>
    <row r="2" spans="1:10" ht="21" thickBot="1" x14ac:dyDescent="0.3">
      <c r="A2" s="53" t="s">
        <v>137</v>
      </c>
      <c r="B2" s="53" t="s">
        <v>3</v>
      </c>
      <c r="C2" s="53" t="s">
        <v>138</v>
      </c>
      <c r="G2" s="53" t="s">
        <v>137</v>
      </c>
      <c r="H2" s="53" t="s">
        <v>3</v>
      </c>
      <c r="I2" s="53" t="s">
        <v>138</v>
      </c>
    </row>
    <row r="3" spans="1:10" ht="18" x14ac:dyDescent="0.25">
      <c r="A3" s="337">
        <f>3150+500+500+155-1710</f>
        <v>2595</v>
      </c>
      <c r="B3" s="418">
        <v>1710</v>
      </c>
      <c r="C3" s="419" t="s">
        <v>1188</v>
      </c>
      <c r="G3" s="336">
        <v>635</v>
      </c>
      <c r="H3" s="420">
        <v>345</v>
      </c>
      <c r="I3" s="421" t="s">
        <v>27</v>
      </c>
    </row>
    <row r="4" spans="1:10" ht="18" x14ac:dyDescent="0.25">
      <c r="A4" s="338"/>
      <c r="B4" s="339">
        <v>190</v>
      </c>
      <c r="C4" s="339" t="s">
        <v>373</v>
      </c>
      <c r="G4" s="60"/>
      <c r="H4" s="422">
        <v>15</v>
      </c>
      <c r="I4" s="421" t="s">
        <v>50</v>
      </c>
    </row>
    <row r="5" spans="1:10" ht="18" x14ac:dyDescent="0.25">
      <c r="A5" s="338"/>
      <c r="B5" s="418">
        <v>300</v>
      </c>
      <c r="C5" s="418" t="s">
        <v>1430</v>
      </c>
      <c r="G5" s="60"/>
      <c r="H5" s="422"/>
      <c r="I5" s="421"/>
    </row>
    <row r="6" spans="1:10" ht="18" x14ac:dyDescent="0.25">
      <c r="A6" s="338"/>
      <c r="B6" s="339">
        <v>30</v>
      </c>
      <c r="C6" s="418" t="s">
        <v>73</v>
      </c>
      <c r="G6" s="60"/>
      <c r="H6" s="422"/>
      <c r="I6" s="421"/>
    </row>
    <row r="7" spans="1:10" ht="18" x14ac:dyDescent="0.25">
      <c r="A7" s="338"/>
      <c r="B7" s="418">
        <v>70</v>
      </c>
      <c r="C7" s="339" t="s">
        <v>1419</v>
      </c>
      <c r="G7" s="60"/>
      <c r="H7" s="422"/>
      <c r="I7" s="421"/>
    </row>
    <row r="8" spans="1:10" ht="18" x14ac:dyDescent="0.25">
      <c r="A8" s="338"/>
      <c r="B8" s="418">
        <v>285</v>
      </c>
      <c r="C8" s="339" t="s">
        <v>8</v>
      </c>
      <c r="G8" s="60"/>
      <c r="H8" s="422"/>
      <c r="I8" s="421"/>
    </row>
    <row r="9" spans="1:10" ht="18" x14ac:dyDescent="0.25">
      <c r="A9" s="338"/>
      <c r="B9" s="339">
        <v>180</v>
      </c>
      <c r="C9" s="339" t="s">
        <v>399</v>
      </c>
      <c r="G9" s="60"/>
      <c r="H9" s="422"/>
      <c r="I9" s="421"/>
    </row>
    <row r="10" spans="1:10" ht="18" x14ac:dyDescent="0.25">
      <c r="A10" s="338"/>
      <c r="B10" s="339">
        <v>6130</v>
      </c>
      <c r="C10" s="339" t="s">
        <v>1431</v>
      </c>
      <c r="G10" s="60"/>
      <c r="H10" s="422"/>
      <c r="I10" s="421"/>
    </row>
    <row r="11" spans="1:10" ht="18" x14ac:dyDescent="0.25">
      <c r="A11" s="339"/>
      <c r="B11" s="339">
        <v>4500</v>
      </c>
      <c r="C11" s="339" t="s">
        <v>565</v>
      </c>
      <c r="G11" s="60"/>
      <c r="H11" s="422"/>
      <c r="I11" s="421"/>
    </row>
    <row r="12" spans="1:10" ht="18" x14ac:dyDescent="0.25">
      <c r="A12" s="339"/>
      <c r="B12" s="339"/>
      <c r="C12" s="339"/>
      <c r="G12" s="60"/>
      <c r="H12" s="422"/>
      <c r="I12" s="421"/>
    </row>
    <row r="13" spans="1:10" ht="18" x14ac:dyDescent="0.25">
      <c r="A13" s="339"/>
      <c r="B13" s="339"/>
      <c r="C13" s="339"/>
      <c r="G13" s="60"/>
      <c r="H13" s="422"/>
      <c r="I13" s="421"/>
      <c r="J13" s="341"/>
    </row>
    <row r="14" spans="1:10" ht="18" x14ac:dyDescent="0.25">
      <c r="A14" s="339"/>
      <c r="B14" s="339"/>
      <c r="C14" s="339"/>
      <c r="G14" s="60"/>
      <c r="H14" s="422"/>
      <c r="I14" s="421"/>
    </row>
    <row r="15" spans="1:10" ht="18" x14ac:dyDescent="0.25">
      <c r="A15" s="339"/>
      <c r="B15" s="339"/>
      <c r="C15" s="339"/>
      <c r="G15" s="60"/>
      <c r="H15" s="422"/>
      <c r="I15" s="421"/>
    </row>
    <row r="16" spans="1:10" ht="18" x14ac:dyDescent="0.25">
      <c r="A16" s="339"/>
      <c r="B16" s="339"/>
      <c r="C16" s="339"/>
      <c r="G16" s="60"/>
      <c r="H16" s="422"/>
      <c r="I16" s="422"/>
    </row>
    <row r="17" spans="1:11" ht="18" x14ac:dyDescent="0.25">
      <c r="A17" s="338"/>
      <c r="B17" s="339"/>
      <c r="C17" s="339"/>
      <c r="G17" s="60"/>
      <c r="H17" s="422"/>
      <c r="I17" s="422"/>
    </row>
    <row r="18" spans="1:11" ht="18" x14ac:dyDescent="0.25">
      <c r="A18" s="338"/>
      <c r="B18" s="339"/>
      <c r="C18" s="339"/>
      <c r="G18" s="60"/>
      <c r="H18" s="422"/>
      <c r="I18" s="422"/>
    </row>
    <row r="19" spans="1:11" ht="18.75" thickBot="1" x14ac:dyDescent="0.3">
      <c r="A19" s="338"/>
      <c r="B19" s="339"/>
      <c r="C19" s="339"/>
      <c r="G19" s="66"/>
      <c r="H19" s="56"/>
      <c r="I19" s="64"/>
    </row>
    <row r="20" spans="1:11" ht="24" thickBot="1" x14ac:dyDescent="0.3">
      <c r="A20" s="66"/>
      <c r="B20" s="56"/>
      <c r="C20" s="64"/>
      <c r="D20" s="314" t="str">
        <f>IF(E20&gt;0,"زيادة","عجز")</f>
        <v>زيادة</v>
      </c>
      <c r="E20" s="99">
        <f>E25-E21</f>
        <v>64</v>
      </c>
      <c r="G20" s="68">
        <f>SUM(G3:G19)</f>
        <v>635</v>
      </c>
      <c r="H20" s="69">
        <f>SUM(H3:H19)</f>
        <v>360</v>
      </c>
      <c r="J20" s="314" t="str">
        <f>IF(K20&gt;0,"زيادة","عجز")</f>
        <v>عجز</v>
      </c>
      <c r="K20" s="99">
        <f>K25-K21</f>
        <v>0</v>
      </c>
    </row>
    <row r="21" spans="1:11" ht="24" thickBot="1" x14ac:dyDescent="0.3">
      <c r="A21" s="68">
        <f>SUM(A3:A20)</f>
        <v>2595</v>
      </c>
      <c r="B21" s="69">
        <f>SUM(B3:B20)</f>
        <v>13395</v>
      </c>
      <c r="D21" s="135" t="s">
        <v>94</v>
      </c>
      <c r="E21" s="99">
        <f>719-5667+5000</f>
        <v>52</v>
      </c>
      <c r="G21" s="462" t="s">
        <v>139</v>
      </c>
      <c r="H21" s="463"/>
      <c r="I21" s="71" t="s">
        <v>75</v>
      </c>
      <c r="J21" s="135" t="s">
        <v>94</v>
      </c>
      <c r="K21" s="99"/>
    </row>
    <row r="22" spans="1:11" ht="24" thickBot="1" x14ac:dyDescent="0.3">
      <c r="A22" s="462" t="s">
        <v>139</v>
      </c>
      <c r="B22" s="463"/>
      <c r="C22" s="71" t="s">
        <v>75</v>
      </c>
      <c r="D22" s="136" t="s">
        <v>65</v>
      </c>
      <c r="E22" s="85">
        <f>86</f>
        <v>86</v>
      </c>
      <c r="G22" s="464">
        <f>H20+G20</f>
        <v>995</v>
      </c>
      <c r="H22" s="465"/>
      <c r="I22" s="313"/>
      <c r="J22" s="136" t="s">
        <v>65</v>
      </c>
      <c r="K22" s="85"/>
    </row>
    <row r="23" spans="1:11" ht="24" thickBot="1" x14ac:dyDescent="0.3">
      <c r="A23" s="464">
        <f>B21+A21</f>
        <v>15990</v>
      </c>
      <c r="B23" s="465"/>
      <c r="C23" s="313">
        <f>249+230+41</f>
        <v>520</v>
      </c>
      <c r="D23" s="82" t="s">
        <v>373</v>
      </c>
      <c r="E23" s="83">
        <v>10</v>
      </c>
      <c r="G23" s="466" t="s">
        <v>99</v>
      </c>
      <c r="H23" s="467"/>
      <c r="I23" s="78">
        <f>G24-I24</f>
        <v>10</v>
      </c>
      <c r="J23" s="82" t="s">
        <v>75</v>
      </c>
      <c r="K23" s="83"/>
    </row>
    <row r="24" spans="1:11" ht="24" thickBot="1" x14ac:dyDescent="0.3">
      <c r="A24" s="466" t="s">
        <v>99</v>
      </c>
      <c r="B24" s="467"/>
      <c r="C24" s="78">
        <f>A25-C25</f>
        <v>61</v>
      </c>
      <c r="D24" s="82" t="s">
        <v>25</v>
      </c>
      <c r="E24" s="83">
        <v>20</v>
      </c>
      <c r="G24" s="468">
        <f>I22+G22</f>
        <v>995</v>
      </c>
      <c r="H24" s="469"/>
      <c r="I24" s="121">
        <v>985</v>
      </c>
      <c r="J24" s="82"/>
      <c r="K24" s="83"/>
    </row>
    <row r="25" spans="1:11" ht="24" thickBot="1" x14ac:dyDescent="0.3">
      <c r="A25" s="468">
        <f>C23+A23</f>
        <v>16510</v>
      </c>
      <c r="B25" s="469"/>
      <c r="C25" s="121">
        <v>16449</v>
      </c>
      <c r="D25" s="82" t="s">
        <v>164</v>
      </c>
      <c r="E25" s="83">
        <f>SUM(E22:E24)</f>
        <v>116</v>
      </c>
      <c r="I25" s="314" t="str">
        <f>IF(I23&gt;0,"زيادة","عجز")</f>
        <v>زيادة</v>
      </c>
      <c r="J25" s="82" t="s">
        <v>164</v>
      </c>
      <c r="K25" s="83">
        <f>SUM(K22:K24)</f>
        <v>0</v>
      </c>
    </row>
    <row r="26" spans="1:11" ht="24" thickBot="1" x14ac:dyDescent="0.3">
      <c r="C26" s="314" t="str">
        <f>IF(C24&gt;0,"زيادة","عجز")</f>
        <v>زيادة</v>
      </c>
      <c r="D26" s="318"/>
      <c r="G26">
        <f>4+5+10+8+2+35+54+81+240+17+25+30+6+13+10+16+5+10+145+35+95+4+33+20+185+50+9+12+20+18+25+5+39+33+58+20+10+32+8+135+20+5+14+10+6+20+187+151+20+10+32+5+10+48+4+49+5+20+5+66+30+43+5+5+28-160-165</f>
        <v>2035</v>
      </c>
      <c r="J26" s="318"/>
    </row>
    <row r="28" spans="1:11" ht="15.75" thickBot="1" x14ac:dyDescent="0.3"/>
    <row r="29" spans="1:11" ht="24" thickBot="1" x14ac:dyDescent="0.3">
      <c r="G29" s="76" t="s">
        <v>1076</v>
      </c>
      <c r="H29" s="460">
        <v>45132</v>
      </c>
      <c r="I29" s="461"/>
    </row>
    <row r="30" spans="1:11" ht="24" thickBot="1" x14ac:dyDescent="0.3">
      <c r="A30" s="76" t="s">
        <v>88</v>
      </c>
      <c r="B30" s="460">
        <v>45131</v>
      </c>
      <c r="C30" s="461"/>
      <c r="G30" s="53" t="s">
        <v>137</v>
      </c>
      <c r="H30" s="53" t="s">
        <v>3</v>
      </c>
      <c r="I30" s="53" t="s">
        <v>138</v>
      </c>
    </row>
    <row r="31" spans="1:11" ht="21" thickBot="1" x14ac:dyDescent="0.3">
      <c r="A31" s="53" t="s">
        <v>137</v>
      </c>
      <c r="B31" s="53" t="s">
        <v>3</v>
      </c>
      <c r="C31" s="53" t="s">
        <v>138</v>
      </c>
      <c r="G31" s="55">
        <v>1517</v>
      </c>
      <c r="H31" s="77">
        <v>25</v>
      </c>
      <c r="I31" s="57" t="s">
        <v>1441</v>
      </c>
    </row>
    <row r="32" spans="1:11" ht="18" x14ac:dyDescent="0.25">
      <c r="A32" s="55">
        <f>5200+400</f>
        <v>5600</v>
      </c>
      <c r="B32" s="57">
        <v>120</v>
      </c>
      <c r="C32" s="56" t="s">
        <v>32</v>
      </c>
      <c r="G32" s="60"/>
      <c r="H32" s="56">
        <v>50</v>
      </c>
      <c r="I32" s="57" t="s">
        <v>1442</v>
      </c>
    </row>
    <row r="33" spans="1:9" ht="18" x14ac:dyDescent="0.25">
      <c r="A33" s="60"/>
      <c r="B33" s="56">
        <v>90</v>
      </c>
      <c r="C33" s="56" t="s">
        <v>9</v>
      </c>
      <c r="G33" s="60"/>
      <c r="H33" s="77">
        <v>8000</v>
      </c>
      <c r="I33" s="57" t="s">
        <v>1443</v>
      </c>
    </row>
    <row r="34" spans="1:9" ht="18" x14ac:dyDescent="0.25">
      <c r="A34" s="60"/>
      <c r="B34" s="77">
        <v>30</v>
      </c>
      <c r="C34" s="56" t="s">
        <v>1419</v>
      </c>
      <c r="G34" s="60"/>
      <c r="H34" s="56">
        <v>4000</v>
      </c>
      <c r="I34" s="57" t="s">
        <v>1444</v>
      </c>
    </row>
    <row r="35" spans="1:9" ht="18" x14ac:dyDescent="0.25">
      <c r="A35" s="60"/>
      <c r="B35" s="77">
        <v>18</v>
      </c>
      <c r="C35" s="56" t="s">
        <v>119</v>
      </c>
      <c r="G35" s="60"/>
      <c r="H35" s="77">
        <v>115</v>
      </c>
      <c r="I35" s="57" t="s">
        <v>547</v>
      </c>
    </row>
    <row r="36" spans="1:9" ht="18" x14ac:dyDescent="0.25">
      <c r="A36" s="60"/>
      <c r="B36" s="56">
        <v>210</v>
      </c>
      <c r="C36" s="56" t="s">
        <v>1457</v>
      </c>
      <c r="G36" s="60"/>
      <c r="H36" s="77"/>
      <c r="I36" s="57"/>
    </row>
    <row r="37" spans="1:9" ht="18" x14ac:dyDescent="0.25">
      <c r="A37" s="60"/>
      <c r="B37" s="77">
        <v>67</v>
      </c>
      <c r="C37" s="56" t="s">
        <v>1217</v>
      </c>
      <c r="G37" s="60"/>
      <c r="H37" s="56"/>
      <c r="I37" s="57"/>
    </row>
    <row r="38" spans="1:9" ht="18" x14ac:dyDescent="0.25">
      <c r="A38" s="60"/>
      <c r="B38" s="56">
        <v>120</v>
      </c>
      <c r="C38" s="56" t="s">
        <v>393</v>
      </c>
      <c r="G38" s="60"/>
      <c r="H38" s="56"/>
      <c r="I38" s="56"/>
    </row>
    <row r="39" spans="1:9" ht="18" x14ac:dyDescent="0.25">
      <c r="A39" s="60"/>
      <c r="B39" s="56">
        <v>310</v>
      </c>
      <c r="C39" s="56" t="s">
        <v>744</v>
      </c>
      <c r="G39" s="60"/>
      <c r="H39" s="56"/>
      <c r="I39" s="56"/>
    </row>
    <row r="40" spans="1:9" ht="18" x14ac:dyDescent="0.25">
      <c r="A40" s="60"/>
      <c r="B40" s="56">
        <v>150</v>
      </c>
      <c r="C40" s="56" t="s">
        <v>288</v>
      </c>
      <c r="G40" s="60"/>
      <c r="H40" s="56"/>
      <c r="I40" s="56"/>
    </row>
    <row r="41" spans="1:9" ht="18" x14ac:dyDescent="0.25">
      <c r="A41" s="60"/>
      <c r="B41" s="56">
        <v>140</v>
      </c>
      <c r="C41" s="56" t="s">
        <v>341</v>
      </c>
      <c r="G41" s="60"/>
      <c r="H41" s="56"/>
      <c r="I41" s="56"/>
    </row>
    <row r="42" spans="1:9" ht="18" x14ac:dyDescent="0.25">
      <c r="A42" s="60"/>
      <c r="B42" s="56">
        <v>140</v>
      </c>
      <c r="C42" s="56" t="s">
        <v>39</v>
      </c>
      <c r="G42" s="60"/>
      <c r="H42" s="56"/>
      <c r="I42" s="56"/>
    </row>
    <row r="43" spans="1:9" ht="18" x14ac:dyDescent="0.25">
      <c r="A43" s="60"/>
      <c r="B43" s="432">
        <v>1520</v>
      </c>
      <c r="C43" s="432" t="s">
        <v>66</v>
      </c>
      <c r="G43" s="60"/>
      <c r="H43" s="56"/>
      <c r="I43" s="56"/>
    </row>
    <row r="44" spans="1:9" ht="18" x14ac:dyDescent="0.25">
      <c r="A44" s="60"/>
      <c r="B44" s="432">
        <v>50</v>
      </c>
      <c r="C44" s="432" t="s">
        <v>34</v>
      </c>
      <c r="G44" s="60"/>
      <c r="H44" s="56"/>
      <c r="I44" s="56"/>
    </row>
    <row r="45" spans="1:9" ht="18" x14ac:dyDescent="0.25">
      <c r="A45" s="60"/>
      <c r="B45" s="432">
        <v>2530</v>
      </c>
      <c r="C45" s="432" t="s">
        <v>12</v>
      </c>
      <c r="G45" s="60"/>
      <c r="H45" s="56"/>
      <c r="I45" s="56"/>
    </row>
    <row r="46" spans="1:9" ht="18" x14ac:dyDescent="0.25">
      <c r="A46" s="60"/>
      <c r="B46" s="432">
        <v>1627</v>
      </c>
      <c r="C46" s="432" t="s">
        <v>1458</v>
      </c>
      <c r="G46" s="60"/>
      <c r="H46" s="56"/>
      <c r="I46" s="56"/>
    </row>
    <row r="47" spans="1:9" ht="18" x14ac:dyDescent="0.25">
      <c r="A47" s="60"/>
      <c r="B47" s="432">
        <v>608</v>
      </c>
      <c r="C47" s="432" t="s">
        <v>417</v>
      </c>
      <c r="G47" s="60"/>
      <c r="H47" s="56"/>
      <c r="I47" s="56"/>
    </row>
    <row r="48" spans="1:9" ht="18" x14ac:dyDescent="0.25">
      <c r="A48" s="60"/>
      <c r="B48" s="432">
        <v>950</v>
      </c>
      <c r="C48" s="432" t="s">
        <v>1001</v>
      </c>
      <c r="G48" s="60"/>
      <c r="H48" s="56"/>
      <c r="I48" s="56"/>
    </row>
    <row r="49" spans="1:11" ht="18" x14ac:dyDescent="0.25">
      <c r="A49" s="60"/>
      <c r="B49" s="432">
        <v>175</v>
      </c>
      <c r="C49" s="432" t="s">
        <v>1139</v>
      </c>
      <c r="G49" s="60"/>
      <c r="H49" s="56"/>
      <c r="I49" s="56"/>
    </row>
    <row r="50" spans="1:11" ht="18" x14ac:dyDescent="0.25">
      <c r="A50" s="60"/>
      <c r="B50" s="432">
        <v>610</v>
      </c>
      <c r="C50" s="432" t="s">
        <v>331</v>
      </c>
      <c r="G50" s="60"/>
      <c r="I50" s="56"/>
    </row>
    <row r="51" spans="1:11" ht="18.75" thickBot="1" x14ac:dyDescent="0.3">
      <c r="A51" s="60"/>
      <c r="B51" s="432">
        <v>840</v>
      </c>
      <c r="C51" s="432" t="s">
        <v>580</v>
      </c>
      <c r="G51" s="66"/>
      <c r="H51" s="56"/>
      <c r="I51" s="64"/>
    </row>
    <row r="52" spans="1:11" ht="24" thickBot="1" x14ac:dyDescent="0.3">
      <c r="A52" s="66"/>
      <c r="B52" s="56"/>
      <c r="C52" s="64"/>
      <c r="D52" s="314" t="str">
        <f>IF(E52&gt;0,"زيادة","عجز")</f>
        <v>زيادة</v>
      </c>
      <c r="E52" s="99">
        <f>E57-E53</f>
        <v>60</v>
      </c>
      <c r="G52" s="68">
        <f>SUM(G31:G51)</f>
        <v>1517</v>
      </c>
      <c r="H52" s="69">
        <f>SUM(H31:H51)</f>
        <v>12190</v>
      </c>
      <c r="J52" s="314" t="str">
        <f>IF(K52&gt;0,"زيادة","عجز")</f>
        <v>عجز</v>
      </c>
      <c r="K52" s="99">
        <f>K57-K53</f>
        <v>-349</v>
      </c>
    </row>
    <row r="53" spans="1:11" ht="24" thickBot="1" x14ac:dyDescent="0.3">
      <c r="A53" s="68">
        <f>SUM(A32:A52)</f>
        <v>5600</v>
      </c>
      <c r="B53" s="69">
        <f>SUM(B32:B52)</f>
        <v>10305</v>
      </c>
      <c r="D53" s="135" t="s">
        <v>94</v>
      </c>
      <c r="E53" s="99">
        <f>373-3233+3600</f>
        <v>740</v>
      </c>
      <c r="G53" s="462" t="s">
        <v>139</v>
      </c>
      <c r="H53" s="463"/>
      <c r="I53" s="71" t="s">
        <v>75</v>
      </c>
      <c r="J53" s="135" t="s">
        <v>94</v>
      </c>
      <c r="K53" s="99">
        <f>5667+5000-7938</f>
        <v>2729</v>
      </c>
    </row>
    <row r="54" spans="1:11" ht="24" thickBot="1" x14ac:dyDescent="0.3">
      <c r="A54" s="462" t="s">
        <v>139</v>
      </c>
      <c r="B54" s="463"/>
      <c r="C54" s="71" t="s">
        <v>75</v>
      </c>
      <c r="D54" s="136" t="s">
        <v>65</v>
      </c>
      <c r="E54" s="85">
        <v>800</v>
      </c>
      <c r="G54" s="464">
        <f>H52+G52</f>
        <v>13707</v>
      </c>
      <c r="H54" s="465"/>
      <c r="I54" s="313">
        <f>30+40+236+13+25</f>
        <v>344</v>
      </c>
      <c r="J54" s="136" t="s">
        <v>65</v>
      </c>
      <c r="K54" s="85">
        <f>2350+30</f>
        <v>2380</v>
      </c>
    </row>
    <row r="55" spans="1:11" ht="24" thickBot="1" x14ac:dyDescent="0.3">
      <c r="A55" s="464">
        <f>B53+A53</f>
        <v>15905</v>
      </c>
      <c r="B55" s="465"/>
      <c r="C55" s="313">
        <f>59+244+30+25</f>
        <v>358</v>
      </c>
      <c r="D55" s="82"/>
      <c r="E55" s="83"/>
      <c r="G55" s="466" t="s">
        <v>99</v>
      </c>
      <c r="H55" s="467"/>
      <c r="I55" s="78">
        <f>G56-I56</f>
        <v>4</v>
      </c>
      <c r="J55" s="82"/>
      <c r="K55" s="83"/>
    </row>
    <row r="56" spans="1:11" ht="24" thickBot="1" x14ac:dyDescent="0.3">
      <c r="A56" s="466" t="s">
        <v>99</v>
      </c>
      <c r="B56" s="467"/>
      <c r="C56" s="78">
        <f>A57-C57</f>
        <v>-20</v>
      </c>
      <c r="D56" s="82"/>
      <c r="E56" s="83"/>
      <c r="G56" s="468">
        <f>I54+G54</f>
        <v>14051</v>
      </c>
      <c r="H56" s="469"/>
      <c r="I56" s="121">
        <v>14047</v>
      </c>
      <c r="J56" s="82"/>
      <c r="K56" s="83"/>
    </row>
    <row r="57" spans="1:11" ht="24" thickBot="1" x14ac:dyDescent="0.3">
      <c r="A57" s="468">
        <f>C55+A55</f>
        <v>16263</v>
      </c>
      <c r="B57" s="469"/>
      <c r="C57" s="121">
        <v>16283</v>
      </c>
      <c r="D57" s="82" t="s">
        <v>164</v>
      </c>
      <c r="E57" s="83">
        <f>SUM(E54:E56)</f>
        <v>800</v>
      </c>
      <c r="I57" s="314" t="str">
        <f>IF(I55&gt;0,"زيادة","عجز")</f>
        <v>زيادة</v>
      </c>
      <c r="J57" s="82" t="s">
        <v>164</v>
      </c>
      <c r="K57" s="83">
        <f>SUM(K54:K56)</f>
        <v>2380</v>
      </c>
    </row>
    <row r="58" spans="1:11" ht="24" thickBot="1" x14ac:dyDescent="0.3">
      <c r="C58" s="314" t="str">
        <f>IF(C56&gt;0,"زيادة","عجز")</f>
        <v>عجز</v>
      </c>
      <c r="D58" s="318"/>
      <c r="J58" s="318"/>
    </row>
    <row r="61" spans="1:11" ht="15.75" thickBot="1" x14ac:dyDescent="0.3"/>
    <row r="62" spans="1:11" ht="24" thickBot="1" x14ac:dyDescent="0.3">
      <c r="A62" s="76" t="s">
        <v>1447</v>
      </c>
      <c r="B62" s="460">
        <v>45132</v>
      </c>
      <c r="C62" s="474"/>
      <c r="G62" s="76" t="s">
        <v>1162</v>
      </c>
      <c r="H62" s="460">
        <v>45132</v>
      </c>
      <c r="I62" s="461"/>
    </row>
    <row r="63" spans="1:11" ht="21" thickBot="1" x14ac:dyDescent="0.3">
      <c r="A63" s="53" t="s">
        <v>137</v>
      </c>
      <c r="B63" s="53" t="s">
        <v>3</v>
      </c>
      <c r="C63" s="53" t="s">
        <v>138</v>
      </c>
      <c r="G63" s="53" t="s">
        <v>137</v>
      </c>
      <c r="H63" s="53" t="s">
        <v>3</v>
      </c>
      <c r="I63" s="53" t="s">
        <v>138</v>
      </c>
    </row>
    <row r="64" spans="1:11" ht="18" x14ac:dyDescent="0.25">
      <c r="A64" s="55">
        <f>13600+10000+450+400+250+100+50-2475</f>
        <v>22375</v>
      </c>
      <c r="B64" s="77">
        <v>2000</v>
      </c>
      <c r="C64" s="57" t="s">
        <v>1448</v>
      </c>
      <c r="G64" s="55">
        <f>5000+2410+3</f>
        <v>7413</v>
      </c>
      <c r="H64" s="77">
        <v>50</v>
      </c>
      <c r="I64" s="57" t="s">
        <v>73</v>
      </c>
    </row>
    <row r="65" spans="1:9" ht="18" x14ac:dyDescent="0.25">
      <c r="A65" s="60"/>
      <c r="B65" s="56">
        <v>150</v>
      </c>
      <c r="C65" s="57" t="s">
        <v>1449</v>
      </c>
      <c r="G65" s="60"/>
      <c r="H65" s="56">
        <v>70</v>
      </c>
      <c r="I65" s="57" t="s">
        <v>26</v>
      </c>
    </row>
    <row r="66" spans="1:9" ht="18" x14ac:dyDescent="0.25">
      <c r="A66" s="60"/>
      <c r="B66" s="77">
        <v>190</v>
      </c>
      <c r="C66" s="77" t="s">
        <v>1450</v>
      </c>
      <c r="G66" s="60"/>
      <c r="H66" s="77">
        <v>150</v>
      </c>
      <c r="I66" s="77" t="s">
        <v>741</v>
      </c>
    </row>
    <row r="67" spans="1:9" ht="18" x14ac:dyDescent="0.25">
      <c r="A67" s="60"/>
      <c r="B67" s="56">
        <v>1500</v>
      </c>
      <c r="C67" s="77" t="s">
        <v>1452</v>
      </c>
      <c r="G67" s="60"/>
      <c r="H67" s="56">
        <v>90</v>
      </c>
      <c r="I67" s="77" t="s">
        <v>223</v>
      </c>
    </row>
    <row r="68" spans="1:9" ht="18" x14ac:dyDescent="0.25">
      <c r="A68" s="60"/>
      <c r="B68" s="77">
        <v>415</v>
      </c>
      <c r="C68" s="56" t="s">
        <v>1451</v>
      </c>
      <c r="G68" s="60"/>
      <c r="H68" s="77">
        <v>75</v>
      </c>
      <c r="I68" s="56" t="s">
        <v>1219</v>
      </c>
    </row>
    <row r="69" spans="1:9" ht="18" x14ac:dyDescent="0.25">
      <c r="A69" s="60"/>
      <c r="B69" s="77">
        <v>2475</v>
      </c>
      <c r="C69" s="56" t="s">
        <v>1453</v>
      </c>
      <c r="G69" s="60"/>
      <c r="H69" s="77"/>
      <c r="I69" s="56"/>
    </row>
    <row r="70" spans="1:9" ht="18" x14ac:dyDescent="0.25">
      <c r="A70" s="60"/>
      <c r="B70" s="56"/>
      <c r="C70" s="56"/>
      <c r="G70" s="60"/>
      <c r="H70" s="56"/>
      <c r="I70" s="56"/>
    </row>
    <row r="71" spans="1:9" ht="18" x14ac:dyDescent="0.25">
      <c r="A71" s="60"/>
      <c r="B71" s="56"/>
      <c r="C71" s="56"/>
      <c r="G71" s="60"/>
      <c r="H71" s="56"/>
      <c r="I71" s="56"/>
    </row>
    <row r="72" spans="1:9" ht="18" x14ac:dyDescent="0.25">
      <c r="A72" s="60"/>
      <c r="B72" s="56"/>
      <c r="C72" s="56"/>
      <c r="G72" s="60"/>
      <c r="H72" s="56"/>
      <c r="I72" s="56"/>
    </row>
    <row r="73" spans="1:9" ht="18" x14ac:dyDescent="0.25">
      <c r="A73" s="60"/>
      <c r="B73" s="56"/>
      <c r="C73" s="56"/>
      <c r="G73" s="60"/>
      <c r="H73" s="56"/>
      <c r="I73" s="56"/>
    </row>
    <row r="74" spans="1:9" ht="18" x14ac:dyDescent="0.25">
      <c r="A74" s="60"/>
      <c r="B74" s="56"/>
      <c r="C74" s="56"/>
      <c r="G74" s="60"/>
      <c r="H74" s="56"/>
      <c r="I74" s="56"/>
    </row>
    <row r="75" spans="1:9" ht="18" x14ac:dyDescent="0.25">
      <c r="A75" s="60"/>
      <c r="B75" s="56"/>
      <c r="C75" s="56"/>
      <c r="G75" s="60"/>
      <c r="H75" s="56"/>
      <c r="I75" s="56"/>
    </row>
    <row r="76" spans="1:9" ht="18" x14ac:dyDescent="0.25">
      <c r="A76" s="60"/>
      <c r="B76" s="56"/>
      <c r="C76" s="56"/>
      <c r="G76" s="60"/>
      <c r="H76" s="56"/>
      <c r="I76" s="56"/>
    </row>
    <row r="77" spans="1:9" ht="18" x14ac:dyDescent="0.25">
      <c r="A77" s="60"/>
      <c r="B77" s="56"/>
      <c r="C77" s="56"/>
      <c r="G77" s="60"/>
      <c r="H77" s="56"/>
      <c r="I77" s="56"/>
    </row>
    <row r="78" spans="1:9" ht="18" x14ac:dyDescent="0.25">
      <c r="A78" s="60"/>
      <c r="B78" s="56"/>
      <c r="C78" s="56"/>
      <c r="G78" s="60"/>
      <c r="H78" s="56"/>
      <c r="I78" s="56"/>
    </row>
    <row r="79" spans="1:9" ht="27" thickBot="1" x14ac:dyDescent="0.45">
      <c r="A79" s="60"/>
      <c r="B79" s="56"/>
      <c r="C79" s="56"/>
      <c r="D79" s="472"/>
      <c r="E79" s="473"/>
      <c r="G79" s="60"/>
      <c r="H79" s="56"/>
      <c r="I79" s="56"/>
    </row>
    <row r="80" spans="1:9" ht="24" thickBot="1" x14ac:dyDescent="0.3">
      <c r="A80" s="66"/>
      <c r="B80" s="56"/>
      <c r="C80" s="64"/>
      <c r="D80" s="314" t="str">
        <f>IF(E80&gt;0,"زيادة","عجز")</f>
        <v>عجز</v>
      </c>
      <c r="E80" s="99">
        <f>E86-E81</f>
        <v>0</v>
      </c>
      <c r="G80" s="60"/>
      <c r="H80" s="56"/>
      <c r="I80" s="56"/>
    </row>
    <row r="81" spans="1:11" ht="24" thickBot="1" x14ac:dyDescent="0.3">
      <c r="A81" s="68">
        <f>SUM(A64:A80)</f>
        <v>22375</v>
      </c>
      <c r="B81" s="69">
        <f>SUM(B64:B80)</f>
        <v>6730</v>
      </c>
      <c r="D81" s="135" t="s">
        <v>94</v>
      </c>
      <c r="E81" s="99"/>
      <c r="G81" s="60"/>
      <c r="H81" s="56"/>
      <c r="I81" s="56"/>
    </row>
    <row r="82" spans="1:11" ht="21.75" thickBot="1" x14ac:dyDescent="0.3">
      <c r="A82" s="365" t="s">
        <v>139</v>
      </c>
      <c r="B82" s="366"/>
      <c r="C82" s="71" t="s">
        <v>75</v>
      </c>
      <c r="D82" s="136" t="s">
        <v>65</v>
      </c>
      <c r="E82" s="85"/>
      <c r="G82" s="60"/>
      <c r="H82" s="56"/>
      <c r="I82" s="56"/>
    </row>
    <row r="83" spans="1:11" ht="24" thickBot="1" x14ac:dyDescent="0.3">
      <c r="A83" s="367">
        <f>B81+A81</f>
        <v>29105</v>
      </c>
      <c r="B83" s="368"/>
      <c r="C83" s="313"/>
      <c r="D83" s="82"/>
      <c r="E83" s="83"/>
      <c r="G83" s="66"/>
      <c r="H83" s="56"/>
      <c r="I83" s="64"/>
    </row>
    <row r="84" spans="1:11" ht="24" thickBot="1" x14ac:dyDescent="0.3">
      <c r="A84" s="369" t="s">
        <v>99</v>
      </c>
      <c r="B84" s="370"/>
      <c r="C84" s="78">
        <f>A85-C85</f>
        <v>2</v>
      </c>
      <c r="D84" s="82"/>
      <c r="E84" s="83"/>
      <c r="G84" s="68">
        <f>SUM(G64:G83)</f>
        <v>7413</v>
      </c>
      <c r="H84" s="69">
        <f>SUM(H64:H83)</f>
        <v>435</v>
      </c>
      <c r="J84" s="314" t="str">
        <f>IF(K84&gt;0,"زيادة","عجز")</f>
        <v>عجز</v>
      </c>
      <c r="K84" s="99">
        <f>K89-K85</f>
        <v>-107</v>
      </c>
    </row>
    <row r="85" spans="1:11" ht="24" thickBot="1" x14ac:dyDescent="0.3">
      <c r="A85" s="371">
        <f>C83+A83</f>
        <v>29105</v>
      </c>
      <c r="B85" s="372"/>
      <c r="C85" s="121">
        <v>29103</v>
      </c>
      <c r="D85" s="82"/>
      <c r="E85" s="83"/>
      <c r="G85" s="462" t="s">
        <v>139</v>
      </c>
      <c r="H85" s="463"/>
      <c r="I85" s="71" t="s">
        <v>75</v>
      </c>
      <c r="J85" s="135" t="s">
        <v>94</v>
      </c>
      <c r="K85" s="99">
        <f>7938-6279</f>
        <v>1659</v>
      </c>
    </row>
    <row r="86" spans="1:11" ht="24" thickBot="1" x14ac:dyDescent="0.3">
      <c r="C86" s="314" t="str">
        <f>IF(C84&gt;0,"زيادة","عجز")</f>
        <v>زيادة</v>
      </c>
      <c r="D86" s="82" t="s">
        <v>164</v>
      </c>
      <c r="E86" s="83">
        <f>SUM(E82:E85)</f>
        <v>0</v>
      </c>
      <c r="G86" s="464">
        <f>H84+G84</f>
        <v>7848</v>
      </c>
      <c r="H86" s="465"/>
      <c r="I86" s="313">
        <f>192+195</f>
        <v>387</v>
      </c>
      <c r="J86" s="136" t="s">
        <v>65</v>
      </c>
      <c r="K86" s="85">
        <f>1250+215</f>
        <v>1465</v>
      </c>
    </row>
    <row r="87" spans="1:11" ht="24" thickBot="1" x14ac:dyDescent="0.3">
      <c r="D87" s="318"/>
      <c r="G87" s="466" t="s">
        <v>99</v>
      </c>
      <c r="H87" s="467"/>
      <c r="I87" s="78">
        <f>G88-I88</f>
        <v>71</v>
      </c>
      <c r="J87" s="82" t="s">
        <v>27</v>
      </c>
      <c r="K87" s="83">
        <v>72</v>
      </c>
    </row>
    <row r="88" spans="1:11" ht="24" thickBot="1" x14ac:dyDescent="0.3">
      <c r="G88" s="468">
        <f>I86+G86</f>
        <v>8235</v>
      </c>
      <c r="H88" s="469"/>
      <c r="I88" s="121">
        <f>7773+391</f>
        <v>8164</v>
      </c>
      <c r="J88" s="82" t="s">
        <v>10</v>
      </c>
      <c r="K88" s="83">
        <v>15</v>
      </c>
    </row>
    <row r="89" spans="1:11" ht="24" thickBot="1" x14ac:dyDescent="0.3">
      <c r="I89" s="314" t="str">
        <f>IF(I87&gt;0,"زيادة","عجز")</f>
        <v>زيادة</v>
      </c>
      <c r="J89" s="82" t="s">
        <v>164</v>
      </c>
      <c r="K89" s="83">
        <f>SUM(K86:K88)</f>
        <v>1552</v>
      </c>
    </row>
    <row r="90" spans="1:11" ht="24" thickBot="1" x14ac:dyDescent="0.3">
      <c r="I90" s="372"/>
      <c r="J90" s="318"/>
    </row>
  </sheetData>
  <mergeCells count="27">
    <mergeCell ref="G86:H86"/>
    <mergeCell ref="G87:H87"/>
    <mergeCell ref="G88:H88"/>
    <mergeCell ref="A57:B57"/>
    <mergeCell ref="B62:C62"/>
    <mergeCell ref="H62:I62"/>
    <mergeCell ref="D79:E79"/>
    <mergeCell ref="G85:H85"/>
    <mergeCell ref="A54:B54"/>
    <mergeCell ref="G54:H54"/>
    <mergeCell ref="A55:B55"/>
    <mergeCell ref="G55:H55"/>
    <mergeCell ref="A56:B56"/>
    <mergeCell ref="G56:H56"/>
    <mergeCell ref="G53:H53"/>
    <mergeCell ref="B1:C1"/>
    <mergeCell ref="H1:I1"/>
    <mergeCell ref="G21:H21"/>
    <mergeCell ref="A22:B22"/>
    <mergeCell ref="G22:H22"/>
    <mergeCell ref="A23:B23"/>
    <mergeCell ref="G23:H23"/>
    <mergeCell ref="A24:B24"/>
    <mergeCell ref="G24:H24"/>
    <mergeCell ref="A25:B25"/>
    <mergeCell ref="H29:I29"/>
    <mergeCell ref="B30:C30"/>
  </mergeCells>
  <conditionalFormatting sqref="D20 J20 I25 C26 D52 J52 I57 C58 J84 C86 I89:I90">
    <cfRule type="expression" dxfId="399" priority="21">
      <formula>#REF!="عجز"</formula>
    </cfRule>
    <cfRule type="expression" dxfId="398" priority="22">
      <formula>#REF!="زيادة"</formula>
    </cfRule>
  </conditionalFormatting>
  <conditionalFormatting sqref="D80">
    <cfRule type="expression" dxfId="397" priority="17">
      <formula>#REF!="عجز"</formula>
    </cfRule>
    <cfRule type="expression" dxfId="396" priority="18">
      <formula>#REF!="زيادة"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147D-9A09-445A-81D3-0F7C50D9C3BA}">
  <sheetPr codeName="Sheet3"/>
  <dimension ref="A1:K214"/>
  <sheetViews>
    <sheetView rightToLeft="1" topLeftCell="A55" zoomScale="70" zoomScaleNormal="70" workbookViewId="0">
      <selection activeCell="J119" sqref="J119:K119"/>
    </sheetView>
  </sheetViews>
  <sheetFormatPr defaultRowHeight="15" x14ac:dyDescent="0.25"/>
  <cols>
    <col min="1" max="1" width="39.140625" customWidth="1"/>
    <col min="2" max="2" width="18.7109375" bestFit="1" customWidth="1"/>
    <col min="3" max="3" width="26.7109375" customWidth="1"/>
    <col min="4" max="4" width="12.28515625" customWidth="1"/>
    <col min="5" max="5" width="10" customWidth="1"/>
    <col min="7" max="7" width="39.140625" customWidth="1"/>
    <col min="8" max="8" width="11.7109375" bestFit="1" customWidth="1"/>
    <col min="9" max="9" width="26.7109375" customWidth="1"/>
    <col min="10" max="10" width="16.7109375" bestFit="1" customWidth="1"/>
    <col min="11" max="11" width="10" customWidth="1"/>
  </cols>
  <sheetData>
    <row r="1" spans="1:10" ht="24" thickBot="1" x14ac:dyDescent="0.3">
      <c r="A1" s="76" t="s">
        <v>1385</v>
      </c>
      <c r="B1" s="460">
        <v>45131</v>
      </c>
      <c r="C1" s="461"/>
      <c r="G1" s="76" t="s">
        <v>80</v>
      </c>
      <c r="H1" s="460">
        <v>45131</v>
      </c>
      <c r="I1" s="461"/>
    </row>
    <row r="2" spans="1:10" ht="21" thickBot="1" x14ac:dyDescent="0.3">
      <c r="A2" s="53" t="s">
        <v>137</v>
      </c>
      <c r="B2" s="53" t="s">
        <v>3</v>
      </c>
      <c r="C2" s="53" t="s">
        <v>138</v>
      </c>
      <c r="G2" s="53" t="s">
        <v>137</v>
      </c>
      <c r="H2" s="53" t="s">
        <v>3</v>
      </c>
      <c r="I2" s="53" t="s">
        <v>138</v>
      </c>
    </row>
    <row r="3" spans="1:10" ht="18" x14ac:dyDescent="0.25">
      <c r="A3" s="337">
        <f>5000+4900+500+450+20</f>
        <v>10870</v>
      </c>
      <c r="B3" s="418">
        <v>15</v>
      </c>
      <c r="C3" s="419" t="s">
        <v>73</v>
      </c>
      <c r="G3" s="336">
        <f>4000+400+55-1000+3</f>
        <v>3458</v>
      </c>
      <c r="H3" s="420">
        <v>2455</v>
      </c>
      <c r="I3" s="421" t="s">
        <v>45</v>
      </c>
    </row>
    <row r="4" spans="1:10" ht="18" x14ac:dyDescent="0.25">
      <c r="A4" s="338"/>
      <c r="B4" s="339"/>
      <c r="C4" s="339"/>
      <c r="G4" s="60"/>
      <c r="H4" s="422">
        <v>120</v>
      </c>
      <c r="I4" s="421" t="s">
        <v>393</v>
      </c>
    </row>
    <row r="5" spans="1:10" ht="18" x14ac:dyDescent="0.25">
      <c r="A5" s="338"/>
      <c r="B5" s="418">
        <v>280</v>
      </c>
      <c r="C5" s="418" t="s">
        <v>8</v>
      </c>
      <c r="G5" s="60"/>
      <c r="H5" s="422">
        <v>115</v>
      </c>
      <c r="I5" s="421" t="s">
        <v>551</v>
      </c>
    </row>
    <row r="6" spans="1:10" ht="18" x14ac:dyDescent="0.25">
      <c r="A6" s="338"/>
      <c r="B6" s="339">
        <v>165</v>
      </c>
      <c r="C6" s="418" t="s">
        <v>399</v>
      </c>
      <c r="G6" s="60"/>
      <c r="H6" s="422">
        <v>270</v>
      </c>
      <c r="I6" s="421" t="s">
        <v>1400</v>
      </c>
    </row>
    <row r="7" spans="1:10" ht="18" x14ac:dyDescent="0.25">
      <c r="A7" s="338"/>
      <c r="B7" s="418">
        <v>160</v>
      </c>
      <c r="C7" s="339" t="s">
        <v>373</v>
      </c>
      <c r="G7" s="60"/>
      <c r="H7" s="422">
        <v>6</v>
      </c>
      <c r="I7" s="421" t="s">
        <v>1401</v>
      </c>
    </row>
    <row r="8" spans="1:10" ht="18" x14ac:dyDescent="0.25">
      <c r="A8" s="338"/>
      <c r="B8" s="418">
        <v>84</v>
      </c>
      <c r="C8" s="339" t="s">
        <v>1396</v>
      </c>
      <c r="G8" s="60"/>
      <c r="H8" s="422">
        <v>535</v>
      </c>
      <c r="I8" s="421" t="s">
        <v>11</v>
      </c>
    </row>
    <row r="9" spans="1:10" ht="18" x14ac:dyDescent="0.25">
      <c r="A9" s="338"/>
      <c r="B9" s="339">
        <v>95</v>
      </c>
      <c r="C9" s="339" t="s">
        <v>1393</v>
      </c>
      <c r="G9" s="60"/>
      <c r="H9" s="422">
        <v>1065</v>
      </c>
      <c r="I9" s="421" t="s">
        <v>1402</v>
      </c>
    </row>
    <row r="10" spans="1:10" ht="18" x14ac:dyDescent="0.25">
      <c r="A10" s="338"/>
      <c r="B10" s="339">
        <v>158</v>
      </c>
      <c r="C10" s="339" t="s">
        <v>1394</v>
      </c>
      <c r="G10" s="60"/>
      <c r="H10" s="422">
        <v>1335</v>
      </c>
      <c r="I10" s="421" t="s">
        <v>12</v>
      </c>
    </row>
    <row r="11" spans="1:10" ht="18" x14ac:dyDescent="0.25">
      <c r="A11" s="339"/>
      <c r="B11" s="339">
        <v>312</v>
      </c>
      <c r="C11" s="339" t="s">
        <v>569</v>
      </c>
      <c r="G11" s="60"/>
      <c r="H11" s="422">
        <v>1585</v>
      </c>
      <c r="I11" s="421" t="s">
        <v>605</v>
      </c>
    </row>
    <row r="12" spans="1:10" ht="18" x14ac:dyDescent="0.25">
      <c r="A12" s="339"/>
      <c r="B12" s="339">
        <v>1520</v>
      </c>
      <c r="C12" s="339" t="s">
        <v>281</v>
      </c>
      <c r="G12" s="60"/>
      <c r="H12" s="422">
        <v>736</v>
      </c>
      <c r="I12" s="421" t="s">
        <v>1403</v>
      </c>
    </row>
    <row r="13" spans="1:10" ht="18" x14ac:dyDescent="0.25">
      <c r="A13" s="339"/>
      <c r="B13" s="339">
        <v>5475</v>
      </c>
      <c r="C13" s="339" t="s">
        <v>44</v>
      </c>
      <c r="G13" s="60"/>
      <c r="H13" s="422">
        <v>572</v>
      </c>
      <c r="I13" s="421" t="s">
        <v>63</v>
      </c>
      <c r="J13" s="341"/>
    </row>
    <row r="14" spans="1:10" ht="18" x14ac:dyDescent="0.25">
      <c r="A14" s="339"/>
      <c r="B14" s="339"/>
      <c r="C14" s="339"/>
      <c r="G14" s="60"/>
      <c r="H14" s="422">
        <v>80</v>
      </c>
      <c r="I14" s="421" t="s">
        <v>61</v>
      </c>
    </row>
    <row r="15" spans="1:10" ht="18" x14ac:dyDescent="0.25">
      <c r="A15" s="339"/>
      <c r="B15" s="339"/>
      <c r="C15" s="339"/>
      <c r="G15" s="60"/>
      <c r="H15" s="422">
        <v>1000</v>
      </c>
      <c r="I15" s="421" t="s">
        <v>1404</v>
      </c>
    </row>
    <row r="16" spans="1:10" ht="18" x14ac:dyDescent="0.25">
      <c r="A16" s="339"/>
      <c r="B16" s="339"/>
      <c r="C16" s="339"/>
      <c r="G16" s="60"/>
      <c r="H16" s="422"/>
      <c r="I16" s="422"/>
    </row>
    <row r="17" spans="1:11" ht="18" x14ac:dyDescent="0.25">
      <c r="A17" s="338"/>
      <c r="B17" s="339"/>
      <c r="C17" s="339"/>
      <c r="G17" s="60"/>
      <c r="H17" s="422"/>
      <c r="I17" s="422"/>
    </row>
    <row r="18" spans="1:11" ht="18" x14ac:dyDescent="0.25">
      <c r="A18" s="338"/>
      <c r="B18" s="339"/>
      <c r="C18" s="339"/>
      <c r="G18" s="60"/>
      <c r="H18" s="422"/>
      <c r="I18" s="422"/>
    </row>
    <row r="19" spans="1:11" ht="18.75" thickBot="1" x14ac:dyDescent="0.3">
      <c r="A19" s="338"/>
      <c r="B19" s="339"/>
      <c r="C19" s="339"/>
      <c r="G19" s="66"/>
      <c r="H19" s="56"/>
      <c r="I19" s="64"/>
    </row>
    <row r="20" spans="1:11" ht="24" thickBot="1" x14ac:dyDescent="0.3">
      <c r="A20" s="66"/>
      <c r="B20" s="56"/>
      <c r="C20" s="64"/>
      <c r="D20" s="314" t="str">
        <f>IF(E20&gt;0,"زيادة","عجز")</f>
        <v>زيادة</v>
      </c>
      <c r="E20" s="99">
        <f>E25-E21</f>
        <v>51</v>
      </c>
      <c r="G20" s="68">
        <f>SUM(G3:G19)</f>
        <v>3458</v>
      </c>
      <c r="H20" s="69">
        <f>SUM(H3:H19)</f>
        <v>9874</v>
      </c>
      <c r="J20" s="314" t="str">
        <f>IF(K20&gt;0,"زيادة","عجز")</f>
        <v>زيادة</v>
      </c>
      <c r="K20" s="99">
        <f>K25-K21</f>
        <v>7</v>
      </c>
    </row>
    <row r="21" spans="1:11" ht="24" thickBot="1" x14ac:dyDescent="0.3">
      <c r="A21" s="68">
        <f>SUM(A3:A20)</f>
        <v>10870</v>
      </c>
      <c r="B21" s="69">
        <f>SUM(B3:B20)</f>
        <v>8264</v>
      </c>
      <c r="D21" s="135" t="s">
        <v>94</v>
      </c>
      <c r="E21" s="99">
        <f>3435-2526</f>
        <v>909</v>
      </c>
      <c r="G21" s="462" t="s">
        <v>139</v>
      </c>
      <c r="H21" s="463"/>
      <c r="I21" s="71" t="s">
        <v>75</v>
      </c>
      <c r="J21" s="135" t="s">
        <v>94</v>
      </c>
      <c r="K21" s="99">
        <f>2526-5482+5000</f>
        <v>2044</v>
      </c>
    </row>
    <row r="22" spans="1:11" ht="24" thickBot="1" x14ac:dyDescent="0.3">
      <c r="A22" s="462" t="s">
        <v>139</v>
      </c>
      <c r="B22" s="463"/>
      <c r="C22" s="71" t="s">
        <v>75</v>
      </c>
      <c r="D22" s="136" t="s">
        <v>65</v>
      </c>
      <c r="E22" s="85">
        <f>750+210</f>
        <v>960</v>
      </c>
      <c r="G22" s="464">
        <f>H20+G20</f>
        <v>13332</v>
      </c>
      <c r="H22" s="465"/>
      <c r="I22" s="313">
        <f>300+100+200+172</f>
        <v>772</v>
      </c>
      <c r="J22" s="136" t="s">
        <v>65</v>
      </c>
      <c r="K22" s="85">
        <f>1950+29</f>
        <v>1979</v>
      </c>
    </row>
    <row r="23" spans="1:11" ht="24" thickBot="1" x14ac:dyDescent="0.3">
      <c r="A23" s="464">
        <f>B21+A21</f>
        <v>19134</v>
      </c>
      <c r="B23" s="465"/>
      <c r="C23" s="313">
        <v>576</v>
      </c>
      <c r="D23" s="82"/>
      <c r="E23" s="83"/>
      <c r="G23" s="466" t="s">
        <v>99</v>
      </c>
      <c r="H23" s="467"/>
      <c r="I23" s="78">
        <f>G24-I24</f>
        <v>-56</v>
      </c>
      <c r="J23" s="82" t="s">
        <v>75</v>
      </c>
      <c r="K23" s="83">
        <v>72</v>
      </c>
    </row>
    <row r="24" spans="1:11" ht="24" thickBot="1" x14ac:dyDescent="0.3">
      <c r="A24" s="466" t="s">
        <v>99</v>
      </c>
      <c r="B24" s="467"/>
      <c r="C24" s="78">
        <f>A25-C25</f>
        <v>-14</v>
      </c>
      <c r="D24" s="82"/>
      <c r="E24" s="83"/>
      <c r="G24" s="468">
        <f>I22+G22</f>
        <v>14104</v>
      </c>
      <c r="H24" s="469"/>
      <c r="I24" s="121">
        <v>14160</v>
      </c>
      <c r="J24" s="82"/>
      <c r="K24" s="83"/>
    </row>
    <row r="25" spans="1:11" ht="24" thickBot="1" x14ac:dyDescent="0.3">
      <c r="A25" s="468">
        <f>C23+A23</f>
        <v>19710</v>
      </c>
      <c r="B25" s="469"/>
      <c r="C25" s="121">
        <v>19724</v>
      </c>
      <c r="D25" s="82" t="s">
        <v>164</v>
      </c>
      <c r="E25" s="83">
        <f>SUM(E22:E24)</f>
        <v>960</v>
      </c>
      <c r="I25" s="314" t="str">
        <f>IF(I23&gt;0,"زيادة","عجز")</f>
        <v>عجز</v>
      </c>
      <c r="J25" s="82" t="s">
        <v>164</v>
      </c>
      <c r="K25" s="83">
        <f>SUM(K22:K24)</f>
        <v>2051</v>
      </c>
    </row>
    <row r="26" spans="1:11" ht="24" thickBot="1" x14ac:dyDescent="0.3">
      <c r="C26" s="314" t="str">
        <f>IF(C24&gt;0,"زيادة","عجز")</f>
        <v>عجز</v>
      </c>
      <c r="D26" s="318"/>
      <c r="G26">
        <f>4+5+10+8+2+35+54+81+240+17+25+30+6+13+10+16+5+10+145+35+95+4+33+20+185+50+9+12+20+18+25+5+39+33+58+20+10+32+8+135+20+5+14+10+6+20+187+151+20+10+32+5+10+48+4+49+5+20+5+66+30+43+5+5+28-160-165</f>
        <v>2035</v>
      </c>
      <c r="J26" s="318"/>
    </row>
    <row r="28" spans="1:11" ht="15.75" thickBot="1" x14ac:dyDescent="0.3"/>
    <row r="29" spans="1:11" ht="24" thickBot="1" x14ac:dyDescent="0.3">
      <c r="G29" s="76" t="s">
        <v>85</v>
      </c>
      <c r="H29" s="460">
        <v>45131</v>
      </c>
      <c r="I29" s="461"/>
    </row>
    <row r="30" spans="1:11" ht="24" thickBot="1" x14ac:dyDescent="0.3">
      <c r="A30" s="76" t="s">
        <v>363</v>
      </c>
      <c r="B30" s="460">
        <v>45131</v>
      </c>
      <c r="C30" s="461"/>
      <c r="G30" s="53" t="s">
        <v>137</v>
      </c>
      <c r="H30" s="53" t="s">
        <v>3</v>
      </c>
      <c r="I30" s="53" t="s">
        <v>138</v>
      </c>
    </row>
    <row r="31" spans="1:11" ht="21" thickBot="1" x14ac:dyDescent="0.3">
      <c r="A31" s="53" t="s">
        <v>137</v>
      </c>
      <c r="B31" s="53" t="s">
        <v>3</v>
      </c>
      <c r="C31" s="53" t="s">
        <v>138</v>
      </c>
      <c r="G31" s="55">
        <f>5000+1800+1000+480</f>
        <v>8280</v>
      </c>
      <c r="H31" s="77">
        <v>250</v>
      </c>
      <c r="I31" s="57" t="s">
        <v>1415</v>
      </c>
    </row>
    <row r="32" spans="1:11" ht="18" x14ac:dyDescent="0.25">
      <c r="A32" s="55">
        <f>10000+3650+500+425</f>
        <v>14575</v>
      </c>
      <c r="B32" s="57">
        <v>4000</v>
      </c>
      <c r="C32" s="56" t="s">
        <v>368</v>
      </c>
      <c r="G32" s="60"/>
      <c r="H32" s="56">
        <v>170</v>
      </c>
      <c r="I32" s="57" t="s">
        <v>86</v>
      </c>
    </row>
    <row r="33" spans="1:9" ht="18" x14ac:dyDescent="0.25">
      <c r="A33" s="60"/>
      <c r="B33" s="56"/>
      <c r="C33" s="56"/>
      <c r="G33" s="60"/>
      <c r="H33" s="77">
        <v>495</v>
      </c>
      <c r="I33" s="77" t="s">
        <v>27</v>
      </c>
    </row>
    <row r="34" spans="1:9" ht="18" x14ac:dyDescent="0.25">
      <c r="A34" s="60"/>
      <c r="B34" s="77"/>
      <c r="C34" s="56"/>
      <c r="G34" s="60"/>
      <c r="H34" s="56">
        <v>50</v>
      </c>
      <c r="I34" s="77" t="s">
        <v>97</v>
      </c>
    </row>
    <row r="35" spans="1:9" ht="18" x14ac:dyDescent="0.25">
      <c r="A35" s="60"/>
      <c r="B35" s="77"/>
      <c r="C35" s="56"/>
      <c r="G35" s="60"/>
      <c r="H35" s="77"/>
      <c r="I35" s="56"/>
    </row>
    <row r="36" spans="1:9" ht="18" x14ac:dyDescent="0.25">
      <c r="A36" s="60"/>
      <c r="B36" s="56"/>
      <c r="C36" s="56"/>
      <c r="G36" s="60"/>
      <c r="H36" s="77"/>
      <c r="I36" s="56"/>
    </row>
    <row r="37" spans="1:9" ht="18" x14ac:dyDescent="0.25">
      <c r="A37" s="60"/>
      <c r="B37" s="77"/>
      <c r="C37" s="56"/>
      <c r="G37" s="60"/>
      <c r="H37" s="56"/>
      <c r="I37" s="56"/>
    </row>
    <row r="38" spans="1:9" ht="18" x14ac:dyDescent="0.25">
      <c r="A38" s="60"/>
      <c r="B38" s="56"/>
      <c r="C38" s="56"/>
      <c r="G38" s="60"/>
      <c r="H38" s="56"/>
      <c r="I38" s="56"/>
    </row>
    <row r="39" spans="1:9" ht="18" x14ac:dyDescent="0.25">
      <c r="A39" s="60"/>
      <c r="B39" s="56"/>
      <c r="C39" s="56"/>
      <c r="G39" s="60"/>
      <c r="H39" s="56"/>
      <c r="I39" s="56"/>
    </row>
    <row r="40" spans="1:9" ht="18" x14ac:dyDescent="0.25">
      <c r="A40" s="60"/>
      <c r="B40" s="56"/>
      <c r="C40" s="56"/>
      <c r="G40" s="60"/>
      <c r="H40" s="56"/>
      <c r="I40" s="56"/>
    </row>
    <row r="41" spans="1:9" ht="18" x14ac:dyDescent="0.25">
      <c r="A41" s="60"/>
      <c r="B41" s="56"/>
      <c r="C41" s="56"/>
      <c r="G41" s="60"/>
      <c r="H41" s="56"/>
      <c r="I41" s="56"/>
    </row>
    <row r="42" spans="1:9" ht="18" x14ac:dyDescent="0.25">
      <c r="A42" s="60"/>
      <c r="B42" s="56"/>
      <c r="C42" s="56"/>
      <c r="G42" s="60"/>
      <c r="H42" s="56"/>
      <c r="I42" s="56"/>
    </row>
    <row r="43" spans="1:9" ht="18" x14ac:dyDescent="0.25">
      <c r="A43" s="60"/>
      <c r="B43" s="56"/>
      <c r="C43" s="56"/>
      <c r="G43" s="60"/>
      <c r="H43" s="56"/>
      <c r="I43" s="56"/>
    </row>
    <row r="44" spans="1:9" ht="18" x14ac:dyDescent="0.25">
      <c r="A44" s="60"/>
      <c r="B44" s="56"/>
      <c r="C44" s="56"/>
      <c r="G44" s="60"/>
      <c r="H44" s="56"/>
      <c r="I44" s="56"/>
    </row>
    <row r="45" spans="1:9" ht="18" x14ac:dyDescent="0.25">
      <c r="A45" s="60"/>
      <c r="B45" s="56"/>
      <c r="C45" s="56"/>
      <c r="G45" s="60"/>
      <c r="H45" s="56"/>
      <c r="I45" s="56"/>
    </row>
    <row r="46" spans="1:9" ht="18" x14ac:dyDescent="0.25">
      <c r="A46" s="60"/>
      <c r="B46" s="56"/>
      <c r="C46" s="56"/>
      <c r="G46" s="60"/>
      <c r="H46" s="56"/>
      <c r="I46" s="56"/>
    </row>
    <row r="47" spans="1:9" ht="18" x14ac:dyDescent="0.25">
      <c r="A47" s="60"/>
      <c r="B47" s="56"/>
      <c r="C47" s="56"/>
      <c r="G47" s="60"/>
      <c r="H47" s="56"/>
      <c r="I47" s="56"/>
    </row>
    <row r="48" spans="1:9" ht="18" x14ac:dyDescent="0.25">
      <c r="A48" s="60"/>
      <c r="B48" s="56"/>
      <c r="C48" s="56"/>
      <c r="G48" s="60"/>
      <c r="H48" s="56"/>
      <c r="I48" s="56"/>
    </row>
    <row r="49" spans="1:11" ht="18" x14ac:dyDescent="0.25">
      <c r="A49" s="60"/>
      <c r="B49" s="56"/>
      <c r="C49" s="56"/>
      <c r="G49" s="60"/>
      <c r="H49" s="56"/>
      <c r="I49" s="56"/>
    </row>
    <row r="50" spans="1:11" ht="18" x14ac:dyDescent="0.25">
      <c r="A50" s="60"/>
      <c r="B50" s="56"/>
      <c r="C50" s="56"/>
      <c r="G50" s="60"/>
      <c r="I50" s="56"/>
    </row>
    <row r="51" spans="1:11" ht="18.75" thickBot="1" x14ac:dyDescent="0.3">
      <c r="A51" s="60"/>
      <c r="B51" s="56"/>
      <c r="C51" s="56"/>
      <c r="G51" s="66"/>
      <c r="H51" s="56"/>
      <c r="I51" s="64"/>
    </row>
    <row r="52" spans="1:11" ht="24" thickBot="1" x14ac:dyDescent="0.3">
      <c r="A52" s="66"/>
      <c r="B52" s="56"/>
      <c r="C52" s="64"/>
      <c r="D52" s="314" t="str">
        <f>IF(E52&gt;0,"زيادة","عجز")</f>
        <v>عجز</v>
      </c>
      <c r="E52" s="99">
        <f>E57-E53</f>
        <v>0</v>
      </c>
      <c r="G52" s="68">
        <f>SUM(G31:G51)</f>
        <v>8280</v>
      </c>
      <c r="H52" s="69">
        <f>SUM(H31:H51)</f>
        <v>965</v>
      </c>
      <c r="J52" s="314" t="str">
        <f>IF(K52&gt;0,"زيادة","عجز")</f>
        <v>عجز</v>
      </c>
      <c r="K52" s="99">
        <f>K57-K53</f>
        <v>0</v>
      </c>
    </row>
    <row r="53" spans="1:11" ht="24" thickBot="1" x14ac:dyDescent="0.3">
      <c r="A53" s="68">
        <f>SUM(A32:A52)</f>
        <v>14575</v>
      </c>
      <c r="B53" s="69">
        <f>SUM(B32:B52)</f>
        <v>4000</v>
      </c>
      <c r="D53" s="135" t="s">
        <v>94</v>
      </c>
      <c r="E53" s="99"/>
      <c r="G53" s="462" t="s">
        <v>139</v>
      </c>
      <c r="H53" s="463"/>
      <c r="I53" s="71" t="s">
        <v>75</v>
      </c>
      <c r="J53" s="135" t="s">
        <v>94</v>
      </c>
      <c r="K53" s="99"/>
    </row>
    <row r="54" spans="1:11" ht="24" thickBot="1" x14ac:dyDescent="0.3">
      <c r="A54" s="462" t="s">
        <v>139</v>
      </c>
      <c r="B54" s="463"/>
      <c r="C54" s="71" t="s">
        <v>75</v>
      </c>
      <c r="D54" s="136" t="s">
        <v>65</v>
      </c>
      <c r="E54" s="85"/>
      <c r="G54" s="464">
        <f>H52+G52</f>
        <v>9245</v>
      </c>
      <c r="H54" s="465"/>
      <c r="I54" s="313">
        <f>41+287</f>
        <v>328</v>
      </c>
      <c r="J54" s="136" t="s">
        <v>65</v>
      </c>
      <c r="K54" s="85"/>
    </row>
    <row r="55" spans="1:11" ht="24" thickBot="1" x14ac:dyDescent="0.3">
      <c r="A55" s="464">
        <f>B53+A53</f>
        <v>18575</v>
      </c>
      <c r="B55" s="465"/>
      <c r="C55" s="313">
        <f>78+191+73+160+524+160</f>
        <v>1186</v>
      </c>
      <c r="D55" s="82"/>
      <c r="E55" s="83"/>
      <c r="G55" s="466" t="s">
        <v>99</v>
      </c>
      <c r="H55" s="467"/>
      <c r="I55" s="78">
        <f>G56-I56</f>
        <v>-22</v>
      </c>
      <c r="J55" s="82"/>
      <c r="K55" s="83"/>
    </row>
    <row r="56" spans="1:11" ht="24" thickBot="1" x14ac:dyDescent="0.3">
      <c r="A56" s="466" t="s">
        <v>99</v>
      </c>
      <c r="B56" s="467"/>
      <c r="C56" s="78">
        <f>A57-C57</f>
        <v>-56</v>
      </c>
      <c r="D56" s="82"/>
      <c r="E56" s="83"/>
      <c r="G56" s="468">
        <f>I54+G54</f>
        <v>9573</v>
      </c>
      <c r="H56" s="469"/>
      <c r="I56" s="121">
        <v>9595</v>
      </c>
      <c r="J56" s="82"/>
      <c r="K56" s="83"/>
    </row>
    <row r="57" spans="1:11" ht="24" thickBot="1" x14ac:dyDescent="0.3">
      <c r="A57" s="468">
        <f>C55+A55</f>
        <v>19761</v>
      </c>
      <c r="B57" s="469"/>
      <c r="C57" s="121">
        <v>19817</v>
      </c>
      <c r="D57" s="82" t="s">
        <v>164</v>
      </c>
      <c r="E57" s="83">
        <f>SUM(E54:E56)</f>
        <v>0</v>
      </c>
      <c r="I57" s="314" t="str">
        <f>IF(I55&gt;0,"زيادة","عجز")</f>
        <v>عجز</v>
      </c>
      <c r="J57" s="82" t="s">
        <v>164</v>
      </c>
      <c r="K57" s="83">
        <f>SUM(K54:K56)</f>
        <v>0</v>
      </c>
    </row>
    <row r="58" spans="1:11" ht="24" thickBot="1" x14ac:dyDescent="0.3">
      <c r="C58" s="314" t="str">
        <f>IF(C56&gt;0,"زيادة","عجز")</f>
        <v>عجز</v>
      </c>
      <c r="D58" s="318"/>
      <c r="J58" s="318"/>
    </row>
    <row r="61" spans="1:11" ht="15.75" thickBot="1" x14ac:dyDescent="0.3"/>
    <row r="62" spans="1:11" ht="24" thickBot="1" x14ac:dyDescent="0.3">
      <c r="A62" s="76"/>
      <c r="B62" s="460">
        <v>45130</v>
      </c>
      <c r="C62" s="474"/>
      <c r="G62" s="76" t="s">
        <v>15</v>
      </c>
      <c r="H62" s="460">
        <v>45131</v>
      </c>
      <c r="I62" s="461"/>
    </row>
    <row r="63" spans="1:11" ht="21" thickBot="1" x14ac:dyDescent="0.3">
      <c r="A63" s="53" t="s">
        <v>137</v>
      </c>
      <c r="B63" s="53" t="s">
        <v>3</v>
      </c>
      <c r="C63" s="53" t="s">
        <v>138</v>
      </c>
      <c r="G63" s="53" t="s">
        <v>137</v>
      </c>
      <c r="H63" s="53" t="s">
        <v>3</v>
      </c>
      <c r="I63" s="53" t="s">
        <v>138</v>
      </c>
    </row>
    <row r="64" spans="1:11" ht="18" x14ac:dyDescent="0.25">
      <c r="A64" s="55"/>
      <c r="B64" s="77"/>
      <c r="C64" s="57"/>
      <c r="G64" s="55">
        <f>10000+230</f>
        <v>10230</v>
      </c>
      <c r="H64" s="77">
        <v>140</v>
      </c>
      <c r="I64" s="57" t="s">
        <v>1416</v>
      </c>
    </row>
    <row r="65" spans="1:9" ht="18" x14ac:dyDescent="0.25">
      <c r="A65" s="60"/>
      <c r="B65" s="56"/>
      <c r="C65" s="57"/>
      <c r="G65" s="60"/>
      <c r="H65" s="56">
        <v>7350</v>
      </c>
      <c r="I65" s="57" t="s">
        <v>1417</v>
      </c>
    </row>
    <row r="66" spans="1:9" ht="18" x14ac:dyDescent="0.25">
      <c r="A66" s="60"/>
      <c r="B66" s="77"/>
      <c r="C66" s="77"/>
      <c r="G66" s="60"/>
      <c r="H66" s="77">
        <v>225</v>
      </c>
      <c r="I66" s="77" t="s">
        <v>334</v>
      </c>
    </row>
    <row r="67" spans="1:9" ht="18" x14ac:dyDescent="0.25">
      <c r="A67" s="60"/>
      <c r="B67" s="56"/>
      <c r="C67" s="77"/>
      <c r="G67" s="60"/>
      <c r="H67" s="56">
        <v>6585</v>
      </c>
      <c r="I67" s="77" t="s">
        <v>1418</v>
      </c>
    </row>
    <row r="68" spans="1:9" ht="18" x14ac:dyDescent="0.25">
      <c r="A68" s="60"/>
      <c r="B68" s="77"/>
      <c r="C68" s="56"/>
      <c r="G68" s="60"/>
      <c r="H68" s="77">
        <v>100</v>
      </c>
      <c r="I68" s="56" t="s">
        <v>1419</v>
      </c>
    </row>
    <row r="69" spans="1:9" ht="18" x14ac:dyDescent="0.25">
      <c r="A69" s="60"/>
      <c r="B69" s="77"/>
      <c r="C69" s="56"/>
      <c r="G69" s="60"/>
      <c r="H69" s="77">
        <v>14</v>
      </c>
      <c r="I69" s="56" t="s">
        <v>1420</v>
      </c>
    </row>
    <row r="70" spans="1:9" ht="18" x14ac:dyDescent="0.25">
      <c r="A70" s="60"/>
      <c r="B70" s="56"/>
      <c r="C70" s="56"/>
      <c r="G70" s="60"/>
      <c r="H70" s="56">
        <v>110</v>
      </c>
      <c r="I70" s="56" t="s">
        <v>29</v>
      </c>
    </row>
    <row r="71" spans="1:9" ht="18" x14ac:dyDescent="0.25">
      <c r="A71" s="60"/>
      <c r="B71" s="56"/>
      <c r="C71" s="56"/>
      <c r="G71" s="60"/>
      <c r="H71" s="56">
        <v>2500</v>
      </c>
      <c r="I71" s="56" t="s">
        <v>1421</v>
      </c>
    </row>
    <row r="72" spans="1:9" ht="18" x14ac:dyDescent="0.25">
      <c r="A72" s="60"/>
      <c r="B72" s="56"/>
      <c r="C72" s="56"/>
      <c r="G72" s="60"/>
      <c r="H72" s="56">
        <v>110</v>
      </c>
      <c r="I72" s="56" t="s">
        <v>1422</v>
      </c>
    </row>
    <row r="73" spans="1:9" ht="18" x14ac:dyDescent="0.25">
      <c r="A73" s="60"/>
      <c r="B73" s="56"/>
      <c r="C73" s="56"/>
      <c r="G73" s="60"/>
      <c r="H73" s="56">
        <v>215</v>
      </c>
      <c r="I73" s="56" t="s">
        <v>1319</v>
      </c>
    </row>
    <row r="74" spans="1:9" ht="18" x14ac:dyDescent="0.25">
      <c r="A74" s="60"/>
      <c r="B74" s="56"/>
      <c r="C74" s="56"/>
      <c r="G74" s="60"/>
      <c r="H74" s="56">
        <v>80</v>
      </c>
      <c r="I74" s="56" t="s">
        <v>510</v>
      </c>
    </row>
    <row r="75" spans="1:9" ht="18" x14ac:dyDescent="0.25">
      <c r="A75" s="60"/>
      <c r="B75" s="56"/>
      <c r="C75" s="56"/>
      <c r="G75" s="60"/>
      <c r="H75" s="56">
        <v>160</v>
      </c>
      <c r="I75" s="56" t="s">
        <v>498</v>
      </c>
    </row>
    <row r="76" spans="1:9" ht="18" x14ac:dyDescent="0.25">
      <c r="A76" s="60"/>
      <c r="B76" s="56"/>
      <c r="C76" s="56"/>
      <c r="G76" s="60"/>
      <c r="H76" s="56">
        <v>185</v>
      </c>
      <c r="I76" s="56" t="s">
        <v>15</v>
      </c>
    </row>
    <row r="77" spans="1:9" ht="18" x14ac:dyDescent="0.25">
      <c r="A77" s="60"/>
      <c r="B77" s="56"/>
      <c r="C77" s="56"/>
      <c r="G77" s="60"/>
      <c r="H77" s="56"/>
      <c r="I77" s="56"/>
    </row>
    <row r="78" spans="1:9" ht="18" x14ac:dyDescent="0.25">
      <c r="A78" s="60"/>
      <c r="B78" s="56"/>
      <c r="C78" s="56"/>
      <c r="G78" s="60"/>
      <c r="H78" s="56"/>
      <c r="I78" s="56"/>
    </row>
    <row r="79" spans="1:9" ht="27" thickBot="1" x14ac:dyDescent="0.45">
      <c r="A79" s="60"/>
      <c r="B79" s="56"/>
      <c r="C79" s="56"/>
      <c r="D79" s="477" t="s">
        <v>1386</v>
      </c>
      <c r="E79" s="478"/>
      <c r="G79" s="60"/>
      <c r="H79" s="56"/>
      <c r="I79" s="56"/>
    </row>
    <row r="80" spans="1:9" ht="24" thickBot="1" x14ac:dyDescent="0.3">
      <c r="A80" s="66"/>
      <c r="B80" s="56"/>
      <c r="C80" s="64"/>
      <c r="D80" s="314" t="str">
        <f>IF(E80&gt;0,"زيادة","عجز")</f>
        <v>عجز</v>
      </c>
      <c r="E80" s="99">
        <f>E86-E81</f>
        <v>0</v>
      </c>
      <c r="G80" s="60"/>
      <c r="H80" s="56"/>
      <c r="I80" s="56"/>
    </row>
    <row r="81" spans="1:11" ht="24" thickBot="1" x14ac:dyDescent="0.3">
      <c r="A81" s="68">
        <f>SUM(A64:A80)</f>
        <v>0</v>
      </c>
      <c r="B81" s="69">
        <f>SUM(B64:B80)</f>
        <v>0</v>
      </c>
      <c r="D81" s="135" t="s">
        <v>94</v>
      </c>
      <c r="E81" s="99"/>
      <c r="G81" s="60"/>
      <c r="H81" s="56"/>
      <c r="I81" s="56"/>
    </row>
    <row r="82" spans="1:11" ht="21.75" thickBot="1" x14ac:dyDescent="0.3">
      <c r="A82" s="365" t="s">
        <v>139</v>
      </c>
      <c r="B82" s="366"/>
      <c r="C82" s="71" t="s">
        <v>75</v>
      </c>
      <c r="D82" s="136" t="s">
        <v>65</v>
      </c>
      <c r="E82" s="85"/>
      <c r="G82" s="60"/>
      <c r="H82" s="56"/>
      <c r="I82" s="56"/>
    </row>
    <row r="83" spans="1:11" ht="24" thickBot="1" x14ac:dyDescent="0.3">
      <c r="A83" s="367">
        <f>B81+A81</f>
        <v>0</v>
      </c>
      <c r="B83" s="368"/>
      <c r="C83" s="313"/>
      <c r="D83" s="82" t="s">
        <v>21</v>
      </c>
      <c r="E83" s="83"/>
      <c r="G83" s="66"/>
      <c r="H83" s="56"/>
      <c r="I83" s="64"/>
    </row>
    <row r="84" spans="1:11" ht="24" thickBot="1" x14ac:dyDescent="0.3">
      <c r="A84" s="369" t="s">
        <v>99</v>
      </c>
      <c r="B84" s="370"/>
      <c r="C84" s="78">
        <f>A85-C85</f>
        <v>0</v>
      </c>
      <c r="D84" s="82" t="s">
        <v>1378</v>
      </c>
      <c r="E84" s="83"/>
      <c r="G84" s="68">
        <f>SUM(G64:G83)</f>
        <v>10230</v>
      </c>
      <c r="H84" s="69">
        <f>SUM(H64:H83)</f>
        <v>17774</v>
      </c>
      <c r="J84" s="314" t="str">
        <f>IF(K84&gt;0,"زيادة","عجز")</f>
        <v>زيادة</v>
      </c>
      <c r="K84" s="99">
        <f>K89-K85</f>
        <v>19</v>
      </c>
    </row>
    <row r="85" spans="1:11" ht="24" thickBot="1" x14ac:dyDescent="0.3">
      <c r="A85" s="371">
        <f>C83+A83</f>
        <v>0</v>
      </c>
      <c r="B85" s="372"/>
      <c r="C85" s="121"/>
      <c r="D85" s="82" t="s">
        <v>373</v>
      </c>
      <c r="E85" s="83"/>
      <c r="G85" s="462" t="s">
        <v>139</v>
      </c>
      <c r="H85" s="463"/>
      <c r="I85" s="71" t="s">
        <v>75</v>
      </c>
      <c r="J85" s="135" t="s">
        <v>94</v>
      </c>
      <c r="K85" s="99">
        <f>1006-373+900</f>
        <v>1533</v>
      </c>
    </row>
    <row r="86" spans="1:11" ht="24" thickBot="1" x14ac:dyDescent="0.3">
      <c r="C86" s="314" t="str">
        <f>IF(C84&gt;0,"زيادة","عجز")</f>
        <v>عجز</v>
      </c>
      <c r="D86" s="82" t="s">
        <v>164</v>
      </c>
      <c r="E86" s="83">
        <f>SUM(E82:E85)</f>
        <v>0</v>
      </c>
      <c r="G86" s="464">
        <f>H84+G84</f>
        <v>28004</v>
      </c>
      <c r="H86" s="465"/>
      <c r="I86" s="313">
        <f>186+48+59+154+100</f>
        <v>547</v>
      </c>
      <c r="J86" s="136" t="s">
        <v>65</v>
      </c>
      <c r="K86" s="85">
        <f>1250+15+1</f>
        <v>1266</v>
      </c>
    </row>
    <row r="87" spans="1:11" ht="24" thickBot="1" x14ac:dyDescent="0.3">
      <c r="D87" s="318"/>
      <c r="G87" s="466" t="s">
        <v>99</v>
      </c>
      <c r="H87" s="467"/>
      <c r="I87" s="78">
        <f>G88-I88</f>
        <v>50</v>
      </c>
      <c r="J87" s="82" t="s">
        <v>1423</v>
      </c>
      <c r="K87" s="83">
        <v>286</v>
      </c>
    </row>
    <row r="88" spans="1:11" ht="24" thickBot="1" x14ac:dyDescent="0.3">
      <c r="G88" s="468">
        <f>I86+G86</f>
        <v>28551</v>
      </c>
      <c r="H88" s="469"/>
      <c r="I88" s="121">
        <v>28501</v>
      </c>
      <c r="J88" s="82"/>
      <c r="K88" s="83"/>
    </row>
    <row r="89" spans="1:11" ht="24" thickBot="1" x14ac:dyDescent="0.3">
      <c r="I89" s="314" t="str">
        <f>IF(I87&gt;0,"زيادة","عجز")</f>
        <v>زيادة</v>
      </c>
      <c r="J89" s="82" t="s">
        <v>164</v>
      </c>
      <c r="K89" s="83">
        <f>SUM(K86:K88)</f>
        <v>1552</v>
      </c>
    </row>
    <row r="90" spans="1:11" ht="24" thickBot="1" x14ac:dyDescent="0.3">
      <c r="I90" s="372"/>
      <c r="J90" s="318"/>
    </row>
    <row r="91" spans="1:11" ht="24" thickBot="1" x14ac:dyDescent="0.3">
      <c r="A91" s="76" t="s">
        <v>1162</v>
      </c>
      <c r="B91" s="460">
        <v>45126</v>
      </c>
      <c r="C91" s="474"/>
      <c r="G91" s="76" t="s">
        <v>88</v>
      </c>
      <c r="H91" s="460">
        <v>45130</v>
      </c>
      <c r="I91" s="461"/>
      <c r="J91" s="104"/>
    </row>
    <row r="92" spans="1:11" ht="21" thickBot="1" x14ac:dyDescent="0.3">
      <c r="A92" s="53" t="s">
        <v>137</v>
      </c>
      <c r="B92" s="53" t="s">
        <v>3</v>
      </c>
      <c r="C92" s="53" t="s">
        <v>138</v>
      </c>
      <c r="G92" s="53" t="s">
        <v>137</v>
      </c>
      <c r="H92" s="53" t="s">
        <v>3</v>
      </c>
      <c r="I92" s="53" t="s">
        <v>138</v>
      </c>
    </row>
    <row r="93" spans="1:11" ht="18" x14ac:dyDescent="0.25">
      <c r="A93" s="55">
        <f>5000+2500+10</f>
        <v>7510</v>
      </c>
      <c r="B93" s="77">
        <v>75</v>
      </c>
      <c r="C93" s="57" t="s">
        <v>26</v>
      </c>
      <c r="G93" s="55">
        <f>4110</f>
        <v>4110</v>
      </c>
      <c r="H93" s="77">
        <v>11</v>
      </c>
      <c r="I93" s="57" t="s">
        <v>119</v>
      </c>
    </row>
    <row r="94" spans="1:11" ht="18" x14ac:dyDescent="0.25">
      <c r="A94" s="60"/>
      <c r="B94" s="56">
        <v>140</v>
      </c>
      <c r="C94" s="57" t="s">
        <v>38</v>
      </c>
      <c r="G94" s="60"/>
      <c r="H94" s="56">
        <f>15+246</f>
        <v>261</v>
      </c>
      <c r="I94" s="57" t="s">
        <v>97</v>
      </c>
    </row>
    <row r="95" spans="1:11" ht="18" x14ac:dyDescent="0.25">
      <c r="A95" s="60"/>
      <c r="B95" s="77">
        <v>75</v>
      </c>
      <c r="C95" s="77" t="s">
        <v>13</v>
      </c>
      <c r="G95" s="60"/>
      <c r="H95" s="77">
        <v>100</v>
      </c>
      <c r="I95" s="77" t="s">
        <v>9</v>
      </c>
    </row>
    <row r="96" spans="1:11" ht="18" x14ac:dyDescent="0.25">
      <c r="A96" s="60"/>
      <c r="B96" s="56">
        <v>110</v>
      </c>
      <c r="C96" s="77" t="s">
        <v>376</v>
      </c>
      <c r="G96" s="60"/>
      <c r="H96" s="56">
        <v>110</v>
      </c>
      <c r="I96" s="77" t="s">
        <v>1426</v>
      </c>
    </row>
    <row r="97" spans="1:9" ht="18" x14ac:dyDescent="0.25">
      <c r="A97" s="60"/>
      <c r="B97" s="77">
        <v>90</v>
      </c>
      <c r="C97" s="56" t="s">
        <v>223</v>
      </c>
      <c r="G97" s="60"/>
      <c r="H97" s="77">
        <v>180</v>
      </c>
      <c r="I97" s="56" t="s">
        <v>255</v>
      </c>
    </row>
    <row r="98" spans="1:9" ht="18" x14ac:dyDescent="0.25">
      <c r="A98" s="60"/>
      <c r="B98" s="77">
        <v>270</v>
      </c>
      <c r="C98" s="56" t="s">
        <v>741</v>
      </c>
      <c r="G98" s="60"/>
      <c r="H98" s="77">
        <v>65</v>
      </c>
      <c r="I98" s="56" t="s">
        <v>339</v>
      </c>
    </row>
    <row r="99" spans="1:9" ht="18" x14ac:dyDescent="0.25">
      <c r="A99" s="60"/>
      <c r="B99" s="56"/>
      <c r="C99" s="56"/>
      <c r="G99" s="60"/>
      <c r="H99" s="56">
        <v>130</v>
      </c>
      <c r="I99" s="56" t="s">
        <v>288</v>
      </c>
    </row>
    <row r="100" spans="1:9" ht="18" x14ac:dyDescent="0.25">
      <c r="A100" s="60"/>
      <c r="B100" s="56"/>
      <c r="C100" s="56"/>
      <c r="G100" s="60"/>
      <c r="H100" s="56">
        <v>90</v>
      </c>
      <c r="I100" s="56" t="s">
        <v>1419</v>
      </c>
    </row>
    <row r="101" spans="1:9" ht="18" x14ac:dyDescent="0.25">
      <c r="A101" s="60"/>
      <c r="B101" s="56"/>
      <c r="C101" s="56"/>
      <c r="G101" s="60"/>
      <c r="H101" s="56">
        <v>270</v>
      </c>
      <c r="I101" s="56" t="s">
        <v>744</v>
      </c>
    </row>
    <row r="102" spans="1:9" ht="18" x14ac:dyDescent="0.25">
      <c r="A102" s="60"/>
      <c r="B102" s="56"/>
      <c r="C102" s="56"/>
      <c r="G102" s="60"/>
      <c r="H102" s="56">
        <v>250</v>
      </c>
      <c r="I102" s="56" t="s">
        <v>34</v>
      </c>
    </row>
    <row r="103" spans="1:9" ht="18" x14ac:dyDescent="0.25">
      <c r="A103" s="60"/>
      <c r="B103" s="56"/>
      <c r="C103" s="56"/>
      <c r="G103" s="60"/>
      <c r="H103" s="56">
        <v>3765</v>
      </c>
      <c r="I103" s="56" t="s">
        <v>44</v>
      </c>
    </row>
    <row r="104" spans="1:9" ht="18" x14ac:dyDescent="0.25">
      <c r="A104" s="60"/>
      <c r="B104" s="56"/>
      <c r="C104" s="56"/>
      <c r="G104" s="60"/>
      <c r="H104" s="56">
        <v>1925</v>
      </c>
      <c r="I104" s="56" t="s">
        <v>1427</v>
      </c>
    </row>
    <row r="105" spans="1:9" ht="18" x14ac:dyDescent="0.25">
      <c r="A105" s="60"/>
      <c r="B105" s="56"/>
      <c r="C105" s="56"/>
      <c r="G105" s="60"/>
      <c r="H105" s="56"/>
      <c r="I105" s="56"/>
    </row>
    <row r="106" spans="1:9" ht="18" x14ac:dyDescent="0.25">
      <c r="A106" s="60"/>
      <c r="B106" s="56"/>
      <c r="C106" s="56"/>
      <c r="G106" s="60"/>
      <c r="H106" s="56"/>
      <c r="I106" s="56"/>
    </row>
    <row r="107" spans="1:9" ht="18" x14ac:dyDescent="0.25">
      <c r="A107" s="60"/>
      <c r="B107" s="56"/>
      <c r="C107" s="56"/>
      <c r="G107" s="60"/>
      <c r="H107" s="56"/>
      <c r="I107" s="56"/>
    </row>
    <row r="108" spans="1:9" ht="18" x14ac:dyDescent="0.25">
      <c r="A108" s="60"/>
      <c r="B108" s="56"/>
      <c r="C108" s="56"/>
      <c r="G108" s="60"/>
      <c r="H108" s="56"/>
      <c r="I108" s="56"/>
    </row>
    <row r="109" spans="1:9" ht="18" x14ac:dyDescent="0.25">
      <c r="A109" s="60"/>
      <c r="B109" s="56"/>
      <c r="C109" s="56"/>
      <c r="G109" s="60"/>
      <c r="H109" s="56"/>
      <c r="I109" s="56"/>
    </row>
    <row r="110" spans="1:9" ht="18" x14ac:dyDescent="0.25">
      <c r="A110" s="60"/>
      <c r="B110" s="56"/>
      <c r="C110" s="56"/>
      <c r="G110" s="60"/>
      <c r="H110" s="56"/>
      <c r="I110" s="56"/>
    </row>
    <row r="111" spans="1:9" ht="18" x14ac:dyDescent="0.25">
      <c r="A111" s="60"/>
      <c r="B111" s="56"/>
      <c r="C111" s="56"/>
      <c r="G111" s="60"/>
      <c r="H111" s="56"/>
      <c r="I111" s="56"/>
    </row>
    <row r="112" spans="1:9" ht="18" x14ac:dyDescent="0.25">
      <c r="A112" s="60"/>
      <c r="B112" s="56"/>
      <c r="C112" s="56"/>
      <c r="G112" s="60"/>
      <c r="H112" s="56"/>
      <c r="I112" s="56"/>
    </row>
    <row r="113" spans="1:11" ht="18" x14ac:dyDescent="0.25">
      <c r="A113" s="60"/>
      <c r="B113" s="56"/>
      <c r="C113" s="56"/>
      <c r="G113" s="60"/>
      <c r="H113" s="56"/>
      <c r="I113" s="56"/>
    </row>
    <row r="114" spans="1:11" ht="18" x14ac:dyDescent="0.25">
      <c r="A114" s="60"/>
      <c r="B114" s="56"/>
      <c r="C114" s="56"/>
      <c r="G114" s="60"/>
      <c r="H114" s="56"/>
      <c r="I114" s="56"/>
    </row>
    <row r="115" spans="1:11" ht="18.75" thickBot="1" x14ac:dyDescent="0.3">
      <c r="A115" s="66"/>
      <c r="B115" s="56"/>
      <c r="C115" s="64"/>
      <c r="E115" s="424"/>
      <c r="G115" s="66"/>
      <c r="H115" s="56"/>
      <c r="I115" s="64"/>
    </row>
    <row r="116" spans="1:11" ht="24" thickBot="1" x14ac:dyDescent="0.3">
      <c r="A116" s="68">
        <f>SUM(A93:A115)</f>
        <v>7510</v>
      </c>
      <c r="B116" s="69">
        <f>SUM(B93:B115)</f>
        <v>760</v>
      </c>
      <c r="D116" s="314" t="str">
        <f>IF(E116&gt;0,"زيادة","عجز")</f>
        <v>زيادة</v>
      </c>
      <c r="E116" s="99">
        <f>E121-E117</f>
        <v>202</v>
      </c>
      <c r="G116" s="68">
        <f>SUM(G93:G115)</f>
        <v>4110</v>
      </c>
      <c r="H116" s="69">
        <f>SUM(H93:H115)</f>
        <v>7157</v>
      </c>
      <c r="J116" s="314" t="str">
        <f>IF(K116&gt;0,"زيادة","عجز")</f>
        <v>زيادة</v>
      </c>
      <c r="K116" s="99">
        <f>K121-K117</f>
        <v>177</v>
      </c>
    </row>
    <row r="117" spans="1:11" ht="24" thickBot="1" x14ac:dyDescent="0.3">
      <c r="A117" s="365" t="s">
        <v>139</v>
      </c>
      <c r="B117" s="366"/>
      <c r="C117" s="71" t="s">
        <v>75</v>
      </c>
      <c r="D117" s="135" t="s">
        <v>94</v>
      </c>
      <c r="E117" s="99">
        <f>5482-719</f>
        <v>4763</v>
      </c>
      <c r="G117" s="462" t="s">
        <v>139</v>
      </c>
      <c r="H117" s="463"/>
      <c r="I117" s="71" t="s">
        <v>75</v>
      </c>
      <c r="J117" s="135" t="s">
        <v>94</v>
      </c>
      <c r="K117" s="85">
        <f>1006-323</f>
        <v>683</v>
      </c>
    </row>
    <row r="118" spans="1:11" ht="24" thickBot="1" x14ac:dyDescent="0.3">
      <c r="A118" s="367">
        <f>B116+A116</f>
        <v>8270</v>
      </c>
      <c r="B118" s="368"/>
      <c r="C118" s="313">
        <f>135+75</f>
        <v>210</v>
      </c>
      <c r="D118" s="136" t="s">
        <v>65</v>
      </c>
      <c r="E118" s="85">
        <f>4450+395</f>
        <v>4845</v>
      </c>
      <c r="G118" s="464">
        <f>H116+G116</f>
        <v>11267</v>
      </c>
      <c r="H118" s="465"/>
      <c r="I118" s="313">
        <v>288</v>
      </c>
      <c r="J118" s="136" t="s">
        <v>65</v>
      </c>
      <c r="K118" s="85">
        <f>650+70</f>
        <v>720</v>
      </c>
    </row>
    <row r="119" spans="1:11" ht="24" thickBot="1" x14ac:dyDescent="0.3">
      <c r="A119" s="466" t="s">
        <v>99</v>
      </c>
      <c r="B119" s="467"/>
      <c r="C119" s="78">
        <f>A120-C120</f>
        <v>40</v>
      </c>
      <c r="D119" s="82" t="s">
        <v>373</v>
      </c>
      <c r="E119" s="83">
        <v>20</v>
      </c>
      <c r="G119" s="466" t="s">
        <v>99</v>
      </c>
      <c r="H119" s="467"/>
      <c r="I119" s="78">
        <f>G120-I120</f>
        <v>51</v>
      </c>
      <c r="J119" s="82" t="s">
        <v>1428</v>
      </c>
      <c r="K119" s="83">
        <v>140</v>
      </c>
    </row>
    <row r="120" spans="1:11" ht="24" thickBot="1" x14ac:dyDescent="0.3">
      <c r="A120" s="468">
        <f>C118+A118</f>
        <v>8480</v>
      </c>
      <c r="B120" s="469"/>
      <c r="C120" s="121">
        <v>8440</v>
      </c>
      <c r="D120" s="82" t="s">
        <v>75</v>
      </c>
      <c r="E120" s="83">
        <v>100</v>
      </c>
      <c r="G120" s="468">
        <f>I118+G118</f>
        <v>11555</v>
      </c>
      <c r="H120" s="469"/>
      <c r="I120" s="121">
        <v>11504</v>
      </c>
      <c r="J120" s="82"/>
      <c r="K120" s="83"/>
    </row>
    <row r="121" spans="1:11" ht="24" thickBot="1" x14ac:dyDescent="0.3">
      <c r="C121" s="314" t="str">
        <f>IF(C119&gt;0,"زيادة","عجز")</f>
        <v>زيادة</v>
      </c>
      <c r="D121" s="82" t="s">
        <v>164</v>
      </c>
      <c r="E121" s="83">
        <f>SUM(E118:E120)</f>
        <v>4965</v>
      </c>
      <c r="I121" s="314" t="str">
        <f>IF(I119&gt;0,"زيادة","عجز")</f>
        <v>زيادة</v>
      </c>
      <c r="J121" s="82" t="s">
        <v>164</v>
      </c>
      <c r="K121" s="83">
        <f>SUM(K118:K120)</f>
        <v>860</v>
      </c>
    </row>
    <row r="122" spans="1:11" ht="18.75" x14ac:dyDescent="0.25">
      <c r="D122" s="318"/>
      <c r="J122" s="318"/>
    </row>
    <row r="123" spans="1:11" ht="15.75" thickBot="1" x14ac:dyDescent="0.3"/>
    <row r="124" spans="1:11" ht="24" thickBot="1" x14ac:dyDescent="0.3">
      <c r="A124" s="425" t="s">
        <v>15</v>
      </c>
      <c r="B124" s="460">
        <v>45127</v>
      </c>
      <c r="C124" s="461"/>
      <c r="G124" s="425" t="s">
        <v>85</v>
      </c>
      <c r="H124" s="460">
        <v>45127</v>
      </c>
      <c r="I124" s="461"/>
    </row>
    <row r="125" spans="1:11" ht="21" thickBot="1" x14ac:dyDescent="0.3">
      <c r="A125" s="53" t="s">
        <v>137</v>
      </c>
      <c r="B125" s="53" t="s">
        <v>3</v>
      </c>
      <c r="C125" s="53" t="s">
        <v>138</v>
      </c>
      <c r="G125" s="53" t="s">
        <v>137</v>
      </c>
      <c r="H125" s="53" t="s">
        <v>3</v>
      </c>
      <c r="I125" s="53" t="s">
        <v>138</v>
      </c>
    </row>
    <row r="126" spans="1:11" ht="18" x14ac:dyDescent="0.25">
      <c r="A126" s="55"/>
      <c r="B126" s="77"/>
      <c r="C126" s="57"/>
      <c r="G126" s="55"/>
      <c r="H126" s="77"/>
      <c r="I126" s="57"/>
    </row>
    <row r="127" spans="1:11" ht="18" x14ac:dyDescent="0.25">
      <c r="A127" s="60"/>
      <c r="B127" s="56"/>
      <c r="C127" s="57"/>
      <c r="G127" s="60"/>
      <c r="H127" s="56"/>
      <c r="I127" s="57"/>
    </row>
    <row r="128" spans="1:11" ht="18" x14ac:dyDescent="0.25">
      <c r="A128" s="60"/>
      <c r="B128" s="77"/>
      <c r="C128" s="77"/>
      <c r="G128" s="60"/>
      <c r="H128" s="77"/>
      <c r="I128" s="77"/>
    </row>
    <row r="129" spans="1:9" ht="18" x14ac:dyDescent="0.25">
      <c r="A129" s="60"/>
      <c r="B129" s="56"/>
      <c r="C129" s="77"/>
      <c r="G129" s="60"/>
      <c r="H129" s="56"/>
      <c r="I129" s="77"/>
    </row>
    <row r="130" spans="1:9" ht="18" x14ac:dyDescent="0.25">
      <c r="A130" s="60"/>
      <c r="B130" s="77"/>
      <c r="C130" s="56"/>
      <c r="G130" s="60"/>
      <c r="H130" s="77"/>
      <c r="I130" s="56"/>
    </row>
    <row r="131" spans="1:9" ht="18" x14ac:dyDescent="0.25">
      <c r="A131" s="60"/>
      <c r="B131" s="77"/>
      <c r="C131" s="56"/>
      <c r="G131" s="60"/>
      <c r="H131" s="77"/>
      <c r="I131" s="56"/>
    </row>
    <row r="132" spans="1:9" ht="18" x14ac:dyDescent="0.25">
      <c r="A132" s="60"/>
      <c r="B132" s="56"/>
      <c r="C132" s="56"/>
      <c r="G132" s="60"/>
      <c r="H132" s="56"/>
      <c r="I132" s="56"/>
    </row>
    <row r="133" spans="1:9" ht="18" x14ac:dyDescent="0.25">
      <c r="A133" s="60"/>
      <c r="B133" s="56"/>
      <c r="C133" s="56"/>
      <c r="G133" s="60"/>
      <c r="H133" s="56"/>
      <c r="I133" s="56"/>
    </row>
    <row r="134" spans="1:9" ht="18" x14ac:dyDescent="0.25">
      <c r="A134" s="60"/>
      <c r="B134" s="56"/>
      <c r="C134" s="56"/>
      <c r="G134" s="60"/>
      <c r="H134" s="56"/>
      <c r="I134" s="56"/>
    </row>
    <row r="135" spans="1:9" ht="18" x14ac:dyDescent="0.25">
      <c r="A135" s="60"/>
      <c r="B135" s="56"/>
      <c r="C135" s="56"/>
      <c r="G135" s="60"/>
      <c r="H135" s="56"/>
      <c r="I135" s="56"/>
    </row>
    <row r="136" spans="1:9" ht="18" x14ac:dyDescent="0.25">
      <c r="A136" s="60"/>
      <c r="B136" s="56"/>
      <c r="C136" s="56"/>
      <c r="G136" s="60"/>
      <c r="H136" s="56"/>
      <c r="I136" s="56"/>
    </row>
    <row r="137" spans="1:9" ht="18" x14ac:dyDescent="0.25">
      <c r="A137" s="60"/>
      <c r="B137" s="56"/>
      <c r="C137" s="56"/>
      <c r="G137" s="60"/>
      <c r="H137" s="56"/>
      <c r="I137" s="56"/>
    </row>
    <row r="138" spans="1:9" ht="18" x14ac:dyDescent="0.25">
      <c r="A138" s="60"/>
      <c r="B138" s="56"/>
      <c r="C138" s="56"/>
      <c r="G138" s="60"/>
      <c r="H138" s="56"/>
      <c r="I138" s="56"/>
    </row>
    <row r="139" spans="1:9" ht="18" x14ac:dyDescent="0.25">
      <c r="A139" s="60"/>
      <c r="B139" s="56"/>
      <c r="C139" s="56"/>
      <c r="G139" s="60"/>
      <c r="H139" s="56"/>
      <c r="I139" s="56"/>
    </row>
    <row r="140" spans="1:9" ht="18" x14ac:dyDescent="0.25">
      <c r="A140" s="60"/>
      <c r="B140" s="56"/>
      <c r="C140" s="56"/>
      <c r="G140" s="60"/>
      <c r="H140" s="56"/>
      <c r="I140" s="56"/>
    </row>
    <row r="141" spans="1:9" ht="18" x14ac:dyDescent="0.25">
      <c r="A141" s="60"/>
      <c r="B141" s="56"/>
      <c r="C141" s="56"/>
      <c r="G141" s="60"/>
      <c r="H141" s="56"/>
      <c r="I141" s="56"/>
    </row>
    <row r="142" spans="1:9" ht="18" x14ac:dyDescent="0.25">
      <c r="A142" s="60"/>
      <c r="B142" s="56"/>
      <c r="C142" s="56"/>
      <c r="G142" s="60"/>
      <c r="H142" s="56"/>
      <c r="I142" s="56"/>
    </row>
    <row r="143" spans="1:9" ht="18" x14ac:dyDescent="0.25">
      <c r="A143" s="60"/>
      <c r="B143" s="56"/>
      <c r="C143" s="56"/>
      <c r="G143" s="60"/>
      <c r="H143" s="56"/>
      <c r="I143" s="56"/>
    </row>
    <row r="144" spans="1:9" ht="18" x14ac:dyDescent="0.25">
      <c r="A144" s="60"/>
      <c r="B144" s="56"/>
      <c r="C144" s="56"/>
      <c r="G144" s="60"/>
      <c r="H144" s="56"/>
      <c r="I144" s="56"/>
    </row>
    <row r="145" spans="1:11" ht="18" x14ac:dyDescent="0.25">
      <c r="A145" s="60"/>
      <c r="B145" s="56"/>
      <c r="C145" s="56"/>
      <c r="G145" s="60"/>
      <c r="H145" s="56"/>
      <c r="I145" s="56"/>
    </row>
    <row r="146" spans="1:11" ht="18" x14ac:dyDescent="0.25">
      <c r="A146" s="60"/>
      <c r="B146" s="56"/>
      <c r="C146" s="56"/>
      <c r="G146" s="60"/>
      <c r="H146" s="56"/>
      <c r="I146" s="56"/>
    </row>
    <row r="147" spans="1:11" ht="18" x14ac:dyDescent="0.25">
      <c r="A147" s="60"/>
      <c r="B147" s="56"/>
      <c r="C147" s="56"/>
      <c r="G147" s="60"/>
      <c r="H147" s="56"/>
      <c r="I147" s="56"/>
    </row>
    <row r="148" spans="1:11" ht="18.75" thickBot="1" x14ac:dyDescent="0.3">
      <c r="A148" s="66"/>
      <c r="B148" s="56"/>
      <c r="C148" s="64"/>
      <c r="G148" s="66"/>
      <c r="H148" s="56"/>
      <c r="I148" s="64"/>
    </row>
    <row r="149" spans="1:11" ht="24" thickBot="1" x14ac:dyDescent="0.3">
      <c r="A149" s="68">
        <f>SUM(A126:A148)</f>
        <v>0</v>
      </c>
      <c r="B149" s="69">
        <f>SUM(B126:B148)</f>
        <v>0</v>
      </c>
      <c r="D149" s="314" t="str">
        <f>IF(E149&gt;0,"زيادة","عجز")</f>
        <v>عجز</v>
      </c>
      <c r="E149" s="99">
        <f>E154-E150</f>
        <v>0</v>
      </c>
      <c r="G149" s="68">
        <f>SUM(G126:G148)</f>
        <v>0</v>
      </c>
      <c r="H149" s="69">
        <f>SUM(H126:H148)</f>
        <v>0</v>
      </c>
      <c r="J149" s="314" t="str">
        <f>IF(K149&gt;0,"زيادة","عجز")</f>
        <v>عجز</v>
      </c>
      <c r="K149" s="99">
        <f>K154-K150</f>
        <v>0</v>
      </c>
    </row>
    <row r="150" spans="1:11" ht="24" thickBot="1" x14ac:dyDescent="0.3">
      <c r="A150" s="462" t="s">
        <v>139</v>
      </c>
      <c r="B150" s="463"/>
      <c r="C150" s="71" t="s">
        <v>75</v>
      </c>
      <c r="D150" s="135" t="s">
        <v>94</v>
      </c>
      <c r="E150" s="99"/>
      <c r="G150" s="462" t="s">
        <v>139</v>
      </c>
      <c r="H150" s="463"/>
      <c r="I150" s="71" t="s">
        <v>75</v>
      </c>
      <c r="J150" s="135" t="s">
        <v>94</v>
      </c>
      <c r="K150" s="99"/>
    </row>
    <row r="151" spans="1:11" ht="24" thickBot="1" x14ac:dyDescent="0.3">
      <c r="A151" s="464">
        <f>B149+A149</f>
        <v>0</v>
      </c>
      <c r="B151" s="465"/>
      <c r="C151" s="313"/>
      <c r="D151" s="136" t="s">
        <v>65</v>
      </c>
      <c r="E151" s="85"/>
      <c r="G151" s="464">
        <f>H149+G149</f>
        <v>0</v>
      </c>
      <c r="H151" s="465"/>
      <c r="I151" s="313"/>
      <c r="J151" s="136" t="s">
        <v>65</v>
      </c>
      <c r="K151" s="85"/>
    </row>
    <row r="152" spans="1:11" ht="24" thickBot="1" x14ac:dyDescent="0.3">
      <c r="A152" s="466" t="s">
        <v>99</v>
      </c>
      <c r="B152" s="467"/>
      <c r="C152" s="78">
        <f>A153-C153</f>
        <v>0</v>
      </c>
      <c r="D152" s="82"/>
      <c r="E152" s="83"/>
      <c r="G152" s="466" t="s">
        <v>99</v>
      </c>
      <c r="H152" s="467"/>
      <c r="I152" s="78">
        <f>G153-I153</f>
        <v>0</v>
      </c>
      <c r="J152" s="82"/>
      <c r="K152" s="83"/>
    </row>
    <row r="153" spans="1:11" ht="24" thickBot="1" x14ac:dyDescent="0.3">
      <c r="A153" s="468">
        <f>C151+A151</f>
        <v>0</v>
      </c>
      <c r="B153" s="469"/>
      <c r="C153" s="121"/>
      <c r="D153" s="82"/>
      <c r="E153" s="83"/>
      <c r="G153" s="468">
        <f>I151+G151</f>
        <v>0</v>
      </c>
      <c r="H153" s="469"/>
      <c r="I153" s="121"/>
      <c r="J153" s="82"/>
      <c r="K153" s="83"/>
    </row>
    <row r="154" spans="1:11" ht="24" thickBot="1" x14ac:dyDescent="0.3">
      <c r="C154" s="314" t="str">
        <f>IF(C152&gt;0,"زيادة","عجز")</f>
        <v>عجز</v>
      </c>
      <c r="D154" s="82" t="s">
        <v>164</v>
      </c>
      <c r="E154" s="83">
        <f>SUM(E151:E153)</f>
        <v>0</v>
      </c>
      <c r="I154" s="314" t="str">
        <f>IF(I152&gt;0,"زيادة","عجز")</f>
        <v>عجز</v>
      </c>
      <c r="J154" s="82" t="s">
        <v>164</v>
      </c>
      <c r="K154" s="83">
        <f>SUM(K151:K153)</f>
        <v>0</v>
      </c>
    </row>
    <row r="155" spans="1:11" ht="18.75" x14ac:dyDescent="0.25">
      <c r="D155" s="318"/>
      <c r="J155" s="318"/>
    </row>
    <row r="156" spans="1:11" x14ac:dyDescent="0.25">
      <c r="A156">
        <f>10+10+10+10+10</f>
        <v>50</v>
      </c>
    </row>
    <row r="165" spans="1:7" ht="15.75" thickBot="1" x14ac:dyDescent="0.3"/>
    <row r="166" spans="1:7" ht="24" thickBot="1" x14ac:dyDescent="0.3">
      <c r="A166" s="425" t="s">
        <v>59</v>
      </c>
      <c r="B166" s="460">
        <v>45127</v>
      </c>
      <c r="C166" s="461"/>
    </row>
    <row r="167" spans="1:7" ht="21" thickBot="1" x14ac:dyDescent="0.3">
      <c r="A167" s="53" t="s">
        <v>137</v>
      </c>
      <c r="B167" s="53" t="s">
        <v>3</v>
      </c>
      <c r="C167" s="53" t="s">
        <v>138</v>
      </c>
      <c r="G167">
        <f>3459-378-378+150-73+63</f>
        <v>2843</v>
      </c>
    </row>
    <row r="168" spans="1:7" ht="18" x14ac:dyDescent="0.25">
      <c r="A168" s="55"/>
      <c r="B168" s="77"/>
      <c r="C168" s="57"/>
    </row>
    <row r="169" spans="1:7" ht="18" x14ac:dyDescent="0.25">
      <c r="A169" s="60"/>
      <c r="B169" s="56"/>
      <c r="C169" s="57"/>
    </row>
    <row r="170" spans="1:7" ht="18" x14ac:dyDescent="0.25">
      <c r="A170" s="60"/>
      <c r="B170" s="77"/>
      <c r="C170" s="57"/>
    </row>
    <row r="171" spans="1:7" ht="18" x14ac:dyDescent="0.25">
      <c r="A171" s="60"/>
      <c r="B171" s="56"/>
      <c r="C171" s="57"/>
    </row>
    <row r="172" spans="1:7" ht="18" x14ac:dyDescent="0.25">
      <c r="A172" s="60"/>
      <c r="B172" s="77"/>
      <c r="C172" s="57"/>
    </row>
    <row r="173" spans="1:7" ht="18" x14ac:dyDescent="0.25">
      <c r="A173" s="60"/>
      <c r="B173" s="77"/>
      <c r="C173" s="56"/>
    </row>
    <row r="174" spans="1:7" ht="18" x14ac:dyDescent="0.25">
      <c r="A174" s="60"/>
      <c r="B174" s="56"/>
      <c r="C174" s="56"/>
    </row>
    <row r="175" spans="1:7" ht="18" x14ac:dyDescent="0.25">
      <c r="A175" s="60"/>
      <c r="B175" s="56"/>
      <c r="C175" s="56"/>
    </row>
    <row r="176" spans="1:7" ht="18" x14ac:dyDescent="0.25">
      <c r="A176" s="60"/>
      <c r="B176" s="56"/>
      <c r="C176" s="56"/>
    </row>
    <row r="177" spans="1:5" ht="18" x14ac:dyDescent="0.25">
      <c r="A177" s="60"/>
      <c r="B177" s="56"/>
      <c r="C177" s="56"/>
    </row>
    <row r="178" spans="1:5" ht="18" x14ac:dyDescent="0.25">
      <c r="A178" s="60"/>
      <c r="B178" s="56"/>
      <c r="C178" s="56"/>
    </row>
    <row r="179" spans="1:5" ht="18" x14ac:dyDescent="0.25">
      <c r="A179" s="60"/>
      <c r="B179" s="56"/>
      <c r="C179" s="56"/>
    </row>
    <row r="180" spans="1:5" ht="18" x14ac:dyDescent="0.25">
      <c r="A180" s="60"/>
      <c r="B180" s="56"/>
      <c r="C180" s="56"/>
    </row>
    <row r="181" spans="1:5" ht="18" x14ac:dyDescent="0.25">
      <c r="A181" s="60"/>
      <c r="B181" s="56"/>
      <c r="C181" s="56"/>
    </row>
    <row r="182" spans="1:5" ht="18" x14ac:dyDescent="0.25">
      <c r="A182" s="60"/>
      <c r="B182" s="56"/>
      <c r="C182" s="56"/>
    </row>
    <row r="183" spans="1:5" ht="18" x14ac:dyDescent="0.25">
      <c r="A183" s="60"/>
      <c r="B183" s="56"/>
      <c r="C183" s="56"/>
    </row>
    <row r="184" spans="1:5" ht="18" x14ac:dyDescent="0.25">
      <c r="A184" s="60"/>
      <c r="B184" s="56"/>
      <c r="C184" s="56"/>
    </row>
    <row r="185" spans="1:5" ht="18" x14ac:dyDescent="0.25">
      <c r="A185" s="60"/>
      <c r="B185" s="56"/>
      <c r="C185" s="56"/>
    </row>
    <row r="186" spans="1:5" ht="18" x14ac:dyDescent="0.25">
      <c r="A186" s="60"/>
      <c r="B186" s="56"/>
      <c r="C186" s="56"/>
    </row>
    <row r="187" spans="1:5" ht="18" x14ac:dyDescent="0.25">
      <c r="A187" s="60"/>
      <c r="B187" s="56"/>
      <c r="C187" s="56"/>
    </row>
    <row r="188" spans="1:5" ht="18" x14ac:dyDescent="0.25">
      <c r="A188" s="60"/>
      <c r="B188" s="56"/>
      <c r="C188" s="56"/>
    </row>
    <row r="189" spans="1:5" ht="18" x14ac:dyDescent="0.25">
      <c r="A189" s="60"/>
      <c r="B189" s="56"/>
      <c r="C189" s="56"/>
    </row>
    <row r="190" spans="1:5" ht="18.75" thickBot="1" x14ac:dyDescent="0.3">
      <c r="A190" s="66"/>
      <c r="B190" s="56"/>
      <c r="C190" s="64"/>
    </row>
    <row r="191" spans="1:5" ht="24" thickBot="1" x14ac:dyDescent="0.3">
      <c r="A191" s="68">
        <f>SUM(A168:A190)</f>
        <v>0</v>
      </c>
      <c r="B191" s="69">
        <f>SUM(B168:B190)</f>
        <v>0</v>
      </c>
      <c r="D191" s="314" t="str">
        <f>IF(E191&gt;0,"زيادة","عجز")</f>
        <v>عجز</v>
      </c>
      <c r="E191" s="99">
        <f>E196-E192</f>
        <v>0</v>
      </c>
    </row>
    <row r="192" spans="1:5" ht="24" thickBot="1" x14ac:dyDescent="0.3">
      <c r="A192" s="462" t="s">
        <v>139</v>
      </c>
      <c r="B192" s="463"/>
      <c r="C192" s="71" t="s">
        <v>75</v>
      </c>
      <c r="D192" s="135" t="s">
        <v>94</v>
      </c>
      <c r="E192" s="99"/>
    </row>
    <row r="193" spans="1:5" ht="24" thickBot="1" x14ac:dyDescent="0.3">
      <c r="A193" s="464">
        <f>B191+A191</f>
        <v>0</v>
      </c>
      <c r="B193" s="465"/>
      <c r="C193" s="313"/>
      <c r="D193" s="136" t="s">
        <v>65</v>
      </c>
      <c r="E193" s="85"/>
    </row>
    <row r="194" spans="1:5" ht="24" thickBot="1" x14ac:dyDescent="0.3">
      <c r="A194" s="466" t="s">
        <v>99</v>
      </c>
      <c r="B194" s="467"/>
      <c r="C194" s="78">
        <f>A195-C195</f>
        <v>0</v>
      </c>
      <c r="D194" s="82"/>
      <c r="E194" s="83"/>
    </row>
    <row r="195" spans="1:5" ht="24" thickBot="1" x14ac:dyDescent="0.3">
      <c r="A195" s="468">
        <f>C193+A193</f>
        <v>0</v>
      </c>
      <c r="B195" s="469"/>
      <c r="C195" s="121"/>
      <c r="D195" s="82"/>
      <c r="E195" s="83"/>
    </row>
    <row r="196" spans="1:5" ht="24" thickBot="1" x14ac:dyDescent="0.3">
      <c r="C196" s="314" t="str">
        <f>IF(C194&gt;0,"زيادة","عجز")</f>
        <v>عجز</v>
      </c>
      <c r="D196" s="82" t="s">
        <v>164</v>
      </c>
      <c r="E196" s="83">
        <f>SUM(E193:E195)</f>
        <v>0</v>
      </c>
    </row>
    <row r="197" spans="1:5" ht="18.75" x14ac:dyDescent="0.25">
      <c r="D197" s="318"/>
    </row>
    <row r="211" spans="3:6" x14ac:dyDescent="0.25">
      <c r="C211" t="s">
        <v>1414</v>
      </c>
      <c r="D211">
        <v>1</v>
      </c>
    </row>
    <row r="212" spans="3:6" x14ac:dyDescent="0.25">
      <c r="C212" t="s">
        <v>1414</v>
      </c>
      <c r="D212">
        <v>2</v>
      </c>
    </row>
    <row r="213" spans="3:6" x14ac:dyDescent="0.25">
      <c r="C213" t="s">
        <v>1414</v>
      </c>
      <c r="D213">
        <v>3</v>
      </c>
    </row>
    <row r="214" spans="3:6" x14ac:dyDescent="0.25">
      <c r="C214" t="s">
        <v>1414</v>
      </c>
      <c r="D214">
        <v>4</v>
      </c>
      <c r="F214" t="s">
        <v>1414</v>
      </c>
    </row>
  </sheetData>
  <mergeCells count="50">
    <mergeCell ref="A195:B195"/>
    <mergeCell ref="A153:B153"/>
    <mergeCell ref="G153:H153"/>
    <mergeCell ref="B166:C166"/>
    <mergeCell ref="A192:B192"/>
    <mergeCell ref="A193:B193"/>
    <mergeCell ref="A194:B194"/>
    <mergeCell ref="A150:B150"/>
    <mergeCell ref="G150:H150"/>
    <mergeCell ref="A151:B151"/>
    <mergeCell ref="G151:H151"/>
    <mergeCell ref="A152:B152"/>
    <mergeCell ref="G152:H152"/>
    <mergeCell ref="B124:C124"/>
    <mergeCell ref="H124:I124"/>
    <mergeCell ref="G86:H86"/>
    <mergeCell ref="G87:H87"/>
    <mergeCell ref="G88:H88"/>
    <mergeCell ref="B91:C91"/>
    <mergeCell ref="H91:I91"/>
    <mergeCell ref="G117:H117"/>
    <mergeCell ref="G118:H118"/>
    <mergeCell ref="A119:B119"/>
    <mergeCell ref="G119:H119"/>
    <mergeCell ref="A120:B120"/>
    <mergeCell ref="G120:H120"/>
    <mergeCell ref="G85:H85"/>
    <mergeCell ref="A54:B54"/>
    <mergeCell ref="G53:H53"/>
    <mergeCell ref="A55:B55"/>
    <mergeCell ref="G54:H54"/>
    <mergeCell ref="A56:B56"/>
    <mergeCell ref="G55:H55"/>
    <mergeCell ref="A57:B57"/>
    <mergeCell ref="G56:H56"/>
    <mergeCell ref="B62:C62"/>
    <mergeCell ref="H62:I62"/>
    <mergeCell ref="D79:E79"/>
    <mergeCell ref="A24:B24"/>
    <mergeCell ref="G23:H23"/>
    <mergeCell ref="A25:B25"/>
    <mergeCell ref="G24:H24"/>
    <mergeCell ref="B30:C30"/>
    <mergeCell ref="H29:I29"/>
    <mergeCell ref="B1:C1"/>
    <mergeCell ref="H1:I1"/>
    <mergeCell ref="A22:B22"/>
    <mergeCell ref="G21:H21"/>
    <mergeCell ref="A23:B23"/>
    <mergeCell ref="G22:H22"/>
  </mergeCells>
  <conditionalFormatting sqref="C154">
    <cfRule type="expression" dxfId="395" priority="11">
      <formula>#REF!="عجز"</formula>
    </cfRule>
    <cfRule type="expression" dxfId="394" priority="12">
      <formula>#REF!="زيادة"</formula>
    </cfRule>
  </conditionalFormatting>
  <conditionalFormatting sqref="C196">
    <cfRule type="expression" dxfId="393" priority="3">
      <formula>#REF!="عجز"</formula>
    </cfRule>
    <cfRule type="expression" dxfId="392" priority="4">
      <formula>#REF!="زيادة"</formula>
    </cfRule>
  </conditionalFormatting>
  <conditionalFormatting sqref="D20 J20 I25 C26 D52 J52 I57 C58 J84 C86 I89:I90 D116 C121">
    <cfRule type="expression" dxfId="391" priority="19">
      <formula>#REF!="عجز"</formula>
    </cfRule>
    <cfRule type="expression" dxfId="390" priority="20">
      <formula>#REF!="زيادة"</formula>
    </cfRule>
  </conditionalFormatting>
  <conditionalFormatting sqref="D80">
    <cfRule type="expression" dxfId="389" priority="15">
      <formula>#REF!="عجز"</formula>
    </cfRule>
    <cfRule type="expression" dxfId="388" priority="16">
      <formula>#REF!="زيادة"</formula>
    </cfRule>
  </conditionalFormatting>
  <conditionalFormatting sqref="D149">
    <cfRule type="expression" dxfId="387" priority="9">
      <formula>#REF!="عجز"</formula>
    </cfRule>
    <cfRule type="expression" dxfId="386" priority="10">
      <formula>#REF!="زيادة"</formula>
    </cfRule>
  </conditionalFormatting>
  <conditionalFormatting sqref="D191">
    <cfRule type="expression" dxfId="385" priority="1">
      <formula>#REF!="عجز"</formula>
    </cfRule>
    <cfRule type="expression" dxfId="384" priority="2">
      <formula>#REF!="زيادة"</formula>
    </cfRule>
  </conditionalFormatting>
  <conditionalFormatting sqref="I121">
    <cfRule type="expression" dxfId="383" priority="17">
      <formula>#REF!="عجز"</formula>
    </cfRule>
    <cfRule type="expression" dxfId="382" priority="18">
      <formula>#REF!="زيادة"</formula>
    </cfRule>
  </conditionalFormatting>
  <conditionalFormatting sqref="I154">
    <cfRule type="expression" dxfId="381" priority="7">
      <formula>#REF!="عجز"</formula>
    </cfRule>
    <cfRule type="expression" dxfId="380" priority="8">
      <formula>#REF!="زيادة"</formula>
    </cfRule>
  </conditionalFormatting>
  <conditionalFormatting sqref="J116">
    <cfRule type="expression" dxfId="379" priority="13">
      <formula>#REF!="عجز"</formula>
    </cfRule>
    <cfRule type="expression" dxfId="378" priority="14">
      <formula>#REF!="زيادة"</formula>
    </cfRule>
  </conditionalFormatting>
  <conditionalFormatting sqref="J149">
    <cfRule type="expression" dxfId="377" priority="5">
      <formula>#REF!="عجز"</formula>
    </cfRule>
    <cfRule type="expression" dxfId="376" priority="6">
      <formula>#REF!="زيادة"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Info</vt:lpstr>
      <vt:lpstr>Main</vt:lpstr>
      <vt:lpstr>30-7-2023</vt:lpstr>
      <vt:lpstr>29-7-2023</vt:lpstr>
      <vt:lpstr>28-7-2023</vt:lpstr>
      <vt:lpstr>27-7-2023</vt:lpstr>
      <vt:lpstr>26-7-2023</vt:lpstr>
      <vt:lpstr>25-7-2023</vt:lpstr>
      <vt:lpstr>24-7-2023</vt:lpstr>
      <vt:lpstr>23-7-2023</vt:lpstr>
      <vt:lpstr>22-7-2023</vt:lpstr>
      <vt:lpstr>21-7-2023</vt:lpstr>
      <vt:lpstr>20-7-2023</vt:lpstr>
      <vt:lpstr>19-7-2023</vt:lpstr>
      <vt:lpstr>18-7-2023</vt:lpstr>
      <vt:lpstr>17 07 2023	</vt:lpstr>
      <vt:lpstr>16-7-2023</vt:lpstr>
      <vt:lpstr>1-7-2023</vt:lpstr>
      <vt:lpstr>2-7-2023</vt:lpstr>
      <vt:lpstr>3-7-2023</vt:lpstr>
      <vt:lpstr>4-7-2023</vt:lpstr>
      <vt:lpstr>5-7-2023</vt:lpstr>
      <vt:lpstr>Main (2)</vt:lpstr>
      <vt:lpstr>6-7-2023</vt:lpstr>
      <vt:lpstr>7-7-2023</vt:lpstr>
      <vt:lpstr>8-7-2023</vt:lpstr>
      <vt:lpstr>9-7-2023</vt:lpstr>
      <vt:lpstr>10-7-2023</vt:lpstr>
      <vt:lpstr>11-7-2023</vt:lpstr>
      <vt:lpstr>12-7-2023</vt:lpstr>
      <vt:lpstr>13-7-2023</vt:lpstr>
      <vt:lpstr>14-7-2023</vt:lpstr>
      <vt:lpstr>15-7-2023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account1</dc:creator>
  <cp:lastModifiedBy>Star</cp:lastModifiedBy>
  <cp:lastPrinted>2023-07-18T01:53:19Z</cp:lastPrinted>
  <dcterms:created xsi:type="dcterms:W3CDTF">2023-05-01T10:37:54Z</dcterms:created>
  <dcterms:modified xsi:type="dcterms:W3CDTF">2023-07-30T23:04:14Z</dcterms:modified>
</cp:coreProperties>
</file>