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igma\02- Designs\"/>
    </mc:Choice>
  </mc:AlternateContent>
  <xr:revisionPtr revIDLastSave="0" documentId="13_ncr:1_{E45C4ABA-346C-4DBB-8ABC-A40D12F415E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2" l="1"/>
  <c r="B16" i="2"/>
  <c r="B18" i="2" s="1"/>
  <c r="F4" i="2" s="1"/>
  <c r="B21" i="2"/>
  <c r="B22" i="2"/>
  <c r="B17" i="2"/>
  <c r="B15" i="2"/>
  <c r="J20" i="2"/>
  <c r="B14" i="2"/>
  <c r="J11" i="2"/>
  <c r="J16" i="2"/>
  <c r="J5" i="2"/>
  <c r="F6" i="1"/>
  <c r="F7" i="1"/>
  <c r="F3" i="1"/>
  <c r="F9" i="1"/>
  <c r="F14" i="1"/>
  <c r="J10" i="1"/>
  <c r="J11" i="1"/>
  <c r="J5" i="1"/>
  <c r="F10" i="1"/>
  <c r="B17" i="1"/>
  <c r="B20" i="1"/>
  <c r="B16" i="1"/>
  <c r="B18" i="1" s="1"/>
  <c r="F4" i="1" s="1"/>
  <c r="B15" i="1"/>
  <c r="B14" i="1"/>
  <c r="B19" i="2" l="1"/>
  <c r="F13" i="2" s="1"/>
  <c r="B20" i="2"/>
  <c r="F5" i="1"/>
  <c r="J3" i="1" s="1"/>
  <c r="B19" i="1"/>
  <c r="J15" i="2" l="1"/>
  <c r="J14" i="2"/>
  <c r="F12" i="2"/>
  <c r="J9" i="2" s="1"/>
  <c r="F5" i="2"/>
  <c r="J9" i="1"/>
  <c r="F14" i="2" l="1"/>
  <c r="F11" i="2" s="1"/>
  <c r="F6" i="2"/>
  <c r="F3" i="2" s="1"/>
  <c r="F8" i="2" s="1"/>
  <c r="F9" i="2" s="1"/>
  <c r="J8" i="2"/>
  <c r="J3" i="2"/>
  <c r="F15" i="2" l="1"/>
  <c r="F16" i="2"/>
  <c r="F17" i="2" s="1"/>
  <c r="F7" i="2"/>
</calcChain>
</file>

<file path=xl/sharedStrings.xml><?xml version="1.0" encoding="utf-8"?>
<sst xmlns="http://schemas.openxmlformats.org/spreadsheetml/2006/main" count="167" uniqueCount="97">
  <si>
    <t>Input Data</t>
  </si>
  <si>
    <t>Power (KW)</t>
  </si>
  <si>
    <t>Max. Input Voltage (V)</t>
  </si>
  <si>
    <t>Min. Output Voltage (V)</t>
  </si>
  <si>
    <t>Max. Output Voltage (V)</t>
  </si>
  <si>
    <t>Switching Frequency (KHz)</t>
  </si>
  <si>
    <t>%Ripple Voltage</t>
  </si>
  <si>
    <t>%Ripple Current</t>
  </si>
  <si>
    <t>Diode Forward Voltage (V) (Vf)</t>
  </si>
  <si>
    <t xml:space="preserve">Calculated </t>
  </si>
  <si>
    <t>Min. Input Current  (A)</t>
  </si>
  <si>
    <t>Max. Input Current   (A)</t>
  </si>
  <si>
    <t>Min. Output Current (A)</t>
  </si>
  <si>
    <t>Load Resitance (ohm)</t>
  </si>
  <si>
    <t>Iin(A) (I_L)</t>
  </si>
  <si>
    <t>Equation</t>
  </si>
  <si>
    <t>P/V_in.Max</t>
  </si>
  <si>
    <t>P/V_in.Min</t>
  </si>
  <si>
    <t>P/V_out.Max</t>
  </si>
  <si>
    <t>P/V_out.Min</t>
  </si>
  <si>
    <t>(1-V_in/V_out )</t>
  </si>
  <si>
    <t>(V_out^2)/P</t>
  </si>
  <si>
    <t xml:space="preserve">(V_in * I_out)/V_out </t>
  </si>
  <si>
    <t>Max. Output Current (A)</t>
  </si>
  <si>
    <t>Output</t>
  </si>
  <si>
    <t>Inductor</t>
  </si>
  <si>
    <t>Output Capacitor</t>
  </si>
  <si>
    <t>Min.Inducatance (mH)</t>
  </si>
  <si>
    <t>Min. Inductor Current (A)</t>
  </si>
  <si>
    <t>Max. Inductor Current (A)</t>
  </si>
  <si>
    <t>(D*((1-D)^2)* R)/(2*f_sw )</t>
  </si>
  <si>
    <t>V_out + 50</t>
  </si>
  <si>
    <t>Capacitance (uF)</t>
  </si>
  <si>
    <t>Min. Cap Voltage (V)</t>
  </si>
  <si>
    <t>Switch</t>
  </si>
  <si>
    <t>Avg. Switch Current (A)</t>
  </si>
  <si>
    <t>Min. Switch Voltage (V)</t>
  </si>
  <si>
    <t>Max. Switch Voltage (V)</t>
  </si>
  <si>
    <t>(((I_m⁡in+I_m⁡a x)/2)*D)</t>
  </si>
  <si>
    <t>V_out + Vf+50</t>
  </si>
  <si>
    <t>Diode</t>
  </si>
  <si>
    <t>Avg. Diode Current (A)</t>
  </si>
  <si>
    <t>Min. Diode Voltage(PRV) (V)</t>
  </si>
  <si>
    <t>Max. Diode Voltage (V)</t>
  </si>
  <si>
    <t>(((I_m⁡in+I_m⁡a x)/2)*(1-D))</t>
  </si>
  <si>
    <t>V_out+50</t>
  </si>
  <si>
    <t>Vf</t>
  </si>
  <si>
    <t>Input Capacitor</t>
  </si>
  <si>
    <t>Min. Input Voltage (V)</t>
  </si>
  <si>
    <t>(I_L-(Δi*I_L/2))</t>
  </si>
  <si>
    <t>(I_L+(Δi*I_L/2))</t>
  </si>
  <si>
    <t>(V_out* D)/(ΔV*f_sw* R)</t>
  </si>
  <si>
    <t>Duty_max(D)</t>
  </si>
  <si>
    <t>vl_min</t>
  </si>
  <si>
    <t>vl_max</t>
  </si>
  <si>
    <t>Min.Inducatance_D_max (mH)</t>
  </si>
  <si>
    <t>Min.Inducatance_D_min (mH)</t>
  </si>
  <si>
    <t>Ripple In current</t>
  </si>
  <si>
    <t>(Vs-VL_sw_OFF)</t>
  </si>
  <si>
    <t>Current Ripple(A)</t>
  </si>
  <si>
    <t>Vout(V)</t>
  </si>
  <si>
    <t>(IL_max - IL_min)</t>
  </si>
  <si>
    <t>Capacitance (uF) case_2</t>
  </si>
  <si>
    <t>Capacitance (uF) case_1</t>
  </si>
  <si>
    <t>Avg. Diode Current (A) case_1</t>
  </si>
  <si>
    <t>Avg. Diode Current (A) case_2</t>
  </si>
  <si>
    <t>(((I_m⁡in+I_m⁡ax)/2)*(1-D))</t>
  </si>
  <si>
    <t>(1-V_in_min/V_out )</t>
  </si>
  <si>
    <t>(1-V_in_max/V_out )</t>
  </si>
  <si>
    <t>V_in = L Δi*I_L /ΔT</t>
  </si>
  <si>
    <t>V_in - V_out = L Δi*I_L /ΔT</t>
  </si>
  <si>
    <t>(V_out * I_out)/V_in_min)</t>
  </si>
  <si>
    <t>(V_out * I_out)/V_in_max)</t>
  </si>
  <si>
    <t>Iin(A) (I_L) case_1 (Min_In)</t>
  </si>
  <si>
    <t>Iin(A) (I_L) case_2 (Max_In)</t>
  </si>
  <si>
    <t>Duty_min(D) case_1 (Min_In)</t>
  </si>
  <si>
    <t>Duty_max(D) case_2 (Max_In)</t>
  </si>
  <si>
    <t>VL_Sw_On</t>
  </si>
  <si>
    <t>VL_Sw_OFF</t>
  </si>
  <si>
    <t>VL_Sw_OFF(V)</t>
  </si>
  <si>
    <t>VL_Sw_On(V)</t>
  </si>
  <si>
    <t>(Vin*D)/(Δi*IL_avg*f_sw)</t>
  </si>
  <si>
    <t>T650-63</t>
  </si>
  <si>
    <t>T650-34</t>
  </si>
  <si>
    <t>T650-35</t>
  </si>
  <si>
    <t>No. Turns</t>
  </si>
  <si>
    <t>AWG</t>
  </si>
  <si>
    <t>No. Stransd</t>
  </si>
  <si>
    <t>Frequency(KHz)</t>
  </si>
  <si>
    <t>Core Selection</t>
  </si>
  <si>
    <t>Material</t>
  </si>
  <si>
    <t>Iron Powder</t>
  </si>
  <si>
    <t>Part Number</t>
  </si>
  <si>
    <t>..\Boost Converter\02- Core Selection\T650-34-DataSheet.pdf</t>
  </si>
  <si>
    <t>..\Boost Converter\02- Core Selection\T650-63-DataSheet.pdf</t>
  </si>
  <si>
    <t>..\Boost Converter\02- Core Selection\T650-35-DataSheet.pdf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</si>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</sst>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0" fillId="0" borderId="2" xfId="0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1" xfId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Boost%20Converter\02-%20Core%20Selection\T650-35-DataSheet.pdf" TargetMode="External"/><Relationship Id="rId2" Type="http://schemas.openxmlformats.org/officeDocument/2006/relationships/hyperlink" Target="..\Boost%20Converter\02-%20Core%20Selection\T650-34-DataSheet.pdf" TargetMode="External"/><Relationship Id="rId1" Type="http://schemas.openxmlformats.org/officeDocument/2006/relationships/hyperlink" Target="..\Boost%20Converter\02-%20Core%20Selection\T650-63-DataShe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activeCell="E14" sqref="E14"/>
    </sheetView>
  </sheetViews>
  <sheetFormatPr defaultRowHeight="14.5" x14ac:dyDescent="0.35"/>
  <cols>
    <col min="1" max="1" width="26.08984375" bestFit="1" customWidth="1"/>
    <col min="2" max="2" width="11.26953125" bestFit="1" customWidth="1"/>
    <col min="3" max="3" width="16" customWidth="1"/>
    <col min="4" max="4" width="8.453125" bestFit="1" customWidth="1"/>
    <col min="5" max="5" width="21.08984375" bestFit="1" customWidth="1"/>
    <col min="6" max="6" width="11.81640625" bestFit="1" customWidth="1"/>
    <col min="7" max="7" width="27.7265625" bestFit="1" customWidth="1"/>
    <col min="9" max="9" width="24.36328125" bestFit="1" customWidth="1"/>
    <col min="10" max="10" width="11.7265625" bestFit="1" customWidth="1"/>
    <col min="11" max="11" width="21.453125" bestFit="1" customWidth="1"/>
    <col min="13" max="13" width="24.36328125" bestFit="1" customWidth="1"/>
    <col min="15" max="15" width="21.453125" bestFit="1" customWidth="1"/>
  </cols>
  <sheetData>
    <row r="1" spans="1:11" x14ac:dyDescent="0.35">
      <c r="A1" s="19" t="s">
        <v>0</v>
      </c>
      <c r="B1" s="19"/>
      <c r="C1" s="19"/>
      <c r="E1" s="21" t="s">
        <v>24</v>
      </c>
      <c r="F1" s="21"/>
      <c r="G1" s="21"/>
      <c r="H1" s="21"/>
      <c r="I1" s="21"/>
      <c r="J1" s="21"/>
      <c r="K1" s="21"/>
    </row>
    <row r="2" spans="1:11" x14ac:dyDescent="0.35">
      <c r="A2" s="3" t="s">
        <v>1</v>
      </c>
      <c r="B2" s="3">
        <v>5</v>
      </c>
      <c r="C2" s="3"/>
      <c r="E2" s="22" t="s">
        <v>25</v>
      </c>
      <c r="F2" s="22"/>
      <c r="G2" s="6" t="s">
        <v>15</v>
      </c>
      <c r="I2" s="22" t="s">
        <v>34</v>
      </c>
      <c r="J2" s="22"/>
      <c r="K2" s="6" t="s">
        <v>15</v>
      </c>
    </row>
    <row r="3" spans="1:11" x14ac:dyDescent="0.35">
      <c r="A3" s="3" t="s">
        <v>48</v>
      </c>
      <c r="B3" s="3">
        <v>150</v>
      </c>
      <c r="C3" s="3"/>
      <c r="E3" s="1" t="s">
        <v>27</v>
      </c>
      <c r="F3" s="1">
        <f>((B20*((1-B20)^2)*B19)/(2*B7*1000)*1000)</f>
        <v>1.4999999999999996E-2</v>
      </c>
      <c r="G3" s="1" t="s">
        <v>30</v>
      </c>
      <c r="I3" s="1" t="s">
        <v>35</v>
      </c>
      <c r="J3" s="3">
        <f>(((F4+F5)/2)*B20)</f>
        <v>22.256790123456788</v>
      </c>
      <c r="K3" s="1" t="s">
        <v>38</v>
      </c>
    </row>
    <row r="4" spans="1:11" x14ac:dyDescent="0.35">
      <c r="A4" s="3" t="s">
        <v>2</v>
      </c>
      <c r="B4" s="3">
        <v>350</v>
      </c>
      <c r="C4" s="3"/>
      <c r="E4" s="1" t="s">
        <v>28</v>
      </c>
      <c r="F4" s="1">
        <f>(B18-(((B9*B18)/100)/2))</f>
        <v>31.715925925925919</v>
      </c>
      <c r="G4" s="1" t="s">
        <v>49</v>
      </c>
      <c r="I4" s="1" t="s">
        <v>36</v>
      </c>
      <c r="J4" s="3">
        <v>0</v>
      </c>
      <c r="K4" s="1"/>
    </row>
    <row r="5" spans="1:11" x14ac:dyDescent="0.35">
      <c r="A5" s="3" t="s">
        <v>3</v>
      </c>
      <c r="B5" s="3">
        <v>400</v>
      </c>
      <c r="C5" s="3"/>
      <c r="E5" s="1" t="s">
        <v>29</v>
      </c>
      <c r="F5" s="1">
        <f>(B18+(((B9*B18)/100)/2))</f>
        <v>35.054444444444435</v>
      </c>
      <c r="G5" s="1" t="s">
        <v>50</v>
      </c>
      <c r="I5" s="1" t="s">
        <v>37</v>
      </c>
      <c r="J5" s="3">
        <f>(B6+B10+50)</f>
        <v>500.7</v>
      </c>
      <c r="K5" s="1" t="s">
        <v>39</v>
      </c>
    </row>
    <row r="6" spans="1:11" x14ac:dyDescent="0.35">
      <c r="A6" s="3" t="s">
        <v>4</v>
      </c>
      <c r="B6" s="3">
        <v>450</v>
      </c>
      <c r="C6" s="3"/>
      <c r="E6" s="7" t="s">
        <v>53</v>
      </c>
      <c r="F6">
        <f>B3-B6</f>
        <v>-300</v>
      </c>
    </row>
    <row r="7" spans="1:11" x14ac:dyDescent="0.35">
      <c r="A7" s="3" t="s">
        <v>5</v>
      </c>
      <c r="B7" s="3">
        <v>100</v>
      </c>
      <c r="C7" s="3"/>
      <c r="E7" s="7" t="s">
        <v>54</v>
      </c>
      <c r="F7">
        <f>B3</f>
        <v>150</v>
      </c>
    </row>
    <row r="8" spans="1:11" x14ac:dyDescent="0.35">
      <c r="A8" s="3" t="s">
        <v>6</v>
      </c>
      <c r="B8" s="3">
        <v>5</v>
      </c>
      <c r="C8" s="3"/>
      <c r="E8" s="22" t="s">
        <v>26</v>
      </c>
      <c r="F8" s="22"/>
      <c r="G8" s="6" t="s">
        <v>15</v>
      </c>
      <c r="I8" s="18" t="s">
        <v>40</v>
      </c>
      <c r="J8" s="18"/>
      <c r="K8" s="6" t="s">
        <v>15</v>
      </c>
    </row>
    <row r="9" spans="1:11" x14ac:dyDescent="0.35">
      <c r="A9" s="3" t="s">
        <v>7</v>
      </c>
      <c r="B9" s="3">
        <v>10</v>
      </c>
      <c r="C9" s="3"/>
      <c r="E9" s="2" t="s">
        <v>32</v>
      </c>
      <c r="F9" s="2">
        <f>(((B6*B20)/(B8*0.01*B7*1000*B19))*1000000)</f>
        <v>1481.4814814814818</v>
      </c>
      <c r="G9" s="3" t="s">
        <v>51</v>
      </c>
      <c r="I9" s="1" t="s">
        <v>41</v>
      </c>
      <c r="J9" s="1">
        <f>(((F4+F5)/2)*(1-B20))</f>
        <v>11.128395061728391</v>
      </c>
      <c r="K9" s="1" t="s">
        <v>44</v>
      </c>
    </row>
    <row r="10" spans="1:11" x14ac:dyDescent="0.35">
      <c r="A10" s="3" t="s">
        <v>8</v>
      </c>
      <c r="B10" s="3">
        <v>0.7</v>
      </c>
      <c r="C10" s="3"/>
      <c r="E10" s="1" t="s">
        <v>33</v>
      </c>
      <c r="F10" s="2">
        <f>(B6+50)</f>
        <v>500</v>
      </c>
      <c r="G10" s="3" t="s">
        <v>31</v>
      </c>
      <c r="I10" s="1" t="s">
        <v>42</v>
      </c>
      <c r="J10" s="1">
        <f>(B6+50)</f>
        <v>500</v>
      </c>
      <c r="K10" s="1" t="s">
        <v>45</v>
      </c>
    </row>
    <row r="11" spans="1:11" x14ac:dyDescent="0.35">
      <c r="I11" s="1" t="s">
        <v>43</v>
      </c>
      <c r="J11" s="1">
        <f>H12</f>
        <v>0</v>
      </c>
      <c r="K11" s="1" t="s">
        <v>46</v>
      </c>
    </row>
    <row r="12" spans="1:11" x14ac:dyDescent="0.35">
      <c r="E12" s="18" t="s">
        <v>47</v>
      </c>
      <c r="F12" s="18"/>
    </row>
    <row r="13" spans="1:11" x14ac:dyDescent="0.35">
      <c r="A13" s="20" t="s">
        <v>9</v>
      </c>
      <c r="B13" s="20"/>
      <c r="C13" s="5" t="s">
        <v>15</v>
      </c>
      <c r="E13" s="1" t="s">
        <v>32</v>
      </c>
      <c r="F13" s="1">
        <v>470</v>
      </c>
    </row>
    <row r="14" spans="1:11" x14ac:dyDescent="0.35">
      <c r="A14" s="4" t="s">
        <v>10</v>
      </c>
      <c r="B14" s="4">
        <f>(B2*1000/B4)</f>
        <v>14.285714285714286</v>
      </c>
      <c r="C14" s="4" t="s">
        <v>16</v>
      </c>
      <c r="E14" s="1" t="s">
        <v>33</v>
      </c>
      <c r="F14" s="1">
        <f>(B4+50)</f>
        <v>400</v>
      </c>
    </row>
    <row r="15" spans="1:11" x14ac:dyDescent="0.35">
      <c r="A15" s="4" t="s">
        <v>11</v>
      </c>
      <c r="B15" s="4">
        <f>(B2*1000/B3)</f>
        <v>33.333333333333336</v>
      </c>
      <c r="C15" s="4" t="s">
        <v>17</v>
      </c>
    </row>
    <row r="16" spans="1:11" x14ac:dyDescent="0.35">
      <c r="A16" s="4" t="s">
        <v>12</v>
      </c>
      <c r="B16" s="4">
        <f>(B2*1000/B6)</f>
        <v>11.111111111111111</v>
      </c>
      <c r="C16" s="4" t="s">
        <v>18</v>
      </c>
    </row>
    <row r="17" spans="1:3" x14ac:dyDescent="0.35">
      <c r="A17" s="4" t="s">
        <v>23</v>
      </c>
      <c r="B17" s="4">
        <f>(B2*1000/B5)</f>
        <v>12.5</v>
      </c>
      <c r="C17" s="4" t="s">
        <v>19</v>
      </c>
    </row>
    <row r="18" spans="1:3" ht="29" x14ac:dyDescent="0.35">
      <c r="A18" s="4" t="s">
        <v>14</v>
      </c>
      <c r="B18" s="4">
        <f>(B16*(B6+B10)/B3)</f>
        <v>33.385185185185179</v>
      </c>
      <c r="C18" s="4" t="s">
        <v>22</v>
      </c>
    </row>
    <row r="19" spans="1:3" x14ac:dyDescent="0.35">
      <c r="A19" s="4" t="s">
        <v>13</v>
      </c>
      <c r="B19" s="4">
        <f>(B6/B16)</f>
        <v>40.5</v>
      </c>
      <c r="C19" s="4" t="s">
        <v>21</v>
      </c>
    </row>
    <row r="20" spans="1:3" x14ac:dyDescent="0.35">
      <c r="A20" s="4" t="s">
        <v>52</v>
      </c>
      <c r="B20" s="4">
        <f>(1-(B3/B6))</f>
        <v>0.66666666666666674</v>
      </c>
      <c r="C20" s="4" t="s">
        <v>20</v>
      </c>
    </row>
  </sheetData>
  <mergeCells count="8">
    <mergeCell ref="I8:J8"/>
    <mergeCell ref="E12:F12"/>
    <mergeCell ref="A1:C1"/>
    <mergeCell ref="A13:B13"/>
    <mergeCell ref="E1:K1"/>
    <mergeCell ref="E2:F2"/>
    <mergeCell ref="E8:F8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3656-AB35-40F6-AFCB-0D06B4371728}">
  <dimension ref="A1:K31"/>
  <sheetViews>
    <sheetView tabSelected="1" topLeftCell="D1" workbookViewId="0">
      <selection activeCell="L13" sqref="L13"/>
    </sheetView>
  </sheetViews>
  <sheetFormatPr defaultRowHeight="14.5" x14ac:dyDescent="0.35"/>
  <cols>
    <col min="1" max="1" width="26.08984375" bestFit="1" customWidth="1"/>
    <col min="2" max="2" width="11.26953125" bestFit="1" customWidth="1"/>
    <col min="3" max="3" width="23.1796875" bestFit="1" customWidth="1"/>
    <col min="4" max="4" width="10.453125" bestFit="1" customWidth="1"/>
    <col min="5" max="5" width="26.6328125" bestFit="1" customWidth="1"/>
    <col min="6" max="6" width="12.81640625" customWidth="1"/>
    <col min="7" max="7" width="31.6328125" bestFit="1" customWidth="1"/>
    <col min="9" max="9" width="25.90625" bestFit="1" customWidth="1"/>
    <col min="10" max="10" width="11.81640625" bestFit="1" customWidth="1"/>
    <col min="11" max="11" width="22.7265625" bestFit="1" customWidth="1"/>
    <col min="13" max="13" width="24.36328125" bestFit="1" customWidth="1"/>
    <col min="15" max="15" width="21.453125" bestFit="1" customWidth="1"/>
  </cols>
  <sheetData>
    <row r="1" spans="1:11" x14ac:dyDescent="0.35">
      <c r="A1" s="19" t="s">
        <v>0</v>
      </c>
      <c r="B1" s="19"/>
      <c r="C1" s="19"/>
      <c r="E1" s="21" t="s">
        <v>24</v>
      </c>
      <c r="F1" s="21"/>
      <c r="G1" s="21"/>
      <c r="H1" s="21"/>
      <c r="I1" s="21"/>
      <c r="J1" s="21"/>
      <c r="K1" s="21"/>
    </row>
    <row r="2" spans="1:11" x14ac:dyDescent="0.35">
      <c r="A2" s="3" t="s">
        <v>1</v>
      </c>
      <c r="B2" s="3">
        <v>1</v>
      </c>
      <c r="C2" s="3"/>
      <c r="E2" s="22" t="s">
        <v>25</v>
      </c>
      <c r="F2" s="22"/>
      <c r="G2" s="6" t="s">
        <v>15</v>
      </c>
      <c r="I2" s="22" t="s">
        <v>34</v>
      </c>
      <c r="J2" s="22"/>
      <c r="K2" s="6" t="s">
        <v>15</v>
      </c>
    </row>
    <row r="3" spans="1:11" x14ac:dyDescent="0.35">
      <c r="A3" s="3" t="s">
        <v>48</v>
      </c>
      <c r="B3" s="3">
        <v>25</v>
      </c>
      <c r="C3" s="3"/>
      <c r="E3" s="8" t="s">
        <v>55</v>
      </c>
      <c r="F3" s="9">
        <f>((B3*B22)/(F6*B7*1000))*1000</f>
        <v>0.36037891268533645</v>
      </c>
      <c r="G3" s="9" t="s">
        <v>81</v>
      </c>
      <c r="I3" s="1" t="s">
        <v>35</v>
      </c>
      <c r="J3" s="3">
        <f>(((F4+F5)/2)*B22)</f>
        <v>23.605555555555554</v>
      </c>
      <c r="K3" s="1" t="s">
        <v>38</v>
      </c>
    </row>
    <row r="4" spans="1:11" x14ac:dyDescent="0.35">
      <c r="A4" s="3" t="s">
        <v>2</v>
      </c>
      <c r="B4" s="3">
        <v>30</v>
      </c>
      <c r="C4" s="3"/>
      <c r="E4" s="2" t="s">
        <v>28</v>
      </c>
      <c r="F4" s="1">
        <f>(B18-(((B9*B18)/100)/2))</f>
        <v>39.454999999999998</v>
      </c>
      <c r="G4" s="1" t="s">
        <v>49</v>
      </c>
      <c r="I4" s="1" t="s">
        <v>36</v>
      </c>
      <c r="J4" s="3">
        <v>0</v>
      </c>
      <c r="K4" s="1"/>
    </row>
    <row r="5" spans="1:11" x14ac:dyDescent="0.35">
      <c r="A5" s="3" t="s">
        <v>3</v>
      </c>
      <c r="B5" s="3">
        <v>50</v>
      </c>
      <c r="C5" s="3"/>
      <c r="E5" s="2" t="s">
        <v>29</v>
      </c>
      <c r="F5" s="1">
        <f>(B18+(((B9*B18)/100)/2))</f>
        <v>41.478333333333339</v>
      </c>
      <c r="G5" s="1" t="s">
        <v>50</v>
      </c>
      <c r="I5" s="1" t="s">
        <v>37</v>
      </c>
      <c r="J5" s="3">
        <f>(B6+B10+50)</f>
        <v>110.7</v>
      </c>
      <c r="K5" s="1" t="s">
        <v>39</v>
      </c>
    </row>
    <row r="6" spans="1:11" x14ac:dyDescent="0.35">
      <c r="A6" s="3" t="s">
        <v>4</v>
      </c>
      <c r="B6" s="3">
        <v>60</v>
      </c>
      <c r="C6" s="3"/>
      <c r="E6" s="2" t="s">
        <v>57</v>
      </c>
      <c r="F6" s="3">
        <f>(F5-F4)</f>
        <v>2.0233333333333405</v>
      </c>
      <c r="G6" s="1" t="s">
        <v>61</v>
      </c>
    </row>
    <row r="7" spans="1:11" x14ac:dyDescent="0.35">
      <c r="A7" s="3" t="s">
        <v>5</v>
      </c>
      <c r="B7" s="3">
        <v>20</v>
      </c>
      <c r="C7" s="3"/>
      <c r="E7" s="2" t="s">
        <v>77</v>
      </c>
      <c r="F7" s="3">
        <f>(F3*0.001*F6*B7*1000)/(B22)</f>
        <v>25.000000000000004</v>
      </c>
      <c r="G7" s="1" t="s">
        <v>69</v>
      </c>
      <c r="I7" s="18" t="s">
        <v>40</v>
      </c>
      <c r="J7" s="18"/>
      <c r="K7" s="6" t="s">
        <v>15</v>
      </c>
    </row>
    <row r="8" spans="1:11" x14ac:dyDescent="0.35">
      <c r="A8" s="3" t="s">
        <v>6</v>
      </c>
      <c r="B8" s="3">
        <v>10</v>
      </c>
      <c r="C8" s="3"/>
      <c r="E8" s="2" t="s">
        <v>78</v>
      </c>
      <c r="F8" s="3">
        <f>(F3*0.001*F6*B7*1000)/(1-B22)</f>
        <v>34.999999999999993</v>
      </c>
      <c r="G8" s="1" t="s">
        <v>70</v>
      </c>
      <c r="I8" s="1" t="s">
        <v>64</v>
      </c>
      <c r="J8" s="1">
        <f>(((F4+F5)/2)*(1-B22))</f>
        <v>16.861111111111114</v>
      </c>
      <c r="K8" s="1" t="s">
        <v>66</v>
      </c>
    </row>
    <row r="9" spans="1:11" x14ac:dyDescent="0.35">
      <c r="A9" s="3" t="s">
        <v>7</v>
      </c>
      <c r="B9" s="3">
        <v>5</v>
      </c>
      <c r="C9" s="3"/>
      <c r="E9" s="3" t="s">
        <v>60</v>
      </c>
      <c r="F9" s="3">
        <f>(B3+F8)</f>
        <v>59.999999999999993</v>
      </c>
      <c r="G9" s="1" t="s">
        <v>58</v>
      </c>
      <c r="I9" s="1" t="s">
        <v>65</v>
      </c>
      <c r="J9" s="1">
        <f>(((F12+F13)/2)*(1-B21))</f>
        <v>16.861111111111111</v>
      </c>
      <c r="K9" s="1" t="s">
        <v>66</v>
      </c>
    </row>
    <row r="10" spans="1:11" x14ac:dyDescent="0.35">
      <c r="A10" s="3" t="s">
        <v>8</v>
      </c>
      <c r="B10" s="3">
        <v>0.7</v>
      </c>
      <c r="C10" s="3"/>
      <c r="I10" s="1" t="s">
        <v>42</v>
      </c>
      <c r="J10" s="1">
        <f>(B6+50)</f>
        <v>110</v>
      </c>
      <c r="K10" s="1" t="s">
        <v>45</v>
      </c>
    </row>
    <row r="11" spans="1:11" x14ac:dyDescent="0.35">
      <c r="E11" s="11" t="s">
        <v>56</v>
      </c>
      <c r="F11" s="12">
        <f>((B4*B21)/(F14*B7*1000))*1000</f>
        <v>0.44481054365732958</v>
      </c>
      <c r="G11" s="12" t="s">
        <v>81</v>
      </c>
      <c r="I11" s="1" t="s">
        <v>43</v>
      </c>
      <c r="J11" s="1">
        <f>H20</f>
        <v>0</v>
      </c>
      <c r="K11" s="1" t="s">
        <v>46</v>
      </c>
    </row>
    <row r="12" spans="1:11" x14ac:dyDescent="0.35">
      <c r="E12" s="2" t="s">
        <v>28</v>
      </c>
      <c r="F12" s="1">
        <f>(B19-(((B9*B19)/100)/2))</f>
        <v>32.879166666666663</v>
      </c>
      <c r="G12" s="1" t="s">
        <v>49</v>
      </c>
    </row>
    <row r="13" spans="1:11" x14ac:dyDescent="0.35">
      <c r="A13" s="20" t="s">
        <v>9</v>
      </c>
      <c r="B13" s="20"/>
      <c r="C13" s="5" t="s">
        <v>15</v>
      </c>
      <c r="E13" s="2" t="s">
        <v>29</v>
      </c>
      <c r="F13" s="1">
        <f>(B19+(((B9*B19)/100)/2))</f>
        <v>34.56527777777778</v>
      </c>
      <c r="G13" s="1" t="s">
        <v>50</v>
      </c>
      <c r="I13" s="22" t="s">
        <v>26</v>
      </c>
      <c r="J13" s="22"/>
      <c r="K13" s="6" t="s">
        <v>15</v>
      </c>
    </row>
    <row r="14" spans="1:11" x14ac:dyDescent="0.35">
      <c r="A14" s="4" t="s">
        <v>10</v>
      </c>
      <c r="B14" s="4">
        <f>(B2*1000/B4)</f>
        <v>33.333333333333336</v>
      </c>
      <c r="C14" s="4" t="s">
        <v>16</v>
      </c>
      <c r="E14" s="2" t="s">
        <v>59</v>
      </c>
      <c r="F14" s="13">
        <f>(F13-F12)</f>
        <v>1.6861111111111171</v>
      </c>
      <c r="G14" s="1" t="s">
        <v>61</v>
      </c>
      <c r="I14" s="1" t="s">
        <v>63</v>
      </c>
      <c r="J14" s="2">
        <f>(((B6*B22)/(B8*0.01*B7*1000*B20))*1000000)</f>
        <v>4861.1111111111104</v>
      </c>
      <c r="K14" s="3" t="s">
        <v>51</v>
      </c>
    </row>
    <row r="15" spans="1:11" x14ac:dyDescent="0.35">
      <c r="A15" s="4" t="s">
        <v>11</v>
      </c>
      <c r="B15" s="4">
        <f>(B2*1000/B3)</f>
        <v>40</v>
      </c>
      <c r="C15" s="4" t="s">
        <v>17</v>
      </c>
      <c r="E15" s="2" t="s">
        <v>80</v>
      </c>
      <c r="F15" s="13">
        <f>(F11*0.001*F14*B7*1000)/(B21)</f>
        <v>30</v>
      </c>
      <c r="G15" s="1" t="s">
        <v>69</v>
      </c>
      <c r="I15" s="1" t="s">
        <v>62</v>
      </c>
      <c r="J15" s="2">
        <f>(((B6*B21)/(B8*0.01*B7*1000*B20))*1000000)</f>
        <v>4166.6666666666679</v>
      </c>
      <c r="K15" s="3" t="s">
        <v>51</v>
      </c>
    </row>
    <row r="16" spans="1:11" x14ac:dyDescent="0.35">
      <c r="A16" s="4" t="s">
        <v>12</v>
      </c>
      <c r="B16" s="4">
        <f>(B2*1000/B6)</f>
        <v>16.666666666666668</v>
      </c>
      <c r="C16" s="4" t="s">
        <v>18</v>
      </c>
      <c r="E16" s="2" t="s">
        <v>79</v>
      </c>
      <c r="F16" s="13">
        <f>(F11*0.001*F14*B7*1000)/(1-B21)</f>
        <v>30</v>
      </c>
      <c r="G16" s="1" t="s">
        <v>70</v>
      </c>
      <c r="I16" s="1" t="s">
        <v>33</v>
      </c>
      <c r="J16" s="2">
        <f>(B6+50)</f>
        <v>110</v>
      </c>
      <c r="K16" s="3" t="s">
        <v>31</v>
      </c>
    </row>
    <row r="17" spans="1:10" x14ac:dyDescent="0.35">
      <c r="A17" s="4" t="s">
        <v>23</v>
      </c>
      <c r="B17" s="4">
        <f>(B2*1000/B5)</f>
        <v>20</v>
      </c>
      <c r="C17" s="4" t="s">
        <v>19</v>
      </c>
      <c r="E17" s="2" t="s">
        <v>60</v>
      </c>
      <c r="F17" s="13">
        <f>(B4+F16)</f>
        <v>60</v>
      </c>
      <c r="G17" s="1" t="s">
        <v>58</v>
      </c>
    </row>
    <row r="18" spans="1:10" x14ac:dyDescent="0.35">
      <c r="A18" s="4" t="s">
        <v>73</v>
      </c>
      <c r="B18" s="4">
        <f>(B16*(B6+B10)/B3)</f>
        <v>40.466666666666669</v>
      </c>
      <c r="C18" s="4" t="s">
        <v>71</v>
      </c>
      <c r="I18" s="23" t="s">
        <v>47</v>
      </c>
      <c r="J18" s="24"/>
    </row>
    <row r="19" spans="1:10" x14ac:dyDescent="0.35">
      <c r="A19" s="4" t="s">
        <v>74</v>
      </c>
      <c r="B19" s="3">
        <f>(B16*(B6+B10)/B4)</f>
        <v>33.722222222222221</v>
      </c>
      <c r="C19" s="3" t="s">
        <v>72</v>
      </c>
      <c r="I19" s="1" t="s">
        <v>32</v>
      </c>
      <c r="J19" s="1">
        <v>470</v>
      </c>
    </row>
    <row r="20" spans="1:10" x14ac:dyDescent="0.35">
      <c r="A20" s="4" t="s">
        <v>13</v>
      </c>
      <c r="B20" s="4">
        <f>(B6/B16)</f>
        <v>3.5999999999999996</v>
      </c>
      <c r="C20" s="4" t="s">
        <v>21</v>
      </c>
      <c r="E20" s="10"/>
      <c r="I20" s="1" t="s">
        <v>33</v>
      </c>
      <c r="J20" s="1">
        <f>(B4+50)</f>
        <v>80</v>
      </c>
    </row>
    <row r="21" spans="1:10" x14ac:dyDescent="0.35">
      <c r="A21" s="4" t="s">
        <v>75</v>
      </c>
      <c r="B21" s="4">
        <f>(1-(B4/B6))</f>
        <v>0.5</v>
      </c>
      <c r="C21" s="3" t="s">
        <v>68</v>
      </c>
    </row>
    <row r="22" spans="1:10" x14ac:dyDescent="0.35">
      <c r="A22" s="3" t="s">
        <v>76</v>
      </c>
      <c r="B22" s="4">
        <f>(1-(B3/B6))</f>
        <v>0.58333333333333326</v>
      </c>
      <c r="C22" s="4" t="s">
        <v>67</v>
      </c>
    </row>
    <row r="26" spans="1:10" x14ac:dyDescent="0.35">
      <c r="A26" s="25" t="s">
        <v>89</v>
      </c>
      <c r="B26" s="26"/>
      <c r="C26" s="26"/>
      <c r="D26" s="26"/>
      <c r="E26" s="26"/>
      <c r="F26" s="26"/>
      <c r="G26" s="27"/>
    </row>
    <row r="27" spans="1:10" x14ac:dyDescent="0.35">
      <c r="A27" s="13" t="s">
        <v>92</v>
      </c>
      <c r="B27" s="13" t="s">
        <v>85</v>
      </c>
      <c r="C27" s="13" t="s">
        <v>86</v>
      </c>
      <c r="D27" s="3" t="s">
        <v>87</v>
      </c>
      <c r="E27" s="1" t="s">
        <v>88</v>
      </c>
      <c r="F27" s="15" t="s">
        <v>90</v>
      </c>
      <c r="G27" s="1" t="s">
        <v>96</v>
      </c>
    </row>
    <row r="28" spans="1:10" x14ac:dyDescent="0.35">
      <c r="A28" s="13" t="s">
        <v>82</v>
      </c>
      <c r="B28" s="13">
        <v>123</v>
      </c>
      <c r="C28" s="13">
        <v>19</v>
      </c>
      <c r="D28" s="13">
        <v>20</v>
      </c>
      <c r="E28" s="13">
        <v>20</v>
      </c>
      <c r="F28" s="16" t="s">
        <v>91</v>
      </c>
      <c r="G28" s="17" t="s">
        <v>94</v>
      </c>
    </row>
    <row r="29" spans="1:10" x14ac:dyDescent="0.35">
      <c r="A29" s="13" t="s">
        <v>83</v>
      </c>
      <c r="B29" s="13">
        <v>126</v>
      </c>
      <c r="C29" s="13">
        <v>19</v>
      </c>
      <c r="D29" s="13">
        <v>20</v>
      </c>
      <c r="E29" s="13">
        <v>20</v>
      </c>
      <c r="F29" s="16" t="s">
        <v>91</v>
      </c>
      <c r="G29" s="17" t="s">
        <v>93</v>
      </c>
    </row>
    <row r="30" spans="1:10" x14ac:dyDescent="0.35">
      <c r="A30" s="13" t="s">
        <v>84</v>
      </c>
      <c r="B30" s="13">
        <v>126</v>
      </c>
      <c r="C30" s="13">
        <v>19</v>
      </c>
      <c r="D30" s="13">
        <v>20</v>
      </c>
      <c r="E30" s="13">
        <v>20</v>
      </c>
      <c r="F30" s="16" t="s">
        <v>91</v>
      </c>
      <c r="G30" s="17" t="s">
        <v>95</v>
      </c>
    </row>
    <row r="31" spans="1:10" x14ac:dyDescent="0.35">
      <c r="A31" s="14"/>
      <c r="B31" s="14"/>
      <c r="C31" s="14"/>
      <c r="D31" s="14"/>
      <c r="E31" s="14"/>
    </row>
  </sheetData>
  <mergeCells count="9">
    <mergeCell ref="A26:G26"/>
    <mergeCell ref="A13:B13"/>
    <mergeCell ref="I18:J18"/>
    <mergeCell ref="A1:C1"/>
    <mergeCell ref="E1:K1"/>
    <mergeCell ref="E2:F2"/>
    <mergeCell ref="I2:J2"/>
    <mergeCell ref="I13:J13"/>
    <mergeCell ref="I7:J7"/>
  </mergeCells>
  <hyperlinks>
    <hyperlink ref="G28" r:id="rId1" xr:uid="{25A920F0-A6B8-4CAB-B584-BD8C6586FF92}"/>
    <hyperlink ref="G29" r:id="rId2" xr:uid="{47F23325-6C83-4ACA-9DC9-A37184571E9B}"/>
    <hyperlink ref="G30" r:id="rId3" xr:uid="{71E48AD9-8955-4557-8CA3-EBEF59527C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Admin</cp:lastModifiedBy>
  <dcterms:created xsi:type="dcterms:W3CDTF">2015-06-05T18:17:20Z</dcterms:created>
  <dcterms:modified xsi:type="dcterms:W3CDTF">2024-03-06T14:24:34Z</dcterms:modified>
</cp:coreProperties>
</file>