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ppler\"/>
    </mc:Choice>
  </mc:AlternateContent>
  <xr:revisionPtr revIDLastSave="0" documentId="13_ncr:1_{E92187C7-8664-47A7-955D-858BF0D10C36}" xr6:coauthVersionLast="47" xr6:coauthVersionMax="47" xr10:uidLastSave="{00000000-0000-0000-0000-000000000000}"/>
  <bookViews>
    <workbookView xWindow="14400" yWindow="0" windowWidth="14400" windowHeight="15750" firstSheet="1" activeTab="4" xr2:uid="{E4532FD1-79A3-4579-BA67-7B54AF7C5990}"/>
  </bookViews>
  <sheets>
    <sheet name="No -pmf" sheetId="4" r:id="rId1"/>
    <sheet name="comparing table" sheetId="8" r:id="rId2"/>
    <sheet name="Sheet3" sheetId="9" r:id="rId3"/>
    <sheet name="10_100H" sheetId="2" r:id="rId4"/>
    <sheet name="10_500H" sheetId="3" r:id="rId5"/>
    <sheet name="70_100H" sheetId="5" r:id="rId6"/>
    <sheet name="70_500H" sheetId="6" r:id="rId7"/>
    <sheet name="Derivative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3" l="1"/>
  <c r="D66" i="3"/>
  <c r="C66" i="3"/>
  <c r="B66" i="3"/>
  <c r="E65" i="3"/>
  <c r="D65" i="3"/>
  <c r="C65" i="3"/>
  <c r="B65" i="3"/>
  <c r="H65" i="3"/>
  <c r="G65" i="3"/>
  <c r="F66" i="3"/>
  <c r="H66" i="3"/>
  <c r="G66" i="3"/>
  <c r="G34" i="3"/>
  <c r="H34" i="3"/>
  <c r="F35" i="3"/>
  <c r="G35" i="3"/>
  <c r="H35" i="3"/>
  <c r="F36" i="3"/>
  <c r="G36" i="3"/>
  <c r="H36" i="3"/>
  <c r="F37" i="3"/>
  <c r="F45" i="3" s="1"/>
  <c r="G37" i="3"/>
  <c r="H37" i="3"/>
  <c r="H45" i="3" s="1"/>
  <c r="F38" i="3"/>
  <c r="F44" i="3" s="1"/>
  <c r="G38" i="3"/>
  <c r="G44" i="3" s="1"/>
  <c r="H38" i="3"/>
  <c r="H44" i="3" s="1"/>
  <c r="F39" i="3"/>
  <c r="G39" i="3"/>
  <c r="H39" i="3"/>
  <c r="F40" i="3"/>
  <c r="G40" i="3"/>
  <c r="H40" i="3"/>
  <c r="B44" i="3"/>
  <c r="C44" i="3"/>
  <c r="D44" i="3"/>
  <c r="E44" i="3"/>
  <c r="N9" i="8"/>
  <c r="N8" i="8"/>
  <c r="N7" i="8"/>
  <c r="N6" i="8"/>
  <c r="L7" i="8"/>
  <c r="M7" i="8"/>
  <c r="M8" i="8"/>
  <c r="M9" i="8"/>
  <c r="M6" i="8"/>
  <c r="L9" i="8"/>
  <c r="L8" i="8"/>
  <c r="L6" i="8"/>
  <c r="K9" i="8"/>
  <c r="K8" i="8"/>
  <c r="K7" i="8"/>
  <c r="K6" i="8"/>
  <c r="O16" i="7"/>
  <c r="O14" i="7"/>
  <c r="O13" i="7"/>
  <c r="M16" i="7"/>
  <c r="M15" i="7"/>
  <c r="M14" i="7"/>
  <c r="M13" i="7"/>
  <c r="K16" i="7"/>
  <c r="K14" i="7"/>
  <c r="K15" i="7"/>
  <c r="K13" i="7"/>
  <c r="I16" i="7"/>
  <c r="I15" i="7"/>
  <c r="I14" i="7"/>
  <c r="I13" i="7"/>
  <c r="O12" i="7"/>
  <c r="M12" i="7"/>
  <c r="K12" i="7"/>
  <c r="I12" i="7"/>
  <c r="B12" i="2"/>
  <c r="L16" i="6"/>
  <c r="M16" i="6"/>
  <c r="N16" i="6"/>
  <c r="K16" i="6"/>
  <c r="Q14" i="5"/>
  <c r="K14" i="5"/>
  <c r="L14" i="5"/>
  <c r="M14" i="5"/>
  <c r="J14" i="5"/>
  <c r="K26" i="3"/>
  <c r="L26" i="3"/>
  <c r="M26" i="3"/>
  <c r="J26" i="3"/>
  <c r="N18" i="2"/>
  <c r="O18" i="2"/>
  <c r="P18" i="2"/>
  <c r="M18" i="2"/>
  <c r="G24" i="3"/>
  <c r="F20" i="3"/>
  <c r="F23" i="3"/>
  <c r="F24" i="3"/>
  <c r="B47" i="4"/>
  <c r="H47" i="4"/>
  <c r="G47" i="4"/>
  <c r="E47" i="4"/>
  <c r="D47" i="4"/>
  <c r="C47" i="4"/>
  <c r="E30" i="4"/>
  <c r="D30" i="4"/>
  <c r="C30" i="4"/>
  <c r="B30" i="4"/>
  <c r="C13" i="4"/>
  <c r="D13" i="4"/>
  <c r="E13" i="4"/>
  <c r="B13" i="4"/>
  <c r="E45" i="3"/>
  <c r="D45" i="3"/>
  <c r="C45" i="3"/>
  <c r="B45" i="3"/>
  <c r="E13" i="3"/>
  <c r="D13" i="3"/>
  <c r="C13" i="3"/>
  <c r="B13" i="3"/>
  <c r="C29" i="3"/>
  <c r="D29" i="3"/>
  <c r="E29" i="3"/>
  <c r="F29" i="3"/>
  <c r="G29" i="3"/>
  <c r="B29" i="3"/>
  <c r="E28" i="3"/>
  <c r="D28" i="3"/>
  <c r="C28" i="3"/>
  <c r="B28" i="3"/>
  <c r="H21" i="3"/>
  <c r="H28" i="3" s="1"/>
  <c r="G28" i="3"/>
  <c r="F28" i="3"/>
  <c r="B26" i="5"/>
  <c r="B13" i="5"/>
  <c r="E13" i="5"/>
  <c r="D13" i="5"/>
  <c r="C13" i="5"/>
  <c r="H43" i="5"/>
  <c r="G43" i="5"/>
  <c r="F43" i="5"/>
  <c r="E43" i="5"/>
  <c r="D43" i="5"/>
  <c r="C43" i="5"/>
  <c r="B43" i="5"/>
  <c r="H42" i="5"/>
  <c r="G42" i="5"/>
  <c r="F42" i="5"/>
  <c r="E42" i="5"/>
  <c r="D42" i="5"/>
  <c r="C42" i="5"/>
  <c r="B42" i="5"/>
  <c r="H27" i="5"/>
  <c r="G27" i="5"/>
  <c r="F27" i="5"/>
  <c r="E27" i="5"/>
  <c r="D27" i="5"/>
  <c r="C27" i="5"/>
  <c r="B27" i="5"/>
  <c r="H26" i="5"/>
  <c r="G26" i="5"/>
  <c r="E26" i="5"/>
  <c r="D26" i="5"/>
  <c r="C26" i="5"/>
  <c r="F5" i="2"/>
  <c r="C43" i="2"/>
  <c r="D43" i="2"/>
  <c r="E43" i="2"/>
  <c r="F43" i="2"/>
  <c r="G43" i="2"/>
  <c r="H43" i="2"/>
  <c r="F44" i="2"/>
  <c r="D44" i="2"/>
  <c r="C46" i="4"/>
  <c r="D46" i="4"/>
  <c r="E46" i="4"/>
  <c r="G46" i="4"/>
  <c r="H46" i="4"/>
  <c r="B46" i="4"/>
  <c r="F45" i="4"/>
  <c r="F44" i="4"/>
  <c r="F43" i="4"/>
  <c r="F46" i="4" s="1"/>
  <c r="C29" i="4"/>
  <c r="O17" i="4" s="1"/>
  <c r="D29" i="4"/>
  <c r="P17" i="4" s="1"/>
  <c r="E29" i="4"/>
  <c r="Q17" i="4" s="1"/>
  <c r="B29" i="4"/>
  <c r="N17" i="4" s="1"/>
  <c r="H44" i="2"/>
  <c r="G44" i="2"/>
  <c r="E44" i="2"/>
  <c r="C44" i="2"/>
  <c r="B44" i="2"/>
  <c r="H29" i="2"/>
  <c r="G29" i="2"/>
  <c r="F29" i="2"/>
  <c r="E29" i="2"/>
  <c r="D29" i="2"/>
  <c r="C29" i="2"/>
  <c r="B29" i="2"/>
  <c r="C13" i="2"/>
  <c r="D13" i="2"/>
  <c r="E13" i="2"/>
  <c r="B13" i="2"/>
  <c r="B43" i="2"/>
  <c r="C28" i="2"/>
  <c r="D28" i="2"/>
  <c r="E28" i="2"/>
  <c r="F28" i="2"/>
  <c r="G28" i="2"/>
  <c r="H28" i="2"/>
  <c r="B28" i="2"/>
  <c r="H32" i="6"/>
  <c r="H42" i="6" s="1"/>
  <c r="E42" i="6"/>
  <c r="D42" i="6"/>
  <c r="C42" i="6"/>
  <c r="B42" i="6"/>
  <c r="G42" i="6"/>
  <c r="F42" i="6"/>
  <c r="E22" i="7"/>
  <c r="E23" i="7"/>
  <c r="O15" i="7" s="1"/>
  <c r="D24" i="7"/>
  <c r="D22" i="7"/>
  <c r="D20" i="7"/>
  <c r="D18" i="7"/>
  <c r="C24" i="7"/>
  <c r="C22" i="7"/>
  <c r="C20" i="7"/>
  <c r="C18" i="7"/>
  <c r="F24" i="7"/>
  <c r="B24" i="7"/>
  <c r="B22" i="7"/>
  <c r="B20" i="7"/>
  <c r="B18" i="7"/>
  <c r="F20" i="7"/>
  <c r="F18" i="7"/>
  <c r="C27" i="6"/>
  <c r="D27" i="6"/>
  <c r="E27" i="6"/>
  <c r="G27" i="6"/>
  <c r="B27" i="6"/>
  <c r="G18" i="6"/>
  <c r="G23" i="6"/>
  <c r="G24" i="6"/>
  <c r="G25" i="6"/>
  <c r="G26" i="6"/>
  <c r="F17" i="6"/>
  <c r="F27" i="6" s="1"/>
  <c r="F23" i="6"/>
  <c r="F24" i="6"/>
  <c r="F25" i="6"/>
  <c r="H26" i="6"/>
  <c r="F26" i="6"/>
  <c r="H18" i="6"/>
  <c r="H19" i="6"/>
  <c r="H23" i="6"/>
  <c r="H24" i="6"/>
  <c r="H17" i="6"/>
  <c r="H27" i="6" s="1"/>
  <c r="H25" i="6"/>
  <c r="C12" i="6"/>
  <c r="D12" i="6"/>
  <c r="E12" i="6"/>
  <c r="B12" i="6"/>
  <c r="C12" i="5"/>
  <c r="D12" i="5"/>
  <c r="E12" i="5"/>
  <c r="B12" i="5"/>
  <c r="C12" i="3"/>
  <c r="D12" i="3"/>
  <c r="E12" i="3"/>
  <c r="B12" i="3"/>
  <c r="C12" i="2"/>
  <c r="D12" i="2"/>
  <c r="E12" i="2"/>
  <c r="F8" i="6"/>
  <c r="F7" i="6"/>
  <c r="F6" i="6"/>
  <c r="G8" i="6"/>
  <c r="G7" i="6"/>
  <c r="G6" i="6"/>
  <c r="H8" i="6"/>
  <c r="H7" i="6"/>
  <c r="H6" i="6"/>
  <c r="F5" i="6"/>
  <c r="F4" i="6"/>
  <c r="H5" i="6"/>
  <c r="G5" i="6"/>
  <c r="H4" i="6"/>
  <c r="G4" i="6"/>
  <c r="G3" i="6"/>
  <c r="G2" i="6"/>
  <c r="P16" i="6" s="1"/>
  <c r="H3" i="6"/>
  <c r="H2" i="6"/>
  <c r="Q16" i="6" s="1"/>
  <c r="F3" i="6"/>
  <c r="F2" i="6"/>
  <c r="O16" i="6" s="1"/>
  <c r="F9" i="7"/>
  <c r="P16" i="7" s="1"/>
  <c r="F7" i="7"/>
  <c r="N16" i="7" s="1"/>
  <c r="F5" i="7"/>
  <c r="L16" i="7" s="1"/>
  <c r="F3" i="7"/>
  <c r="J16" i="7" s="1"/>
  <c r="D9" i="7"/>
  <c r="P14" i="7" s="1"/>
  <c r="D7" i="7"/>
  <c r="N14" i="7" s="1"/>
  <c r="D5" i="7"/>
  <c r="L14" i="7" s="1"/>
  <c r="D3" i="7"/>
  <c r="J14" i="7" s="1"/>
  <c r="C9" i="7"/>
  <c r="P13" i="7" s="1"/>
  <c r="C7" i="7"/>
  <c r="N13" i="7" s="1"/>
  <c r="C5" i="7"/>
  <c r="L13" i="7" s="1"/>
  <c r="C3" i="7"/>
  <c r="J13" i="7" s="1"/>
  <c r="E9" i="7"/>
  <c r="P15" i="7" s="1"/>
  <c r="E7" i="7"/>
  <c r="N15" i="7" s="1"/>
  <c r="E5" i="7"/>
  <c r="L15" i="7" s="1"/>
  <c r="E3" i="7"/>
  <c r="J15" i="7" s="1"/>
  <c r="B9" i="7"/>
  <c r="P12" i="7" s="1"/>
  <c r="B7" i="7"/>
  <c r="N12" i="7" s="1"/>
  <c r="B5" i="7"/>
  <c r="L12" i="7" s="1"/>
  <c r="B3" i="7"/>
  <c r="J12" i="7" s="1"/>
  <c r="G5" i="5"/>
  <c r="H5" i="5"/>
  <c r="F5" i="5"/>
  <c r="F6" i="5"/>
  <c r="H6" i="5"/>
  <c r="G6" i="5"/>
  <c r="H4" i="5"/>
  <c r="G4" i="5"/>
  <c r="F4" i="5"/>
  <c r="H3" i="5"/>
  <c r="G3" i="5"/>
  <c r="F3" i="5"/>
  <c r="H2" i="5"/>
  <c r="H12" i="5" s="1"/>
  <c r="G2" i="5"/>
  <c r="G12" i="5" s="1"/>
  <c r="F2" i="5"/>
  <c r="F13" i="5" s="1"/>
  <c r="H21" i="4"/>
  <c r="G21" i="4"/>
  <c r="F21" i="4"/>
  <c r="H20" i="4"/>
  <c r="G20" i="4"/>
  <c r="F20" i="4"/>
  <c r="H19" i="4"/>
  <c r="H30" i="4" s="1"/>
  <c r="G19" i="4"/>
  <c r="G29" i="4" s="1"/>
  <c r="F19" i="4"/>
  <c r="F29" i="4" s="1"/>
  <c r="H11" i="4"/>
  <c r="G11" i="4"/>
  <c r="F11" i="4"/>
  <c r="H10" i="4"/>
  <c r="G10" i="4"/>
  <c r="F10" i="4"/>
  <c r="H9" i="4"/>
  <c r="G9" i="4"/>
  <c r="F9" i="4"/>
  <c r="H7" i="4"/>
  <c r="G7" i="4"/>
  <c r="H8" i="4"/>
  <c r="G8" i="4"/>
  <c r="F8" i="4"/>
  <c r="H6" i="4"/>
  <c r="G6" i="4"/>
  <c r="F7" i="4"/>
  <c r="H5" i="4"/>
  <c r="G5" i="4"/>
  <c r="F6" i="4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G3" i="3"/>
  <c r="H3" i="3"/>
  <c r="H8" i="2"/>
  <c r="H2" i="3"/>
  <c r="H12" i="3" s="1"/>
  <c r="G2" i="3"/>
  <c r="G12" i="3" s="1"/>
  <c r="F3" i="3"/>
  <c r="F4" i="3"/>
  <c r="F2" i="3"/>
  <c r="F13" i="3" s="1"/>
  <c r="H3" i="4"/>
  <c r="G3" i="4"/>
  <c r="F3" i="4"/>
  <c r="H2" i="4"/>
  <c r="G2" i="4"/>
  <c r="F2" i="4"/>
  <c r="G7" i="2"/>
  <c r="H7" i="2"/>
  <c r="F7" i="2"/>
  <c r="G8" i="2"/>
  <c r="F8" i="2"/>
  <c r="H6" i="2"/>
  <c r="G6" i="2"/>
  <c r="G5" i="2"/>
  <c r="H5" i="2"/>
  <c r="F6" i="2"/>
  <c r="H2" i="2"/>
  <c r="G2" i="2"/>
  <c r="G12" i="2" s="1"/>
  <c r="H3" i="2"/>
  <c r="H4" i="2"/>
  <c r="G3" i="2"/>
  <c r="G4" i="2"/>
  <c r="F3" i="2"/>
  <c r="Q18" i="2" s="1"/>
  <c r="F4" i="2"/>
  <c r="F65" i="3" l="1"/>
  <c r="R17" i="4"/>
  <c r="S17" i="4"/>
  <c r="F12" i="3"/>
  <c r="G13" i="5"/>
  <c r="G13" i="3"/>
  <c r="H13" i="4"/>
  <c r="F47" i="4"/>
  <c r="H29" i="4"/>
  <c r="T17" i="4" s="1"/>
  <c r="H13" i="5"/>
  <c r="H13" i="3"/>
  <c r="G13" i="4"/>
  <c r="P14" i="5"/>
  <c r="G45" i="3"/>
  <c r="F13" i="4"/>
  <c r="F30" i="4"/>
  <c r="P26" i="3"/>
  <c r="O14" i="5"/>
  <c r="H12" i="2"/>
  <c r="G30" i="4"/>
  <c r="S18" i="2"/>
  <c r="O26" i="3"/>
  <c r="N14" i="5"/>
  <c r="R18" i="2"/>
  <c r="N26" i="3"/>
  <c r="H29" i="3"/>
  <c r="F12" i="5"/>
  <c r="F12" i="2"/>
  <c r="H13" i="2"/>
  <c r="F13" i="2"/>
  <c r="G13" i="2"/>
  <c r="G12" i="6"/>
  <c r="F12" i="6"/>
  <c r="H12" i="6"/>
  <c r="F12" i="4"/>
  <c r="H12" i="4"/>
  <c r="D12" i="4"/>
  <c r="C12" i="4"/>
  <c r="N13" i="4"/>
  <c r="B12" i="4"/>
  <c r="G12" i="4"/>
  <c r="E12" i="4"/>
</calcChain>
</file>

<file path=xl/sharedStrings.xml><?xml version="1.0" encoding="utf-8"?>
<sst xmlns="http://schemas.openxmlformats.org/spreadsheetml/2006/main" count="223" uniqueCount="56">
  <si>
    <t>Cycle time</t>
  </si>
  <si>
    <t xml:space="preserve"> Systolic Peak</t>
  </si>
  <si>
    <t>Diastolic Peak</t>
  </si>
  <si>
    <t xml:space="preserve"> notch</t>
  </si>
  <si>
    <t>Systolic Peak Time</t>
  </si>
  <si>
    <t>Diastolic Peak Time</t>
  </si>
  <si>
    <t>Height of Notch Time</t>
  </si>
  <si>
    <t>[95500:96100]</t>
  </si>
  <si>
    <t>[95000:95500]</t>
  </si>
  <si>
    <t>[90000:91000]</t>
  </si>
  <si>
    <t>82000:83000</t>
  </si>
  <si>
    <t>82000:83001</t>
  </si>
  <si>
    <t>w/o pmf</t>
  </si>
  <si>
    <t>[15000:15500]</t>
  </si>
  <si>
    <t>[25000:25500]</t>
  </si>
  <si>
    <t>3500:4550</t>
  </si>
  <si>
    <t>0;500</t>
  </si>
  <si>
    <t>[36550:37550]</t>
  </si>
  <si>
    <t>no pmf</t>
  </si>
  <si>
    <t>The first maximum peak from the first derivative of the PPG waveform</t>
  </si>
  <si>
    <t>a1</t>
  </si>
  <si>
    <t>ta1</t>
  </si>
  <si>
    <r>
      <t>The time interval from the foot of the PPG waveform to the time at which a</t>
    </r>
    <r>
      <rPr>
        <sz val="7"/>
        <color rgb="FF000000"/>
        <rFont val="URWPalladioL-Roma"/>
      </rPr>
      <t xml:space="preserve">1 </t>
    </r>
    <r>
      <rPr>
        <sz val="8"/>
        <color rgb="FF000000"/>
        <rFont val="URWPalladioL-Roma"/>
      </rPr>
      <t>occurred</t>
    </r>
  </si>
  <si>
    <r>
      <t>The first maximum peak from the second derivative of the PPG waveform after a</t>
    </r>
    <r>
      <rPr>
        <sz val="7"/>
        <color rgb="FF000000"/>
        <rFont val="URWPalladioL-Roma"/>
      </rPr>
      <t>1</t>
    </r>
  </si>
  <si>
    <t>a2</t>
  </si>
  <si>
    <t>ta2</t>
  </si>
  <si>
    <r>
      <t>The time interval from the foot of the PPG waveform to the time at which b</t>
    </r>
    <r>
      <rPr>
        <sz val="7"/>
        <color rgb="FF000000"/>
        <rFont val="URWPalladioL-Roma"/>
      </rPr>
      <t xml:space="preserve">1 </t>
    </r>
    <r>
      <rPr>
        <sz val="8"/>
        <color rgb="FF000000"/>
        <rFont val="URWPalladioL-Roma"/>
      </rPr>
      <t>occurred</t>
    </r>
  </si>
  <si>
    <t>The first minimum peak from the first derivative of the PPG waveform after a1</t>
  </si>
  <si>
    <t>b1</t>
  </si>
  <si>
    <t>tb2</t>
  </si>
  <si>
    <t>b2</t>
  </si>
  <si>
    <t>tb1</t>
  </si>
  <si>
    <t>[0:500]</t>
  </si>
  <si>
    <t>[80000:80500]</t>
  </si>
  <si>
    <r>
      <t>The time interval from the foot of the PPG waveform to the time at which a</t>
    </r>
    <r>
      <rPr>
        <sz val="7"/>
        <color rgb="FF000000"/>
        <rFont val="URWPalladioL-Roma"/>
      </rPr>
      <t xml:space="preserve">2 </t>
    </r>
    <r>
      <rPr>
        <sz val="8"/>
        <color rgb="FF000000"/>
        <rFont val="URWPalladioL-Roma"/>
      </rPr>
      <t>occurre</t>
    </r>
  </si>
  <si>
    <r>
      <t>The first minimum peak from the second derivative of the PPG waveform after a</t>
    </r>
    <r>
      <rPr>
        <sz val="7"/>
        <color rgb="FF000000"/>
        <rFont val="URWPalladioL-Roma"/>
      </rPr>
      <t>2</t>
    </r>
  </si>
  <si>
    <r>
      <t>The time interval from the foot of the PPG waveform to the time at which b</t>
    </r>
    <r>
      <rPr>
        <sz val="7"/>
        <color rgb="FF000000"/>
        <rFont val="URWPalladioL-Roma"/>
      </rPr>
      <t xml:space="preserve">2 </t>
    </r>
    <r>
      <rPr>
        <sz val="8"/>
        <color rgb="FF000000"/>
        <rFont val="URWPalladioL-Roma"/>
      </rPr>
      <t>occurred</t>
    </r>
  </si>
  <si>
    <t>pmf1(10_100)</t>
  </si>
  <si>
    <t>pmf2(10-500)</t>
  </si>
  <si>
    <t>pmf3(70-100)</t>
  </si>
  <si>
    <t>pmf4(70-500)</t>
  </si>
  <si>
    <t>mean</t>
  </si>
  <si>
    <t>standard davaiatiobn</t>
  </si>
  <si>
    <t>Average</t>
  </si>
  <si>
    <t xml:space="preserve"> 31034,</t>
  </si>
  <si>
    <t>std</t>
  </si>
  <si>
    <t>stdd</t>
  </si>
  <si>
    <t>avg</t>
  </si>
  <si>
    <t>Pmf stage</t>
  </si>
  <si>
    <t>1. percentage change in no pmf with others</t>
  </si>
  <si>
    <t xml:space="preserve">percentage in cycle </t>
  </si>
  <si>
    <t xml:space="preserve">percentage in systlolic </t>
  </si>
  <si>
    <t>percentage in diastolic</t>
  </si>
  <si>
    <t>Signal analysis over span</t>
  </si>
  <si>
    <t>signal with each cycle</t>
  </si>
  <si>
    <t>Notch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</si>
</sst>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color rgb="FF000000"/>
      <name val="URWPalladioL-Roma"/>
    </font>
    <font>
      <sz val="7"/>
      <color rgb="FF000000"/>
      <name val="URWPalladioL-Roma"/>
    </font>
    <font>
      <b/>
      <sz val="12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0" xfId="0" applyFont="1"/>
    <xf numFmtId="0" fontId="24" fillId="0" borderId="2" xfId="0" applyFont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table'!$J$4</c:f>
              <c:strCache>
                <c:ptCount val="1"/>
                <c:pt idx="0">
                  <c:v>Height of Notch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table'!$J$5:$J$9</c:f>
              <c:numCache>
                <c:formatCode>General</c:formatCode>
                <c:ptCount val="5"/>
                <c:pt idx="0">
                  <c:v>373.5</c:v>
                </c:pt>
                <c:pt idx="1">
                  <c:v>339.33333333333331</c:v>
                </c:pt>
                <c:pt idx="2">
                  <c:v>358.66666666666669</c:v>
                </c:pt>
                <c:pt idx="3">
                  <c:v>350.66666666666669</c:v>
                </c:pt>
                <c:pt idx="4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0-4FAA-A13A-45AB2D42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8936"/>
        <c:axId val="659589080"/>
      </c:scatterChart>
      <c:valAx>
        <c:axId val="6607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89080"/>
        <c:crosses val="autoZero"/>
        <c:crossBetween val="midCat"/>
      </c:valAx>
      <c:valAx>
        <c:axId val="65958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Derivative!$M$11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Derivative!$M$12:$M$16</c:f>
              <c:numCache>
                <c:formatCode>General</c:formatCode>
                <c:ptCount val="5"/>
                <c:pt idx="0">
                  <c:v>-1680.1666666666667</c:v>
                </c:pt>
                <c:pt idx="1">
                  <c:v>-2064.3333333333335</c:v>
                </c:pt>
                <c:pt idx="2">
                  <c:v>-1747.8333333333333</c:v>
                </c:pt>
                <c:pt idx="3">
                  <c:v>-1757.3333333333333</c:v>
                </c:pt>
                <c:pt idx="4">
                  <c:v>-1969.6666666666667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5-4D79-B0BE-E35E655A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37488"/>
        <c:axId val="651637128"/>
      </c:scatterChart>
      <c:valAx>
        <c:axId val="6516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128"/>
        <c:crosses val="autoZero"/>
        <c:crossBetween val="midCat"/>
      </c:valAx>
      <c:valAx>
        <c:axId val="6516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Derivative!$O$11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Derivative!$O$12:$O$16</c:f>
              <c:numCache>
                <c:formatCode>General</c:formatCode>
                <c:ptCount val="5"/>
                <c:pt idx="0">
                  <c:v>-1259.3333333333333</c:v>
                </c:pt>
                <c:pt idx="1">
                  <c:v>-999.83333333333337</c:v>
                </c:pt>
                <c:pt idx="2">
                  <c:v>-978.5</c:v>
                </c:pt>
                <c:pt idx="3">
                  <c:v>-1169.1666666666667</c:v>
                </c:pt>
                <c:pt idx="4">
                  <c:v>-903.83333333333337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8-44A4-8D5D-EB9EA9B6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89144"/>
        <c:axId val="489285184"/>
      </c:scatterChart>
      <c:valAx>
        <c:axId val="4892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85184"/>
        <c:crosses val="autoZero"/>
        <c:crossBetween val="midCat"/>
      </c:valAx>
      <c:valAx>
        <c:axId val="489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Derivative!$J$11</c:f>
              <c:strCache>
                <c:ptCount val="1"/>
                <c:pt idx="0">
                  <c:v>ta1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Derivative!$J$12:$J$16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F-49DC-AB27-45EA323127DF}"/>
            </c:ext>
          </c:extLst>
        </c:ser>
        <c:ser>
          <c:idx val="1"/>
          <c:order val="1"/>
          <c:tx>
            <c:strRef>
              <c:f>Derivative!$L$11</c:f>
              <c:strCache>
                <c:ptCount val="1"/>
                <c:pt idx="0">
                  <c:v>ta2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Derivative!$L$12:$L$16</c:f>
              <c:numCache>
                <c:formatCode>General</c:formatCode>
                <c:ptCount val="5"/>
                <c:pt idx="0">
                  <c:v>1006.6666666666666</c:v>
                </c:pt>
                <c:pt idx="1">
                  <c:v>666.66666666666663</c:v>
                </c:pt>
                <c:pt idx="2">
                  <c:v>790</c:v>
                </c:pt>
                <c:pt idx="3">
                  <c:v>763.33333333333337</c:v>
                </c:pt>
                <c:pt idx="4">
                  <c:v>713.33333333333337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F-49DC-AB27-45EA323127DF}"/>
            </c:ext>
          </c:extLst>
        </c:ser>
        <c:ser>
          <c:idx val="2"/>
          <c:order val="2"/>
          <c:tx>
            <c:strRef>
              <c:f>Derivative!$N$11</c:f>
              <c:strCache>
                <c:ptCount val="1"/>
                <c:pt idx="0">
                  <c:v>tb1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Derivative!$N$12:$N$16</c:f>
              <c:numCache>
                <c:formatCode>General</c:formatCode>
                <c:ptCount val="5"/>
                <c:pt idx="0">
                  <c:v>436.66666666666669</c:v>
                </c:pt>
                <c:pt idx="1">
                  <c:v>340</c:v>
                </c:pt>
                <c:pt idx="2">
                  <c:v>400</c:v>
                </c:pt>
                <c:pt idx="3">
                  <c:v>366.66666666666669</c:v>
                </c:pt>
                <c:pt idx="4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F-49DC-AB27-45EA323127DF}"/>
            </c:ext>
          </c:extLst>
        </c:ser>
        <c:ser>
          <c:idx val="3"/>
          <c:order val="3"/>
          <c:tx>
            <c:strRef>
              <c:f>Derivative!$P$11</c:f>
              <c:strCache>
                <c:ptCount val="1"/>
                <c:pt idx="0">
                  <c:v>tb2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Derivative!$P$12:$P$16</c:f>
              <c:numCache>
                <c:formatCode>General</c:formatCode>
                <c:ptCount val="5"/>
                <c:pt idx="0">
                  <c:v>890</c:v>
                </c:pt>
                <c:pt idx="1">
                  <c:v>793.33333333333337</c:v>
                </c:pt>
                <c:pt idx="2">
                  <c:v>906.66666666666663</c:v>
                </c:pt>
                <c:pt idx="3">
                  <c:v>816.66666666666663</c:v>
                </c:pt>
                <c:pt idx="4">
                  <c:v>833.33333333333337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F-49DC-AB27-45EA3231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45712"/>
        <c:axId val="645052192"/>
      </c:scatterChart>
      <c:valAx>
        <c:axId val="6450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52192"/>
        <c:crosses val="autoZero"/>
        <c:crossBetween val="midCat"/>
      </c:valAx>
      <c:valAx>
        <c:axId val="6450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4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table'!$G$4</c:f>
              <c:strCache>
                <c:ptCount val="1"/>
                <c:pt idx="0">
                  <c:v> notch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table'!$G$5:$G$9</c:f>
              <c:numCache>
                <c:formatCode>General</c:formatCode>
                <c:ptCount val="5"/>
                <c:pt idx="0">
                  <c:v>37491.934375000004</c:v>
                </c:pt>
                <c:pt idx="1">
                  <c:v>34847.866666666669</c:v>
                </c:pt>
                <c:pt idx="2">
                  <c:v>39614.300000000003</c:v>
                </c:pt>
                <c:pt idx="3">
                  <c:v>34474.933333333334</c:v>
                </c:pt>
                <c:pt idx="4">
                  <c:v>36088.620689655174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E-4BD3-9EF2-1D45E6F5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67072"/>
        <c:axId val="660564440"/>
      </c:scatterChart>
      <c:valAx>
        <c:axId val="7291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4440"/>
        <c:crosses val="autoZero"/>
        <c:crossBetween val="midCat"/>
      </c:valAx>
      <c:valAx>
        <c:axId val="6605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table'!$F$4</c:f>
              <c:strCache>
                <c:ptCount val="1"/>
                <c:pt idx="0">
                  <c:v>Diastolic 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table'!$F$5:$F$9</c:f>
              <c:numCache>
                <c:formatCode>General</c:formatCode>
                <c:ptCount val="5"/>
                <c:pt idx="0">
                  <c:v>38422.162500000006</c:v>
                </c:pt>
                <c:pt idx="1">
                  <c:v>35905.800000000003</c:v>
                </c:pt>
                <c:pt idx="2">
                  <c:v>38960.133333333331</c:v>
                </c:pt>
                <c:pt idx="3">
                  <c:v>35769.833333333336</c:v>
                </c:pt>
                <c:pt idx="4">
                  <c:v>36593.633333333331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B-424C-99EA-323AF5F0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75552"/>
        <c:axId val="644676992"/>
      </c:scatterChart>
      <c:valAx>
        <c:axId val="6446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6992"/>
        <c:crosses val="autoZero"/>
        <c:crossBetween val="midCat"/>
      </c:valAx>
      <c:valAx>
        <c:axId val="6446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56851610342103"/>
          <c:y val="0.2122201683056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16444955722152E-2"/>
          <c:y val="1.9900433641446991E-2"/>
          <c:w val="0.93757865398423446"/>
          <c:h val="0.781564247403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'comparing table'!$E$4</c:f>
              <c:strCache>
                <c:ptCount val="1"/>
                <c:pt idx="0">
                  <c:v> Systolic 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table'!$E$5:$E$9</c:f>
              <c:numCache>
                <c:formatCode>General</c:formatCode>
                <c:ptCount val="5"/>
                <c:pt idx="0">
                  <c:v>61907.543750000004</c:v>
                </c:pt>
                <c:pt idx="1">
                  <c:v>60832.166666666664</c:v>
                </c:pt>
                <c:pt idx="2">
                  <c:v>60175</c:v>
                </c:pt>
                <c:pt idx="3">
                  <c:v>61628.633333333331</c:v>
                </c:pt>
                <c:pt idx="4">
                  <c:v>61846.9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E-40F3-8878-3EC3F5D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31728"/>
        <c:axId val="651624888"/>
      </c:scatterChart>
      <c:valAx>
        <c:axId val="6516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4888"/>
        <c:crosses val="autoZero"/>
        <c:crossBetween val="midCat"/>
      </c:valAx>
      <c:valAx>
        <c:axId val="6516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table'!$H$4</c:f>
              <c:strCache>
                <c:ptCount val="1"/>
                <c:pt idx="0">
                  <c:v>Systolic Peak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table'!$H$5:$H$9</c:f>
              <c:numCache>
                <c:formatCode>General</c:formatCode>
                <c:ptCount val="5"/>
                <c:pt idx="0">
                  <c:v>179.34375</c:v>
                </c:pt>
                <c:pt idx="1">
                  <c:v>167.33333333333334</c:v>
                </c:pt>
                <c:pt idx="2">
                  <c:v>172.33333333333334</c:v>
                </c:pt>
                <c:pt idx="3">
                  <c:v>179.33333333333334</c:v>
                </c:pt>
                <c:pt idx="4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B-4D42-8C3C-25DD66F9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3104"/>
        <c:axId val="497137424"/>
      </c:scatterChart>
      <c:valAx>
        <c:axId val="4971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7424"/>
        <c:crosses val="autoZero"/>
        <c:crossBetween val="midCat"/>
      </c:valAx>
      <c:valAx>
        <c:axId val="4971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table'!$I$4</c:f>
              <c:strCache>
                <c:ptCount val="1"/>
                <c:pt idx="0">
                  <c:v>Diastolic Peak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table'!$I$5:$I$9</c:f>
              <c:numCache>
                <c:formatCode>General</c:formatCode>
                <c:ptCount val="5"/>
                <c:pt idx="0">
                  <c:v>417.96875</c:v>
                </c:pt>
                <c:pt idx="1">
                  <c:v>384.83333333333331</c:v>
                </c:pt>
                <c:pt idx="2">
                  <c:v>402.33333333333331</c:v>
                </c:pt>
                <c:pt idx="3">
                  <c:v>398.66666666666669</c:v>
                </c:pt>
                <c:pt idx="4">
                  <c:v>416.33333333333331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4AB7-A348-622DDEDC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75168"/>
        <c:axId val="648369768"/>
      </c:scatterChart>
      <c:valAx>
        <c:axId val="6483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69768"/>
        <c:crosses val="autoZero"/>
        <c:crossBetween val="midCat"/>
      </c:valAx>
      <c:valAx>
        <c:axId val="6483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'comparing table'!$D$4</c:f>
              <c:strCache>
                <c:ptCount val="1"/>
                <c:pt idx="0">
                  <c:v>Cycle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'comparing table'!$C$5:$C$9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'comparing table'!$D$5:$D$9</c:f>
              <c:numCache>
                <c:formatCode>General</c:formatCode>
                <c:ptCount val="5"/>
                <c:pt idx="0">
                  <c:v>742.84375</c:v>
                </c:pt>
                <c:pt idx="1">
                  <c:v>784.33333333333303</c:v>
                </c:pt>
                <c:pt idx="2">
                  <c:v>762</c:v>
                </c:pt>
                <c:pt idx="3">
                  <c:v>730.33333333333337</c:v>
                </c:pt>
                <c:pt idx="4">
                  <c:v>725.66666666666663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7-4431-A745-7D88E1DA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97568"/>
        <c:axId val="751306208"/>
      </c:scatterChart>
      <c:valAx>
        <c:axId val="7512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06208"/>
        <c:crosses val="autoZero"/>
        <c:crossBetween val="midCat"/>
      </c:valAx>
      <c:valAx>
        <c:axId val="751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Derivative!$I$11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Derivative!$I$12:$I$16</c:f>
              <c:numCache>
                <c:formatCode>General</c:formatCode>
                <c:ptCount val="5"/>
                <c:pt idx="0">
                  <c:v>4552.333333333333</c:v>
                </c:pt>
                <c:pt idx="1">
                  <c:v>4449.833333333333</c:v>
                </c:pt>
                <c:pt idx="2">
                  <c:v>4579.833333333333</c:v>
                </c:pt>
                <c:pt idx="3">
                  <c:v>4499.166666666667</c:v>
                </c:pt>
                <c:pt idx="4">
                  <c:v>4564.166666666667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D-4CA9-A3EC-9C88E214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73368"/>
        <c:axId val="648365448"/>
      </c:scatterChart>
      <c:valAx>
        <c:axId val="6483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65448"/>
        <c:crosses val="autoZero"/>
        <c:crossBetween val="midCat"/>
      </c:valAx>
      <c:valAx>
        <c:axId val="6483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Derivative!$K$11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Derivative!$H$12:$H$16</c:f>
              <c:strCache>
                <c:ptCount val="5"/>
                <c:pt idx="0">
                  <c:v>no pmf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Derivative!$K$12:$K$16</c:f>
              <c:numCache>
                <c:formatCode>General</c:formatCode>
                <c:ptCount val="5"/>
                <c:pt idx="0">
                  <c:v>580.16666666666663</c:v>
                </c:pt>
                <c:pt idx="1">
                  <c:v>682.83333333333337</c:v>
                </c:pt>
                <c:pt idx="2">
                  <c:v>617.16666666666663</c:v>
                </c:pt>
                <c:pt idx="3">
                  <c:v>601.75</c:v>
                </c:pt>
                <c:pt idx="4">
                  <c:v>704.08333333333337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3-44C3-A749-525A3D82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75888"/>
        <c:axId val="648376608"/>
      </c:scatterChart>
      <c:valAx>
        <c:axId val="6483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6608"/>
        <c:crosses val="autoZero"/>
        <c:crossBetween val="midCat"/>
      </c:valAx>
      <c:valAx>
        <c:axId val="648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40821</xdr:colOff>
      <xdr:row>12</xdr:row>
      <xdr:rowOff>124505</xdr:rowOff>
    </xdr:from>
    <xdr:to>
      <xdr:col>24</xdr:col>
      <xdr:colOff>365012</xdr:colOff>
      <xdr:row>27</xdr:row>
      <xdr:rowOff>10205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DB7A48-078E-DD11-7312-94856E03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402771</xdr:colOff>
      <xdr:row>23</xdr:row>
      <xdr:rowOff>80509</xdr:rowOff>
    </xdr:from>
    <xdr:to>
      <xdr:col>4</xdr:col>
      <xdr:colOff>882990</xdr:colOff>
      <xdr:row>37</xdr:row>
      <xdr:rowOff>175759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D9CB20-9683-D45F-3FF0-4B74FE35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262786</xdr:colOff>
      <xdr:row>29</xdr:row>
      <xdr:rowOff>154950</xdr:rowOff>
    </xdr:from>
    <xdr:to>
      <xdr:col>8</xdr:col>
      <xdr:colOff>854697</xdr:colOff>
      <xdr:row>44</xdr:row>
      <xdr:rowOff>40650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4F98-F7DC-042D-309E-9E426155A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1405790</xdr:colOff>
      <xdr:row>17</xdr:row>
      <xdr:rowOff>161754</xdr:rowOff>
    </xdr:from>
    <xdr:to>
      <xdr:col>16</xdr:col>
      <xdr:colOff>11058</xdr:colOff>
      <xdr:row>31</xdr:row>
      <xdr:rowOff>237954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804F4-9B52-B31B-5C1E-DDEF9D82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510268</xdr:colOff>
      <xdr:row>0</xdr:row>
      <xdr:rowOff>57150</xdr:rowOff>
    </xdr:from>
    <xdr:to>
      <xdr:col>24</xdr:col>
      <xdr:colOff>183697</xdr:colOff>
      <xdr:row>12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A5E817-5280-2F11-B56D-477F7937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61231</xdr:colOff>
      <xdr:row>28</xdr:row>
      <xdr:rowOff>43543</xdr:rowOff>
    </xdr:from>
    <xdr:to>
      <xdr:col>24</xdr:col>
      <xdr:colOff>346981</xdr:colOff>
      <xdr:row>42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E29124-9075-2056-6DA4-4CBFD67C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1071300</xdr:colOff>
      <xdr:row>40</xdr:row>
      <xdr:rowOff>49823</xdr:rowOff>
    </xdr:from>
    <xdr:to>
      <xdr:col>13</xdr:col>
      <xdr:colOff>272664</xdr:colOff>
      <xdr:row>54</xdr:row>
      <xdr:rowOff>176265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915F7E-4824-A3D0-2CFF-45A6AB87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510181</xdr:colOff>
      <xdr:row>0</xdr:row>
      <xdr:rowOff>167694</xdr:rowOff>
    </xdr:from>
    <xdr:to>
      <xdr:col>4</xdr:col>
      <xdr:colOff>822889</xdr:colOff>
      <xdr:row>14</xdr:row>
      <xdr:rowOff>126167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70562-5810-8DAB-7C46-D51F4167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400094</xdr:colOff>
      <xdr:row>25</xdr:row>
      <xdr:rowOff>132181</xdr:rowOff>
    </xdr:from>
    <xdr:to>
      <xdr:col>4</xdr:col>
      <xdr:colOff>714823</xdr:colOff>
      <xdr:row>39</xdr:row>
      <xdr:rowOff>155589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2F1F-5BF4-F2E2-C086-1B24001C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736840</xdr:colOff>
      <xdr:row>2</xdr:row>
      <xdr:rowOff>71437</xdr:rowOff>
    </xdr:from>
    <xdr:to>
      <xdr:col>16</xdr:col>
      <xdr:colOff>71663</xdr:colOff>
      <xdr:row>16</xdr:row>
      <xdr:rowOff>98665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55349-518D-9698-DFFB-860A6208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604746</xdr:colOff>
      <xdr:row>23</xdr:row>
      <xdr:rowOff>72875</xdr:rowOff>
    </xdr:from>
    <xdr:to>
      <xdr:col>14</xdr:col>
      <xdr:colOff>549933</xdr:colOff>
      <xdr:row>37</xdr:row>
      <xdr:rowOff>89095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02795-F05D-248C-FC20-2E5F15C6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506015</xdr:colOff>
      <xdr:row>0</xdr:row>
      <xdr:rowOff>0</xdr:rowOff>
    </xdr:from>
    <xdr:to>
      <xdr:col>27</xdr:col>
      <xdr:colOff>220265</xdr:colOff>
      <xdr:row>13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D7F06-A24D-315D-516F-16372457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23F9-01DC-4A40-9199-9DF030EB6ED3}">
  <dimension ref="A1:T47"/>
  <sheetViews>
    <sheetView workbookViewId="0">
      <selection activeCell="T17" sqref="T17"/>
    </sheetView>
  </sheetViews>
  <sheetFormatPr defaultRowHeight="15" x14ac:dyDescent="0.25"/>
  <cols>
    <col min="1" max="1" width="6" style="7" customWidth="1"/>
    <col min="2" max="2" width="17" style="7" customWidth="1"/>
    <col min="3" max="4" width="14.5703125" style="7" customWidth="1"/>
    <col min="5" max="5" width="8" style="7" customWidth="1"/>
    <col min="6" max="6" width="18.85546875" style="7" customWidth="1"/>
    <col min="7" max="7" width="19.85546875" style="7" customWidth="1"/>
    <col min="8" max="8" width="22.7109375" style="7" customWidth="1"/>
    <col min="9" max="16384" width="9.140625" style="7"/>
  </cols>
  <sheetData>
    <row r="1" spans="1:14" s="3" customFormat="1" ht="16.5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4" ht="15.75" x14ac:dyDescent="0.25">
      <c r="A2" s="4">
        <v>1</v>
      </c>
      <c r="B2" s="5">
        <v>730</v>
      </c>
      <c r="C2" s="6">
        <v>62258</v>
      </c>
      <c r="D2" s="6">
        <v>38046</v>
      </c>
      <c r="E2" s="6">
        <v>37650</v>
      </c>
      <c r="F2" s="6">
        <f>780-610</f>
        <v>170</v>
      </c>
      <c r="G2" s="6">
        <f>1030-610</f>
        <v>420</v>
      </c>
      <c r="H2" s="6">
        <f>980-610</f>
        <v>370</v>
      </c>
      <c r="I2" s="7" t="s">
        <v>12</v>
      </c>
    </row>
    <row r="3" spans="1:14" ht="15.75" x14ac:dyDescent="0.25">
      <c r="A3" s="4">
        <v>2</v>
      </c>
      <c r="B3" s="5">
        <v>740</v>
      </c>
      <c r="C3" s="6">
        <v>62258</v>
      </c>
      <c r="D3" s="6">
        <v>43315</v>
      </c>
      <c r="E3" s="6">
        <v>41942</v>
      </c>
      <c r="F3" s="6">
        <f>2270-2090</f>
        <v>180</v>
      </c>
      <c r="G3" s="6">
        <f>2520-2090</f>
        <v>430</v>
      </c>
      <c r="H3" s="6">
        <f>2450-2090</f>
        <v>360</v>
      </c>
      <c r="I3" s="7" t="s">
        <v>16</v>
      </c>
    </row>
    <row r="4" spans="1:14" ht="15.75" x14ac:dyDescent="0.25">
      <c r="A4" s="4">
        <v>3</v>
      </c>
      <c r="B4" s="6">
        <v>680</v>
      </c>
      <c r="C4" s="6">
        <v>62258</v>
      </c>
      <c r="D4" s="6">
        <v>37918</v>
      </c>
      <c r="E4" s="6">
        <v>36919</v>
      </c>
      <c r="F4" s="6">
        <v>180</v>
      </c>
      <c r="G4" s="6">
        <v>420</v>
      </c>
      <c r="H4" s="6">
        <v>360</v>
      </c>
    </row>
    <row r="5" spans="1:14" ht="15.75" x14ac:dyDescent="0.25">
      <c r="A5" s="4">
        <v>4</v>
      </c>
      <c r="B5" s="6">
        <v>710</v>
      </c>
      <c r="C5" s="6">
        <v>62258</v>
      </c>
      <c r="D5" s="6">
        <v>38609</v>
      </c>
      <c r="E5" s="6">
        <v>37505</v>
      </c>
      <c r="F5" s="6">
        <v>180</v>
      </c>
      <c r="G5" s="6">
        <f>1000-580</f>
        <v>420</v>
      </c>
      <c r="H5" s="6">
        <f>940-580</f>
        <v>360</v>
      </c>
    </row>
    <row r="6" spans="1:14" ht="15.75" x14ac:dyDescent="0.25">
      <c r="A6" s="4">
        <v>5</v>
      </c>
      <c r="B6" s="6">
        <v>700</v>
      </c>
      <c r="C6" s="6">
        <v>62258</v>
      </c>
      <c r="D6" s="6">
        <v>42346</v>
      </c>
      <c r="E6" s="6">
        <v>42298</v>
      </c>
      <c r="F6" s="6">
        <f>760-580</f>
        <v>180</v>
      </c>
      <c r="G6" s="6">
        <f>1670-1260</f>
        <v>410</v>
      </c>
      <c r="H6" s="6">
        <f>1650-1260</f>
        <v>390</v>
      </c>
    </row>
    <row r="7" spans="1:14" ht="15.75" x14ac:dyDescent="0.25">
      <c r="A7" s="4">
        <v>6</v>
      </c>
      <c r="B7" s="6">
        <v>680</v>
      </c>
      <c r="C7" s="6">
        <v>61940</v>
      </c>
      <c r="D7" s="6">
        <v>42796</v>
      </c>
      <c r="E7" s="6">
        <v>42430</v>
      </c>
      <c r="F7" s="6">
        <f>2150-1970</f>
        <v>180</v>
      </c>
      <c r="G7" s="6">
        <f>2390-1970</f>
        <v>420</v>
      </c>
      <c r="H7" s="6">
        <f>2340-1970</f>
        <v>370</v>
      </c>
      <c r="I7" s="7" t="s">
        <v>15</v>
      </c>
    </row>
    <row r="8" spans="1:14" ht="15.75" x14ac:dyDescent="0.25">
      <c r="A8" s="4">
        <v>7</v>
      </c>
      <c r="B8" s="6">
        <v>700</v>
      </c>
      <c r="C8" s="6">
        <v>62258</v>
      </c>
      <c r="D8" s="6">
        <v>41232</v>
      </c>
      <c r="E8" s="6">
        <v>40536</v>
      </c>
      <c r="F8" s="6">
        <f>2860-2670</f>
        <v>190</v>
      </c>
      <c r="G8" s="6">
        <f>3090-2670</f>
        <v>420</v>
      </c>
      <c r="H8" s="6">
        <f>3030-2670</f>
        <v>360</v>
      </c>
    </row>
    <row r="9" spans="1:14" ht="15.75" x14ac:dyDescent="0.25">
      <c r="A9" s="4">
        <v>8</v>
      </c>
      <c r="B9" s="6">
        <v>720</v>
      </c>
      <c r="C9" s="6">
        <v>62258</v>
      </c>
      <c r="D9" s="6">
        <v>39922</v>
      </c>
      <c r="E9" s="6">
        <v>39692</v>
      </c>
      <c r="F9" s="6">
        <f>3530-3350</f>
        <v>180</v>
      </c>
      <c r="G9" s="6">
        <f>3760-3350</f>
        <v>410</v>
      </c>
      <c r="H9" s="6">
        <f>3720-3350</f>
        <v>370</v>
      </c>
    </row>
    <row r="10" spans="1:14" ht="15.75" x14ac:dyDescent="0.25">
      <c r="A10" s="4">
        <v>9</v>
      </c>
      <c r="B10" s="6">
        <v>770</v>
      </c>
      <c r="C10" s="6">
        <v>62258</v>
      </c>
      <c r="D10" s="6">
        <v>41825</v>
      </c>
      <c r="E10" s="6">
        <v>41734</v>
      </c>
      <c r="F10" s="6">
        <f>4220-4050</f>
        <v>170</v>
      </c>
      <c r="G10" s="6">
        <f>4460-4050</f>
        <v>410</v>
      </c>
      <c r="H10" s="6">
        <f>4430-4050</f>
        <v>380</v>
      </c>
    </row>
    <row r="11" spans="1:14" ht="15.75" x14ac:dyDescent="0.25">
      <c r="A11" s="4">
        <v>10</v>
      </c>
      <c r="B11" s="6">
        <v>720</v>
      </c>
      <c r="C11" s="6">
        <v>62258</v>
      </c>
      <c r="D11" s="6">
        <v>35088</v>
      </c>
      <c r="E11" s="6">
        <v>33826</v>
      </c>
      <c r="F11" s="6">
        <f>5720-5540</f>
        <v>180</v>
      </c>
      <c r="G11" s="5">
        <f>5970-5540</f>
        <v>430</v>
      </c>
      <c r="H11" s="6">
        <f>5900-5540</f>
        <v>360</v>
      </c>
    </row>
    <row r="12" spans="1:14" x14ac:dyDescent="0.25">
      <c r="A12" s="4" t="s">
        <v>47</v>
      </c>
      <c r="B12" s="8">
        <f t="shared" ref="B12:H12" ca="1" si="0">AVERAGE(B2:B21)</f>
        <v>0</v>
      </c>
      <c r="C12" s="8">
        <f t="shared" ca="1" si="0"/>
        <v>61633.230769230766</v>
      </c>
      <c r="D12" s="8">
        <f t="shared" ca="1" si="0"/>
        <v>39574.769230769234</v>
      </c>
      <c r="E12" s="8">
        <f t="shared" ca="1" si="0"/>
        <v>38928.461538461539</v>
      </c>
      <c r="F12" s="8">
        <f t="shared" ca="1" si="0"/>
        <v>181.53846153846155</v>
      </c>
      <c r="G12" s="8">
        <f t="shared" ca="1" si="0"/>
        <v>420</v>
      </c>
      <c r="H12" s="8">
        <f t="shared" ca="1" si="0"/>
        <v>370</v>
      </c>
    </row>
    <row r="13" spans="1:14" x14ac:dyDescent="0.25">
      <c r="A13" s="4" t="s">
        <v>45</v>
      </c>
      <c r="B13" s="7">
        <f>_xlfn.STDEV.S(B2:B11)</f>
        <v>27.588242262078079</v>
      </c>
      <c r="C13" s="7">
        <f t="shared" ref="C13:H13" si="1">_xlfn.STDEV.S(C2:C11)</f>
        <v>100.56042959335446</v>
      </c>
      <c r="D13" s="7">
        <f t="shared" si="1"/>
        <v>2651.2096631118743</v>
      </c>
      <c r="E13" s="7">
        <f t="shared" si="1"/>
        <v>2881.2505695347713</v>
      </c>
      <c r="F13" s="7">
        <f t="shared" si="1"/>
        <v>5.676462121975467</v>
      </c>
      <c r="G13" s="7">
        <f t="shared" si="1"/>
        <v>7.3786478737262184</v>
      </c>
      <c r="H13" s="7">
        <f t="shared" si="1"/>
        <v>10.327955589886445</v>
      </c>
      <c r="N13" s="7">
        <f ca="1">AVERAGE(B12,B29,B46)</f>
        <v>0</v>
      </c>
    </row>
    <row r="14" spans="1:14" x14ac:dyDescent="0.25">
      <c r="A14" s="4"/>
    </row>
    <row r="17" spans="1:20" x14ac:dyDescent="0.25">
      <c r="N17" s="7">
        <f>AVERAGE(B2:B11,B19:B29,B36:B46)</f>
        <v>742.84375</v>
      </c>
      <c r="O17" s="7">
        <f t="shared" ref="O17:T17" si="2">AVERAGE(C2:C11,C19:C29,C36:C46)</f>
        <v>61907.543750000004</v>
      </c>
      <c r="P17" s="7">
        <f t="shared" si="2"/>
        <v>38422.162500000006</v>
      </c>
      <c r="Q17" s="7">
        <f t="shared" si="2"/>
        <v>37491.934375000004</v>
      </c>
      <c r="R17" s="7">
        <f t="shared" si="2"/>
        <v>179.34375</v>
      </c>
      <c r="S17" s="7">
        <f t="shared" si="2"/>
        <v>417.96875</v>
      </c>
      <c r="T17" s="7">
        <f t="shared" si="2"/>
        <v>373.5</v>
      </c>
    </row>
    <row r="18" spans="1:20" ht="15.75" x14ac:dyDescent="0.25">
      <c r="A18" s="19"/>
      <c r="B18" s="27" t="s">
        <v>0</v>
      </c>
      <c r="C18" s="19" t="s">
        <v>1</v>
      </c>
      <c r="D18" s="19" t="s">
        <v>2</v>
      </c>
      <c r="E18" s="19" t="s">
        <v>3</v>
      </c>
      <c r="F18" s="19" t="s">
        <v>4</v>
      </c>
      <c r="G18" s="19" t="s">
        <v>5</v>
      </c>
      <c r="H18" s="19" t="s">
        <v>6</v>
      </c>
    </row>
    <row r="19" spans="1:20" ht="15.75" x14ac:dyDescent="0.25">
      <c r="A19" s="5">
        <v>1</v>
      </c>
      <c r="B19" s="6">
        <v>690</v>
      </c>
      <c r="C19" s="6">
        <v>59128</v>
      </c>
      <c r="D19" s="6">
        <v>38858</v>
      </c>
      <c r="E19" s="6">
        <v>38570</v>
      </c>
      <c r="F19" s="6">
        <f>7130-6950</f>
        <v>180</v>
      </c>
      <c r="G19" s="6">
        <f>7380-6950</f>
        <v>430</v>
      </c>
      <c r="H19" s="6">
        <f>7340-6950</f>
        <v>390</v>
      </c>
    </row>
    <row r="20" spans="1:20" ht="15.75" x14ac:dyDescent="0.25">
      <c r="A20" s="5">
        <v>2</v>
      </c>
      <c r="B20" s="6">
        <v>770</v>
      </c>
      <c r="C20" s="6">
        <v>59709</v>
      </c>
      <c r="D20" s="6">
        <v>38345</v>
      </c>
      <c r="E20" s="6">
        <v>38050</v>
      </c>
      <c r="F20" s="6">
        <f>8650-8450</f>
        <v>200</v>
      </c>
      <c r="G20" s="6">
        <f>8860-8450</f>
        <v>410</v>
      </c>
      <c r="H20" s="6">
        <f>8820-8450</f>
        <v>370</v>
      </c>
    </row>
    <row r="21" spans="1:20" ht="15.75" x14ac:dyDescent="0.25">
      <c r="A21" s="5">
        <v>3</v>
      </c>
      <c r="B21" s="6">
        <v>710</v>
      </c>
      <c r="C21" s="6">
        <v>60133</v>
      </c>
      <c r="D21" s="6">
        <v>36172</v>
      </c>
      <c r="E21" s="6">
        <v>34918</v>
      </c>
      <c r="F21" s="6">
        <f>9350-9160</f>
        <v>190</v>
      </c>
      <c r="G21" s="6">
        <f>9590-9160</f>
        <v>430</v>
      </c>
      <c r="H21" s="6">
        <f>9530-9160</f>
        <v>370</v>
      </c>
    </row>
    <row r="22" spans="1:20" ht="15.75" x14ac:dyDescent="0.25">
      <c r="A22" s="5">
        <v>4</v>
      </c>
      <c r="B22" s="5">
        <v>710</v>
      </c>
      <c r="C22" s="6">
        <v>62258</v>
      </c>
      <c r="D22" s="6">
        <v>37272</v>
      </c>
      <c r="E22" s="6">
        <v>36997</v>
      </c>
      <c r="F22" s="5">
        <v>180</v>
      </c>
      <c r="G22" s="5">
        <v>410</v>
      </c>
      <c r="H22" s="5">
        <v>380</v>
      </c>
    </row>
    <row r="23" spans="1:20" ht="15.75" x14ac:dyDescent="0.25">
      <c r="A23" s="5">
        <v>5</v>
      </c>
      <c r="B23" s="5">
        <v>720</v>
      </c>
      <c r="C23" s="6">
        <v>62258</v>
      </c>
      <c r="D23" s="6">
        <v>35850</v>
      </c>
      <c r="E23" s="5">
        <v>35606</v>
      </c>
      <c r="F23" s="5">
        <v>200</v>
      </c>
      <c r="G23" s="5">
        <v>430</v>
      </c>
      <c r="H23" s="5">
        <v>370</v>
      </c>
    </row>
    <row r="24" spans="1:20" ht="15.75" x14ac:dyDescent="0.25">
      <c r="A24" s="5">
        <v>6</v>
      </c>
      <c r="B24" s="5">
        <v>800</v>
      </c>
      <c r="C24" s="6">
        <v>62258</v>
      </c>
      <c r="D24" s="5">
        <v>36648</v>
      </c>
      <c r="E24" s="5">
        <v>36513</v>
      </c>
      <c r="F24" s="5">
        <v>180</v>
      </c>
      <c r="G24" s="5">
        <v>420</v>
      </c>
      <c r="H24" s="5">
        <v>390</v>
      </c>
    </row>
    <row r="25" spans="1:20" ht="15.75" x14ac:dyDescent="0.25">
      <c r="A25" s="5">
        <v>7</v>
      </c>
      <c r="B25" s="5">
        <v>810</v>
      </c>
      <c r="C25" s="6">
        <v>62258</v>
      </c>
      <c r="D25" s="5">
        <v>38958</v>
      </c>
      <c r="E25" s="5">
        <v>37898</v>
      </c>
      <c r="F25" s="5">
        <v>170</v>
      </c>
      <c r="G25" s="5">
        <v>420</v>
      </c>
      <c r="H25" s="5">
        <v>380</v>
      </c>
    </row>
    <row r="26" spans="1:20" ht="15.75" x14ac:dyDescent="0.25">
      <c r="A26" s="5">
        <v>8</v>
      </c>
      <c r="B26" s="5">
        <v>700</v>
      </c>
      <c r="C26" s="6">
        <v>62258</v>
      </c>
      <c r="D26" s="5">
        <v>36675</v>
      </c>
      <c r="E26" s="5">
        <v>36600</v>
      </c>
      <c r="F26" s="5">
        <v>180</v>
      </c>
      <c r="G26" s="5">
        <v>430</v>
      </c>
      <c r="H26" s="5">
        <v>370</v>
      </c>
    </row>
    <row r="27" spans="1:20" ht="15.75" x14ac:dyDescent="0.25">
      <c r="A27" s="5">
        <v>9</v>
      </c>
      <c r="B27" s="5">
        <v>770</v>
      </c>
      <c r="C27" s="6">
        <v>62258</v>
      </c>
      <c r="D27" s="5">
        <v>39940</v>
      </c>
      <c r="E27" s="5">
        <v>39011</v>
      </c>
      <c r="F27" s="5">
        <v>170</v>
      </c>
      <c r="G27" s="5">
        <v>410</v>
      </c>
      <c r="H27" s="5">
        <v>360</v>
      </c>
    </row>
    <row r="28" spans="1:20" ht="15.75" x14ac:dyDescent="0.25">
      <c r="A28" s="5">
        <v>10</v>
      </c>
      <c r="B28" s="5">
        <v>680</v>
      </c>
      <c r="C28" s="6">
        <v>62258</v>
      </c>
      <c r="D28" s="5">
        <v>42228</v>
      </c>
      <c r="E28" s="5">
        <v>40218</v>
      </c>
      <c r="F28" s="5">
        <v>170</v>
      </c>
      <c r="G28" s="5">
        <v>430</v>
      </c>
      <c r="H28" s="5">
        <v>370</v>
      </c>
    </row>
    <row r="29" spans="1:20" ht="15.75" x14ac:dyDescent="0.25">
      <c r="A29" s="5"/>
      <c r="B29" s="6">
        <f>AVERAGE(B19:B28)</f>
        <v>736</v>
      </c>
      <c r="C29" s="6">
        <f t="shared" ref="C29:H29" si="3">AVERAGE(C19:C28)</f>
        <v>61477.599999999999</v>
      </c>
      <c r="D29" s="6">
        <f t="shared" si="3"/>
        <v>38094.6</v>
      </c>
      <c r="E29" s="6">
        <f t="shared" si="3"/>
        <v>37438.1</v>
      </c>
      <c r="F29" s="6">
        <f t="shared" si="3"/>
        <v>182</v>
      </c>
      <c r="G29" s="6">
        <f t="shared" si="3"/>
        <v>422</v>
      </c>
      <c r="H29" s="6">
        <f t="shared" si="3"/>
        <v>375</v>
      </c>
    </row>
    <row r="30" spans="1:20" x14ac:dyDescent="0.25">
      <c r="A30" s="4" t="s">
        <v>45</v>
      </c>
      <c r="B30" s="7">
        <f>_xlfn.STDEV.S(B19:B28)</f>
        <v>47.187568984497034</v>
      </c>
      <c r="C30" s="7">
        <f t="shared" ref="C30:H30" si="4">_xlfn.STDEV.S(C19:C28)</f>
        <v>1278.8746963205147</v>
      </c>
      <c r="D30" s="7">
        <f t="shared" si="4"/>
        <v>1983.2812990373077</v>
      </c>
      <c r="E30" s="7">
        <f t="shared" si="4"/>
        <v>1616.8993269011319</v>
      </c>
      <c r="F30" s="7">
        <f t="shared" si="4"/>
        <v>11.352924243950934</v>
      </c>
      <c r="G30" s="7">
        <f t="shared" si="4"/>
        <v>9.1893658347268143</v>
      </c>
      <c r="H30" s="7">
        <f t="shared" si="4"/>
        <v>9.7182531580755001</v>
      </c>
    </row>
    <row r="35" spans="1:8" ht="15.75" x14ac:dyDescent="0.25">
      <c r="A35" s="19"/>
      <c r="B35" s="27" t="s">
        <v>0</v>
      </c>
      <c r="C35" s="19" t="s">
        <v>1</v>
      </c>
      <c r="D35" s="19" t="s">
        <v>2</v>
      </c>
      <c r="E35" s="19" t="s">
        <v>3</v>
      </c>
      <c r="F35" s="19" t="s">
        <v>4</v>
      </c>
      <c r="G35" s="19" t="s">
        <v>5</v>
      </c>
      <c r="H35" s="19" t="s">
        <v>6</v>
      </c>
    </row>
    <row r="36" spans="1:8" ht="15.75" x14ac:dyDescent="0.25">
      <c r="A36" s="5">
        <v>1</v>
      </c>
      <c r="B36" s="6">
        <v>820</v>
      </c>
      <c r="C36" s="6">
        <v>62258</v>
      </c>
      <c r="D36" s="6">
        <v>45230</v>
      </c>
      <c r="E36" s="6">
        <v>42240</v>
      </c>
      <c r="F36" s="5">
        <v>170</v>
      </c>
      <c r="G36" s="6">
        <v>420</v>
      </c>
      <c r="H36" s="6">
        <v>390</v>
      </c>
    </row>
    <row r="37" spans="1:8" ht="15.75" x14ac:dyDescent="0.25">
      <c r="A37" s="5">
        <v>2</v>
      </c>
      <c r="B37" s="6">
        <v>810</v>
      </c>
      <c r="C37" s="6">
        <v>62258</v>
      </c>
      <c r="D37" s="6">
        <v>38921</v>
      </c>
      <c r="E37" s="6">
        <v>36996</v>
      </c>
      <c r="F37" s="5">
        <v>180</v>
      </c>
      <c r="G37" s="6">
        <v>400</v>
      </c>
      <c r="H37" s="6">
        <v>350</v>
      </c>
    </row>
    <row r="38" spans="1:8" ht="15.75" x14ac:dyDescent="0.25">
      <c r="A38" s="5">
        <v>3</v>
      </c>
      <c r="B38" s="6">
        <v>790</v>
      </c>
      <c r="C38" s="6">
        <v>62258</v>
      </c>
      <c r="D38" s="6">
        <v>35088</v>
      </c>
      <c r="E38" s="6">
        <v>33002</v>
      </c>
      <c r="F38" s="5">
        <v>170</v>
      </c>
      <c r="G38" s="6">
        <v>410</v>
      </c>
      <c r="H38" s="6">
        <v>390</v>
      </c>
    </row>
    <row r="39" spans="1:8" ht="15.75" x14ac:dyDescent="0.25">
      <c r="A39" s="5">
        <v>4</v>
      </c>
      <c r="B39" s="5">
        <v>790</v>
      </c>
      <c r="C39" s="6">
        <v>62258</v>
      </c>
      <c r="D39" s="5">
        <v>44620</v>
      </c>
      <c r="E39" s="5">
        <v>43505</v>
      </c>
      <c r="F39" s="5">
        <v>170</v>
      </c>
      <c r="G39" s="5">
        <v>410</v>
      </c>
      <c r="H39" s="5">
        <v>380</v>
      </c>
    </row>
    <row r="40" spans="1:8" ht="15.75" x14ac:dyDescent="0.25">
      <c r="A40" s="5">
        <v>5</v>
      </c>
      <c r="B40" s="5">
        <v>800</v>
      </c>
      <c r="C40" s="6">
        <v>62258</v>
      </c>
      <c r="D40" s="5">
        <v>36505</v>
      </c>
      <c r="E40" s="5">
        <v>36001</v>
      </c>
      <c r="F40" s="5">
        <v>170</v>
      </c>
      <c r="G40" s="5">
        <v>390</v>
      </c>
      <c r="H40" s="5">
        <v>350</v>
      </c>
    </row>
    <row r="41" spans="1:8" ht="15.75" x14ac:dyDescent="0.25">
      <c r="A41" s="5">
        <v>6</v>
      </c>
      <c r="B41" s="5">
        <v>770</v>
      </c>
      <c r="C41" s="6">
        <v>62258</v>
      </c>
      <c r="D41" s="5">
        <v>38518</v>
      </c>
      <c r="E41" s="5">
        <v>35817</v>
      </c>
      <c r="F41" s="5">
        <v>160</v>
      </c>
      <c r="G41" s="5">
        <v>420</v>
      </c>
      <c r="H41" s="5">
        <v>390</v>
      </c>
    </row>
    <row r="42" spans="1:8" ht="15.75" x14ac:dyDescent="0.25">
      <c r="A42" s="5">
        <v>7</v>
      </c>
      <c r="B42" s="5">
        <v>760</v>
      </c>
      <c r="C42" s="6">
        <v>62258</v>
      </c>
      <c r="D42" s="5">
        <v>37998</v>
      </c>
      <c r="E42" s="5">
        <v>36118</v>
      </c>
      <c r="F42" s="5">
        <v>180</v>
      </c>
      <c r="G42" s="5">
        <v>430</v>
      </c>
      <c r="H42" s="5">
        <v>390</v>
      </c>
    </row>
    <row r="43" spans="1:8" ht="15.75" x14ac:dyDescent="0.25">
      <c r="A43" s="5">
        <v>8</v>
      </c>
      <c r="B43" s="5">
        <v>780</v>
      </c>
      <c r="C43" s="5">
        <v>60156</v>
      </c>
      <c r="D43" s="5">
        <v>36550</v>
      </c>
      <c r="E43" s="5">
        <v>36003</v>
      </c>
      <c r="F43" s="6">
        <f>7130-6950</f>
        <v>180</v>
      </c>
      <c r="G43" s="5">
        <v>430</v>
      </c>
      <c r="H43" s="5">
        <v>390</v>
      </c>
    </row>
    <row r="44" spans="1:8" ht="15.75" x14ac:dyDescent="0.25">
      <c r="A44" s="5">
        <v>9</v>
      </c>
      <c r="B44" s="5">
        <v>720</v>
      </c>
      <c r="C44" s="5">
        <v>62258</v>
      </c>
      <c r="D44" s="6">
        <v>28829</v>
      </c>
      <c r="E44" s="6">
        <v>28407</v>
      </c>
      <c r="F44" s="6">
        <f>8650-8450</f>
        <v>200</v>
      </c>
      <c r="G44" s="5">
        <v>420</v>
      </c>
      <c r="H44" s="5">
        <v>390</v>
      </c>
    </row>
    <row r="45" spans="1:8" ht="15.75" x14ac:dyDescent="0.25">
      <c r="A45" s="5">
        <v>10</v>
      </c>
      <c r="B45" s="5">
        <v>710</v>
      </c>
      <c r="C45" s="5">
        <v>62258</v>
      </c>
      <c r="D45" s="6">
        <v>29897</v>
      </c>
      <c r="E45" s="6">
        <v>29539</v>
      </c>
      <c r="F45" s="6">
        <f>9350-9160</f>
        <v>190</v>
      </c>
      <c r="G45" s="5">
        <v>400</v>
      </c>
      <c r="H45" s="5">
        <v>350</v>
      </c>
    </row>
    <row r="46" spans="1:8" ht="15.75" x14ac:dyDescent="0.25">
      <c r="A46" s="5"/>
      <c r="B46" s="6">
        <f>AVERAGE(B36:B45)</f>
        <v>775</v>
      </c>
      <c r="C46" s="6">
        <f t="shared" ref="C46:H46" si="5">AVERAGE(C36:C45)</f>
        <v>62047.8</v>
      </c>
      <c r="D46" s="6">
        <f t="shared" si="5"/>
        <v>37215.599999999999</v>
      </c>
      <c r="E46" s="6">
        <f t="shared" si="5"/>
        <v>35762.800000000003</v>
      </c>
      <c r="F46" s="6">
        <f t="shared" si="5"/>
        <v>177</v>
      </c>
      <c r="G46" s="6">
        <f t="shared" si="5"/>
        <v>413</v>
      </c>
      <c r="H46" s="6">
        <f t="shared" si="5"/>
        <v>377</v>
      </c>
    </row>
    <row r="47" spans="1:8" x14ac:dyDescent="0.25">
      <c r="A47" s="4" t="s">
        <v>45</v>
      </c>
      <c r="B47" s="7">
        <f>_xlfn.STDEV.S(B36:B45)</f>
        <v>36.285901761795401</v>
      </c>
      <c r="C47" s="7">
        <f t="shared" ref="C47:H47" si="6">_xlfn.STDEV.S(C36:C45)</f>
        <v>664.71076416739334</v>
      </c>
      <c r="D47" s="7">
        <f t="shared" si="6"/>
        <v>5308.7365561140987</v>
      </c>
      <c r="E47" s="7">
        <f t="shared" si="6"/>
        <v>4762.4176819949153</v>
      </c>
      <c r="F47" s="7">
        <f t="shared" si="6"/>
        <v>11.595018087284059</v>
      </c>
      <c r="G47" s="7">
        <f t="shared" si="6"/>
        <v>13.374935098492585</v>
      </c>
      <c r="H47" s="7">
        <f t="shared" si="6"/>
        <v>18.885620632287061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EC5E-2722-4F98-A2C3-34C07266B754}">
  <dimension ref="C4:N22"/>
  <sheetViews>
    <sheetView topLeftCell="E1" zoomScale="70" zoomScaleNormal="70" zoomScaleSheetLayoutView="100" workbookViewId="0">
      <selection activeCell="K4" sqref="K4"/>
    </sheetView>
  </sheetViews>
  <sheetFormatPr defaultRowHeight="23.25" x14ac:dyDescent="0.35"/>
  <cols>
    <col min="3" max="3" width="16.42578125" customWidth="1"/>
    <col min="4" max="4" width="35.140625" customWidth="1"/>
    <col min="5" max="5" width="19.140625" customWidth="1"/>
    <col min="6" max="6" width="17.7109375" customWidth="1"/>
    <col min="7" max="7" width="15.140625" customWidth="1"/>
    <col min="8" max="8" width="26.85546875" customWidth="1"/>
    <col min="9" max="9" width="18.5703125" customWidth="1"/>
    <col min="10" max="10" width="34.5703125" customWidth="1"/>
    <col min="11" max="11" width="30.28515625" style="32" customWidth="1"/>
    <col min="12" max="12" width="24.85546875" customWidth="1"/>
    <col min="13" max="13" width="27.5703125" customWidth="1"/>
    <col min="14" max="14" width="40.7109375" style="37" customWidth="1"/>
  </cols>
  <sheetData>
    <row r="4" spans="3:14" ht="25.5" x14ac:dyDescent="0.35">
      <c r="C4" s="33" t="s">
        <v>48</v>
      </c>
      <c r="D4" s="34" t="s">
        <v>0</v>
      </c>
      <c r="E4" s="35" t="s">
        <v>1</v>
      </c>
      <c r="F4" s="35" t="s">
        <v>2</v>
      </c>
      <c r="G4" s="35" t="s">
        <v>3</v>
      </c>
      <c r="H4" s="35" t="s">
        <v>4</v>
      </c>
      <c r="I4" s="35" t="s">
        <v>5</v>
      </c>
      <c r="J4" s="35" t="s">
        <v>6</v>
      </c>
      <c r="K4" s="36" t="s">
        <v>50</v>
      </c>
      <c r="L4" s="36" t="s">
        <v>51</v>
      </c>
      <c r="M4" s="38" t="s">
        <v>52</v>
      </c>
      <c r="N4" s="36" t="s">
        <v>55</v>
      </c>
    </row>
    <row r="5" spans="3:14" ht="26.25" x14ac:dyDescent="0.4">
      <c r="C5" s="33" t="s">
        <v>18</v>
      </c>
      <c r="D5" s="33">
        <v>742.84375</v>
      </c>
      <c r="E5" s="33">
        <v>61907.543750000004</v>
      </c>
      <c r="F5" s="33">
        <v>38422.162500000006</v>
      </c>
      <c r="G5" s="33">
        <v>37491.934375000004</v>
      </c>
      <c r="H5" s="33">
        <v>179.34375</v>
      </c>
      <c r="I5" s="33">
        <v>417.96875</v>
      </c>
      <c r="J5" s="33">
        <v>373.5</v>
      </c>
      <c r="K5" s="37"/>
      <c r="L5" s="37"/>
      <c r="M5" s="39"/>
    </row>
    <row r="6" spans="3:14" ht="26.25" x14ac:dyDescent="0.4">
      <c r="C6" s="33">
        <v>1</v>
      </c>
      <c r="D6" s="33">
        <v>784.33333333333303</v>
      </c>
      <c r="E6" s="33">
        <v>60832.166666666664</v>
      </c>
      <c r="F6" s="33">
        <v>35905.800000000003</v>
      </c>
      <c r="G6" s="33">
        <v>34847.866666666669</v>
      </c>
      <c r="H6" s="33">
        <v>167.33333333333334</v>
      </c>
      <c r="I6" s="33">
        <v>384.83333333333331</v>
      </c>
      <c r="J6" s="33">
        <v>339.33333333333331</v>
      </c>
      <c r="K6" s="37">
        <f>((D6-D5)/D5)*100</f>
        <v>5.58523691332572</v>
      </c>
      <c r="L6" s="37">
        <f>(E6-E5)/E5 *100</f>
        <v>-1.7370695365915563</v>
      </c>
      <c r="M6" s="40">
        <f xml:space="preserve"> (F6-F5)/F5 *100</f>
        <v>-6.5492474558140819</v>
      </c>
      <c r="N6" s="37">
        <f>(J6-J5)/J5 *100</f>
        <v>-9.1477019187862609</v>
      </c>
    </row>
    <row r="7" spans="3:14" ht="26.25" x14ac:dyDescent="0.4">
      <c r="C7" s="33">
        <v>2</v>
      </c>
      <c r="D7" s="33">
        <v>762</v>
      </c>
      <c r="E7" s="33">
        <v>60175</v>
      </c>
      <c r="F7" s="33">
        <v>38960.133333333331</v>
      </c>
      <c r="G7" s="33">
        <v>39614.300000000003</v>
      </c>
      <c r="H7" s="33">
        <v>172.33333333333334</v>
      </c>
      <c r="I7" s="33">
        <v>402.33333333333331</v>
      </c>
      <c r="J7" s="33">
        <v>358.66666666666669</v>
      </c>
      <c r="K7" s="37">
        <f>(D7-D5)/D5 *100</f>
        <v>2.5787724538302972</v>
      </c>
      <c r="L7" s="37">
        <f>(E7-E5)/E5 *100</f>
        <v>-2.7985987571991244</v>
      </c>
      <c r="M7" s="39">
        <f xml:space="preserve"> (F7-F5)/F5 *100</f>
        <v>1.4001576130269229</v>
      </c>
      <c r="N7" s="37">
        <f>(J7-J5)/J5 *100</f>
        <v>-3.9714413208389061</v>
      </c>
    </row>
    <row r="8" spans="3:14" ht="26.25" x14ac:dyDescent="0.4">
      <c r="C8" s="33">
        <v>3</v>
      </c>
      <c r="D8" s="33">
        <v>730.33333333333337</v>
      </c>
      <c r="E8" s="33">
        <v>61628.633333333331</v>
      </c>
      <c r="F8" s="33">
        <v>35769.833333333336</v>
      </c>
      <c r="G8" s="33">
        <v>34474.933333333334</v>
      </c>
      <c r="H8" s="33">
        <v>179.33333333333334</v>
      </c>
      <c r="I8" s="33">
        <v>398.66666666666669</v>
      </c>
      <c r="J8" s="33">
        <v>350.66666666666669</v>
      </c>
      <c r="K8" s="37">
        <f>(D8-D5)/D5 *100</f>
        <v>-1.6841249141110266</v>
      </c>
      <c r="L8" s="37">
        <f xml:space="preserve"> (E8-E5)/E5 *100</f>
        <v>-0.4505273505810396</v>
      </c>
      <c r="M8" s="39">
        <f xml:space="preserve"> (F8-F5)/F5 *100</f>
        <v>-6.9031230781626878</v>
      </c>
      <c r="N8" s="37">
        <f>(J8-J5)/J5 *100</f>
        <v>-6.1133422579205661</v>
      </c>
    </row>
    <row r="9" spans="3:14" ht="26.25" x14ac:dyDescent="0.4">
      <c r="C9" s="33">
        <v>4</v>
      </c>
      <c r="D9" s="33">
        <v>725.66666666666663</v>
      </c>
      <c r="E9" s="33">
        <v>61846.9</v>
      </c>
      <c r="F9" s="33">
        <v>36593.633333333331</v>
      </c>
      <c r="G9" s="33">
        <v>36088.620689655174</v>
      </c>
      <c r="H9" s="33">
        <v>177</v>
      </c>
      <c r="I9" s="33">
        <v>416.33333333333331</v>
      </c>
      <c r="J9" s="33">
        <v>345</v>
      </c>
      <c r="K9" s="37">
        <f>(D9-D5)/D5 *100</f>
        <v>-2.3123413683339695</v>
      </c>
      <c r="L9" s="37">
        <f>( E9-E5)/E5 *100</f>
        <v>-9.7958578755602627E-2</v>
      </c>
      <c r="M9" s="39">
        <f xml:space="preserve"> (F9-F5)/F5 *100</f>
        <v>-4.7590480277279399</v>
      </c>
      <c r="N9" s="37">
        <f>(J9-J5)/J5 *100</f>
        <v>-7.6305220883534144</v>
      </c>
    </row>
    <row r="16" spans="3:14" x14ac:dyDescent="0.35">
      <c r="J16" t="s">
        <v>53</v>
      </c>
    </row>
    <row r="17" spans="7:10" x14ac:dyDescent="0.35">
      <c r="J17" t="s">
        <v>54</v>
      </c>
    </row>
    <row r="22" spans="7:10" x14ac:dyDescent="0.35">
      <c r="G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2F90-8B92-4640-B0AF-32D24693A50B}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51C3-8DBB-4263-9CB8-9D2E08310345}">
  <dimension ref="A1:S44"/>
  <sheetViews>
    <sheetView topLeftCell="A19" workbookViewId="0">
      <selection activeCell="S18" sqref="S18"/>
    </sheetView>
  </sheetViews>
  <sheetFormatPr defaultRowHeight="18.75" x14ac:dyDescent="0.25"/>
  <cols>
    <col min="1" max="1" width="11.7109375" style="15" customWidth="1"/>
    <col min="2" max="2" width="14.5703125" style="15" customWidth="1"/>
    <col min="3" max="3" width="18.28515625" style="15" customWidth="1"/>
    <col min="4" max="4" width="18.140625" style="15" customWidth="1"/>
    <col min="5" max="5" width="11.140625" style="15" customWidth="1"/>
    <col min="6" max="6" width="25.28515625" style="15" customWidth="1"/>
    <col min="7" max="7" width="24.7109375" style="15" customWidth="1"/>
    <col min="8" max="8" width="27.7109375" style="15" customWidth="1"/>
    <col min="9" max="9" width="21.42578125" style="15" customWidth="1"/>
    <col min="10" max="16384" width="9.140625" style="15"/>
  </cols>
  <sheetData>
    <row r="1" spans="1:13" s="11" customFormat="1" x14ac:dyDescent="0.25">
      <c r="A1" s="9"/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3" x14ac:dyDescent="0.25">
      <c r="A2" s="12">
        <v>1</v>
      </c>
      <c r="B2" s="13">
        <v>870</v>
      </c>
      <c r="C2" s="12">
        <v>62258</v>
      </c>
      <c r="D2" s="13">
        <v>42141</v>
      </c>
      <c r="E2" s="13">
        <v>41714</v>
      </c>
      <c r="F2" s="13">
        <v>150</v>
      </c>
      <c r="G2" s="13">
        <f xml:space="preserve"> 4840-4500</f>
        <v>340</v>
      </c>
      <c r="H2" s="13">
        <f>4770-4500</f>
        <v>270</v>
      </c>
      <c r="I2" s="15" t="s">
        <v>7</v>
      </c>
    </row>
    <row r="3" spans="1:13" x14ac:dyDescent="0.25">
      <c r="A3" s="12">
        <v>2</v>
      </c>
      <c r="B3" s="13">
        <v>770</v>
      </c>
      <c r="C3" s="13">
        <v>61954</v>
      </c>
      <c r="D3" s="13">
        <v>39513</v>
      </c>
      <c r="E3" s="13">
        <v>39483</v>
      </c>
      <c r="F3" s="13">
        <f>3040-2880</f>
        <v>160</v>
      </c>
      <c r="G3" s="13">
        <f>3240-2880</f>
        <v>360</v>
      </c>
      <c r="H3" s="13">
        <f>3210-2880</f>
        <v>330</v>
      </c>
      <c r="I3" s="15" t="s">
        <v>8</v>
      </c>
    </row>
    <row r="4" spans="1:13" x14ac:dyDescent="0.25">
      <c r="A4" s="12">
        <v>3</v>
      </c>
      <c r="B4" s="13">
        <v>640</v>
      </c>
      <c r="C4" s="13">
        <v>62258</v>
      </c>
      <c r="D4" s="13">
        <v>36430</v>
      </c>
      <c r="E4" s="13">
        <v>35849</v>
      </c>
      <c r="F4" s="13">
        <f>4590-4440</f>
        <v>150</v>
      </c>
      <c r="G4" s="13">
        <f>4840 -4440</f>
        <v>400</v>
      </c>
      <c r="H4" s="13">
        <f>4770-4440</f>
        <v>330</v>
      </c>
      <c r="I4" s="15" t="s">
        <v>8</v>
      </c>
    </row>
    <row r="5" spans="1:13" x14ac:dyDescent="0.25">
      <c r="A5" s="12">
        <v>4</v>
      </c>
      <c r="B5" s="13">
        <v>1020</v>
      </c>
      <c r="C5" s="13">
        <v>50246</v>
      </c>
      <c r="D5" s="13">
        <v>34230</v>
      </c>
      <c r="E5" s="13">
        <v>34063</v>
      </c>
      <c r="F5" s="13">
        <f>8110-7960</f>
        <v>150</v>
      </c>
      <c r="G5" s="13">
        <f>8430-7960</f>
        <v>470</v>
      </c>
      <c r="H5" s="13">
        <f>8380-7960</f>
        <v>420</v>
      </c>
      <c r="I5" s="15" t="s">
        <v>9</v>
      </c>
    </row>
    <row r="6" spans="1:13" x14ac:dyDescent="0.25">
      <c r="A6" s="12">
        <v>5</v>
      </c>
      <c r="B6" s="13">
        <v>880</v>
      </c>
      <c r="C6" s="13">
        <v>57615</v>
      </c>
      <c r="D6" s="13">
        <v>37771</v>
      </c>
      <c r="E6" s="13">
        <v>37754</v>
      </c>
      <c r="F6" s="13">
        <f>9150-8980</f>
        <v>170</v>
      </c>
      <c r="G6" s="13">
        <f>9350-8980</f>
        <v>370</v>
      </c>
      <c r="H6" s="13">
        <f>9330-8980</f>
        <v>350</v>
      </c>
      <c r="I6" s="15" t="s">
        <v>9</v>
      </c>
    </row>
    <row r="7" spans="1:13" x14ac:dyDescent="0.25">
      <c r="A7" s="12">
        <v>6</v>
      </c>
      <c r="B7" s="13">
        <v>830</v>
      </c>
      <c r="C7" s="13">
        <v>62258</v>
      </c>
      <c r="D7" s="13">
        <v>31462</v>
      </c>
      <c r="E7" s="13">
        <v>29755</v>
      </c>
      <c r="F7" s="13">
        <f>9280-9120</f>
        <v>160</v>
      </c>
      <c r="G7" s="13">
        <f>9510-9120</f>
        <v>390</v>
      </c>
      <c r="H7" s="13">
        <f>9430-9120</f>
        <v>310</v>
      </c>
      <c r="I7" s="15" t="s">
        <v>10</v>
      </c>
    </row>
    <row r="8" spans="1:13" x14ac:dyDescent="0.25">
      <c r="A8" s="12">
        <v>7</v>
      </c>
      <c r="B8" s="13">
        <v>790</v>
      </c>
      <c r="C8" s="13">
        <v>54299</v>
      </c>
      <c r="D8" s="13">
        <v>41408</v>
      </c>
      <c r="E8" s="13">
        <v>39112</v>
      </c>
      <c r="F8" s="13">
        <f>8480-8330</f>
        <v>150</v>
      </c>
      <c r="G8" s="13">
        <f>8710-8330</f>
        <v>380</v>
      </c>
      <c r="H8" s="13">
        <f>8650-8330</f>
        <v>320</v>
      </c>
      <c r="I8" s="15" t="s">
        <v>11</v>
      </c>
    </row>
    <row r="9" spans="1:13" x14ac:dyDescent="0.25">
      <c r="A9" s="12">
        <v>8</v>
      </c>
      <c r="B9" s="12">
        <v>780</v>
      </c>
      <c r="C9" s="13">
        <v>62258</v>
      </c>
      <c r="D9" s="12">
        <v>35510</v>
      </c>
      <c r="E9" s="12">
        <v>35480</v>
      </c>
      <c r="F9" s="12">
        <v>160</v>
      </c>
      <c r="G9" s="12">
        <v>370</v>
      </c>
      <c r="H9" s="12">
        <v>320</v>
      </c>
      <c r="I9" s="14"/>
      <c r="M9" s="15" t="s">
        <v>41</v>
      </c>
    </row>
    <row r="10" spans="1:13" x14ac:dyDescent="0.25">
      <c r="A10" s="12">
        <v>9</v>
      </c>
      <c r="B10" s="12">
        <v>820</v>
      </c>
      <c r="C10" s="13">
        <v>62258</v>
      </c>
      <c r="D10" s="12">
        <v>38629</v>
      </c>
      <c r="E10" s="12">
        <v>39120</v>
      </c>
      <c r="F10" s="12">
        <v>150</v>
      </c>
      <c r="G10" s="12">
        <v>390</v>
      </c>
      <c r="H10" s="12">
        <v>320</v>
      </c>
      <c r="M10" s="15" t="s">
        <v>42</v>
      </c>
    </row>
    <row r="11" spans="1:13" x14ac:dyDescent="0.25">
      <c r="A11" s="12">
        <v>10</v>
      </c>
      <c r="B11" s="12">
        <v>830</v>
      </c>
      <c r="C11" s="13">
        <v>62258</v>
      </c>
      <c r="D11" s="12">
        <v>37231</v>
      </c>
      <c r="E11" s="12">
        <v>36830</v>
      </c>
      <c r="F11" s="12">
        <v>160</v>
      </c>
      <c r="G11" s="12">
        <v>380</v>
      </c>
      <c r="H11" s="12">
        <v>310</v>
      </c>
    </row>
    <row r="12" spans="1:13" x14ac:dyDescent="0.25">
      <c r="A12" s="15" t="s">
        <v>43</v>
      </c>
      <c r="B12" s="15">
        <f>AVERAGE(B2:B11)</f>
        <v>823</v>
      </c>
      <c r="C12" s="15">
        <f t="shared" ref="C12:H12" si="0">AVERAGE(C2:C11)</f>
        <v>59766.2</v>
      </c>
      <c r="D12" s="15">
        <f t="shared" si="0"/>
        <v>37432.5</v>
      </c>
      <c r="E12" s="15">
        <f t="shared" si="0"/>
        <v>36916</v>
      </c>
      <c r="F12" s="15">
        <f t="shared" si="0"/>
        <v>156</v>
      </c>
      <c r="G12" s="15">
        <f t="shared" si="0"/>
        <v>385</v>
      </c>
      <c r="H12" s="15">
        <f t="shared" si="0"/>
        <v>328</v>
      </c>
    </row>
    <row r="13" spans="1:13" x14ac:dyDescent="0.25">
      <c r="A13" s="15" t="s">
        <v>45</v>
      </c>
      <c r="B13" s="15">
        <f xml:space="preserve"> _xlfn.STDEV.S(B2:B11)</f>
        <v>96.384646080171919</v>
      </c>
      <c r="C13" s="15">
        <f t="shared" ref="C13:H13" si="1" xml:space="preserve"> _xlfn.STDEV.S(C2:C11)</f>
        <v>4310.1046339451614</v>
      </c>
      <c r="D13" s="15">
        <f t="shared" si="1"/>
        <v>3240.2629951560689</v>
      </c>
      <c r="E13" s="15">
        <f t="shared" si="1"/>
        <v>3376.7189861033908</v>
      </c>
      <c r="F13" s="15">
        <f t="shared" si="1"/>
        <v>6.99205898780101</v>
      </c>
      <c r="G13" s="15">
        <f t="shared" si="1"/>
        <v>34.399612400917157</v>
      </c>
      <c r="H13" s="15">
        <f t="shared" si="1"/>
        <v>38.239014399199966</v>
      </c>
    </row>
    <row r="17" spans="1:19" x14ac:dyDescent="0.25">
      <c r="A17" s="9"/>
      <c r="B17" s="10" t="s">
        <v>0</v>
      </c>
      <c r="C17" s="9" t="s">
        <v>1</v>
      </c>
      <c r="D17" s="9" t="s">
        <v>2</v>
      </c>
      <c r="E17" s="9" t="s">
        <v>3</v>
      </c>
      <c r="F17" s="9" t="s">
        <v>4</v>
      </c>
      <c r="G17" s="9" t="s">
        <v>5</v>
      </c>
      <c r="H17" s="9" t="s">
        <v>6</v>
      </c>
    </row>
    <row r="18" spans="1:19" x14ac:dyDescent="0.25">
      <c r="A18" s="12">
        <v>1</v>
      </c>
      <c r="B18" s="26">
        <v>860</v>
      </c>
      <c r="C18" s="26">
        <v>60090</v>
      </c>
      <c r="D18" s="26">
        <v>39154</v>
      </c>
      <c r="E18" s="26">
        <v>39093</v>
      </c>
      <c r="F18" s="13">
        <v>180</v>
      </c>
      <c r="G18" s="13">
        <v>440</v>
      </c>
      <c r="H18" s="13">
        <v>330</v>
      </c>
      <c r="M18" s="15">
        <f>AVERAGE(B2:B11,B18:B27,B33:B42)</f>
        <v>784.33333333333337</v>
      </c>
      <c r="N18" s="15">
        <f t="shared" ref="N18:S18" si="2">AVERAGE(C2:C11,C18:C27,C33:C42)</f>
        <v>60832.166666666664</v>
      </c>
      <c r="O18" s="15">
        <f t="shared" si="2"/>
        <v>35905.800000000003</v>
      </c>
      <c r="P18" s="15">
        <f t="shared" si="2"/>
        <v>34847.866666666669</v>
      </c>
      <c r="Q18" s="15">
        <f t="shared" si="2"/>
        <v>167.33333333333334</v>
      </c>
      <c r="R18" s="15">
        <f t="shared" si="2"/>
        <v>384.83333333333331</v>
      </c>
      <c r="S18" s="15">
        <f t="shared" si="2"/>
        <v>339.33333333333331</v>
      </c>
    </row>
    <row r="19" spans="1:19" x14ac:dyDescent="0.25">
      <c r="A19" s="12">
        <v>2</v>
      </c>
      <c r="B19" s="13">
        <v>640</v>
      </c>
      <c r="C19" s="26">
        <v>56275</v>
      </c>
      <c r="D19" s="26">
        <v>26115</v>
      </c>
      <c r="E19" s="26">
        <v>24763</v>
      </c>
      <c r="F19" s="13">
        <v>160</v>
      </c>
      <c r="G19" s="13">
        <v>310</v>
      </c>
      <c r="H19" s="13">
        <v>250</v>
      </c>
    </row>
    <row r="20" spans="1:19" x14ac:dyDescent="0.25">
      <c r="A20" s="12">
        <v>3</v>
      </c>
      <c r="B20" s="13">
        <v>810</v>
      </c>
      <c r="C20" s="26">
        <v>55230</v>
      </c>
      <c r="D20" s="26">
        <v>35452</v>
      </c>
      <c r="E20" s="26">
        <v>34875</v>
      </c>
      <c r="F20" s="13">
        <v>170</v>
      </c>
      <c r="G20" s="13">
        <v>360</v>
      </c>
      <c r="H20" s="13">
        <v>310</v>
      </c>
    </row>
    <row r="21" spans="1:19" x14ac:dyDescent="0.25">
      <c r="A21" s="12">
        <v>4</v>
      </c>
      <c r="B21" s="13">
        <v>760</v>
      </c>
      <c r="C21" s="26">
        <v>61631</v>
      </c>
      <c r="D21" s="26">
        <v>29394</v>
      </c>
      <c r="E21" s="26">
        <v>21491</v>
      </c>
      <c r="F21" s="13">
        <v>180</v>
      </c>
      <c r="G21" s="13">
        <v>420</v>
      </c>
      <c r="H21" s="13">
        <v>400</v>
      </c>
    </row>
    <row r="22" spans="1:19" x14ac:dyDescent="0.25">
      <c r="A22" s="12">
        <v>5</v>
      </c>
      <c r="B22" s="13">
        <v>720</v>
      </c>
      <c r="C22" s="26">
        <v>62258</v>
      </c>
      <c r="D22" s="26">
        <v>29634</v>
      </c>
      <c r="E22" s="13">
        <v>28863</v>
      </c>
      <c r="F22" s="13">
        <v>180</v>
      </c>
      <c r="G22" s="13">
        <v>380</v>
      </c>
      <c r="H22" s="13">
        <v>320</v>
      </c>
    </row>
    <row r="23" spans="1:19" x14ac:dyDescent="0.25">
      <c r="A23" s="12">
        <v>6</v>
      </c>
      <c r="B23" s="13">
        <v>780</v>
      </c>
      <c r="C23" s="26">
        <v>62258</v>
      </c>
      <c r="D23" s="26">
        <v>30991</v>
      </c>
      <c r="E23" s="26">
        <v>30423</v>
      </c>
      <c r="F23" s="13">
        <v>160</v>
      </c>
      <c r="G23" s="13">
        <v>360</v>
      </c>
      <c r="H23" s="13">
        <v>320</v>
      </c>
    </row>
    <row r="24" spans="1:19" x14ac:dyDescent="0.25">
      <c r="A24" s="12">
        <v>7</v>
      </c>
      <c r="B24" s="13">
        <v>690</v>
      </c>
      <c r="C24" s="26">
        <v>62258</v>
      </c>
      <c r="D24" s="26">
        <v>32321</v>
      </c>
      <c r="E24" s="26">
        <v>31770</v>
      </c>
      <c r="F24" s="13">
        <v>180</v>
      </c>
      <c r="G24" s="13">
        <v>400</v>
      </c>
      <c r="H24" s="13">
        <v>380</v>
      </c>
    </row>
    <row r="25" spans="1:19" x14ac:dyDescent="0.25">
      <c r="A25" s="12">
        <v>8</v>
      </c>
      <c r="B25" s="12">
        <v>790</v>
      </c>
      <c r="C25" s="26">
        <v>62258</v>
      </c>
      <c r="D25" s="26">
        <v>33551</v>
      </c>
      <c r="E25" s="26">
        <v>33079</v>
      </c>
      <c r="F25" s="12">
        <v>170</v>
      </c>
      <c r="G25" s="12">
        <v>350</v>
      </c>
      <c r="H25" s="12">
        <v>300</v>
      </c>
    </row>
    <row r="26" spans="1:19" x14ac:dyDescent="0.25">
      <c r="A26" s="12">
        <v>9</v>
      </c>
      <c r="B26" s="12">
        <v>790</v>
      </c>
      <c r="C26" s="26">
        <v>62258</v>
      </c>
      <c r="D26" s="26">
        <v>34053</v>
      </c>
      <c r="E26" s="26">
        <v>33830</v>
      </c>
      <c r="F26" s="12">
        <v>180</v>
      </c>
      <c r="G26" s="12">
        <v>420</v>
      </c>
      <c r="H26" s="12">
        <v>380</v>
      </c>
    </row>
    <row r="27" spans="1:19" x14ac:dyDescent="0.25">
      <c r="A27" s="12">
        <v>10</v>
      </c>
      <c r="B27" s="12">
        <v>760</v>
      </c>
      <c r="C27" s="26">
        <v>62258</v>
      </c>
      <c r="D27" s="26">
        <v>33754</v>
      </c>
      <c r="E27" s="26">
        <v>33620</v>
      </c>
      <c r="F27" s="12">
        <v>180</v>
      </c>
      <c r="G27" s="12">
        <v>410</v>
      </c>
      <c r="H27" s="12">
        <v>380</v>
      </c>
    </row>
    <row r="28" spans="1:19" x14ac:dyDescent="0.25">
      <c r="A28" s="12" t="s">
        <v>43</v>
      </c>
      <c r="B28" s="12">
        <f>AVERAGE(B18:B27)</f>
        <v>760</v>
      </c>
      <c r="C28" s="12">
        <f t="shared" ref="C28:H28" si="3">AVERAGE(C18:C27)</f>
        <v>60677.4</v>
      </c>
      <c r="D28" s="12">
        <f t="shared" si="3"/>
        <v>32441.9</v>
      </c>
      <c r="E28" s="12">
        <f t="shared" si="3"/>
        <v>31180.7</v>
      </c>
      <c r="F28" s="12">
        <f t="shared" si="3"/>
        <v>174</v>
      </c>
      <c r="G28" s="12">
        <f t="shared" si="3"/>
        <v>385</v>
      </c>
      <c r="H28" s="12">
        <f t="shared" si="3"/>
        <v>337</v>
      </c>
    </row>
    <row r="29" spans="1:19" x14ac:dyDescent="0.25">
      <c r="A29" s="15" t="s">
        <v>45</v>
      </c>
      <c r="B29" s="15">
        <f xml:space="preserve"> _xlfn.STDEV.S(B18:B27)</f>
        <v>62.893207547044028</v>
      </c>
      <c r="C29" s="15">
        <f t="shared" ref="C29:H29" si="4" xml:space="preserve"> _xlfn.STDEV.S(C18:C27)</f>
        <v>2693.6027588013458</v>
      </c>
      <c r="D29" s="15">
        <f t="shared" si="4"/>
        <v>3635.9887681650202</v>
      </c>
      <c r="E29" s="15">
        <f t="shared" si="4"/>
        <v>5101.1451666376988</v>
      </c>
      <c r="F29" s="15">
        <f t="shared" si="4"/>
        <v>8.4327404271156787</v>
      </c>
      <c r="G29" s="15">
        <f t="shared" si="4"/>
        <v>40.069384267237695</v>
      </c>
      <c r="H29" s="15">
        <f t="shared" si="4"/>
        <v>46.916000587338125</v>
      </c>
    </row>
    <row r="32" spans="1:19" x14ac:dyDescent="0.25">
      <c r="A32" s="28"/>
      <c r="B32" s="29" t="s">
        <v>0</v>
      </c>
      <c r="C32" s="28" t="s">
        <v>1</v>
      </c>
      <c r="D32" s="28" t="s">
        <v>2</v>
      </c>
      <c r="E32" s="28" t="s">
        <v>3</v>
      </c>
      <c r="F32" s="28" t="s">
        <v>4</v>
      </c>
      <c r="G32" s="28" t="s">
        <v>5</v>
      </c>
      <c r="H32" s="28" t="s">
        <v>6</v>
      </c>
    </row>
    <row r="33" spans="1:8" x14ac:dyDescent="0.25">
      <c r="A33" s="30">
        <v>1</v>
      </c>
      <c r="B33" s="31">
        <v>710</v>
      </c>
      <c r="C33" s="31">
        <v>60207</v>
      </c>
      <c r="D33" s="31">
        <v>36414</v>
      </c>
      <c r="E33" s="31">
        <v>34051</v>
      </c>
      <c r="F33" s="31">
        <v>160</v>
      </c>
      <c r="G33" s="31">
        <v>300</v>
      </c>
      <c r="H33" s="31">
        <v>250</v>
      </c>
    </row>
    <row r="34" spans="1:8" x14ac:dyDescent="0.25">
      <c r="A34" s="30">
        <v>2</v>
      </c>
      <c r="B34" s="31">
        <v>770</v>
      </c>
      <c r="C34" s="31">
        <v>62258</v>
      </c>
      <c r="D34" s="31">
        <v>28787</v>
      </c>
      <c r="E34" s="31">
        <v>28636</v>
      </c>
      <c r="F34" s="31">
        <v>180</v>
      </c>
      <c r="G34" s="31">
        <v>400</v>
      </c>
      <c r="H34" s="31">
        <v>350</v>
      </c>
    </row>
    <row r="35" spans="1:8" x14ac:dyDescent="0.25">
      <c r="A35" s="30">
        <v>3</v>
      </c>
      <c r="B35" s="31">
        <v>770</v>
      </c>
      <c r="C35" s="31">
        <v>62258</v>
      </c>
      <c r="D35" s="30">
        <v>44158</v>
      </c>
      <c r="E35" s="31">
        <v>42144</v>
      </c>
      <c r="F35" s="30">
        <v>170</v>
      </c>
      <c r="G35" s="31">
        <v>370</v>
      </c>
      <c r="H35" s="31">
        <v>340</v>
      </c>
    </row>
    <row r="36" spans="1:8" x14ac:dyDescent="0.25">
      <c r="A36" s="30">
        <v>4</v>
      </c>
      <c r="B36" s="31">
        <v>770</v>
      </c>
      <c r="C36" s="31">
        <v>62258</v>
      </c>
      <c r="D36" s="30">
        <v>40569</v>
      </c>
      <c r="E36" s="31">
        <v>39590</v>
      </c>
      <c r="F36" s="30">
        <v>180</v>
      </c>
      <c r="G36" s="31">
        <v>400</v>
      </c>
      <c r="H36" s="31">
        <v>380</v>
      </c>
    </row>
    <row r="37" spans="1:8" x14ac:dyDescent="0.25">
      <c r="A37" s="30">
        <v>5</v>
      </c>
      <c r="B37" s="31">
        <v>770</v>
      </c>
      <c r="C37" s="31">
        <v>62258</v>
      </c>
      <c r="D37" s="30">
        <v>37780</v>
      </c>
      <c r="E37" s="31">
        <v>36643</v>
      </c>
      <c r="F37" s="30">
        <v>160</v>
      </c>
      <c r="G37" s="31">
        <v>410</v>
      </c>
      <c r="H37" s="31">
        <v>390</v>
      </c>
    </row>
    <row r="38" spans="1:8" x14ac:dyDescent="0.25">
      <c r="A38" s="30">
        <v>6</v>
      </c>
      <c r="B38" s="31">
        <v>800</v>
      </c>
      <c r="C38" s="31">
        <v>62258</v>
      </c>
      <c r="D38" s="31">
        <v>34230</v>
      </c>
      <c r="E38" s="30">
        <v>30016</v>
      </c>
      <c r="F38" s="31">
        <v>180</v>
      </c>
      <c r="G38" s="31">
        <v>430</v>
      </c>
      <c r="H38" s="31">
        <v>390</v>
      </c>
    </row>
    <row r="39" spans="1:8" x14ac:dyDescent="0.25">
      <c r="A39" s="30">
        <v>7</v>
      </c>
      <c r="B39" s="31">
        <v>780</v>
      </c>
      <c r="C39" s="31">
        <v>62258</v>
      </c>
      <c r="D39" s="31">
        <v>37771</v>
      </c>
      <c r="E39" s="30">
        <v>35813</v>
      </c>
      <c r="F39" s="31">
        <v>160</v>
      </c>
      <c r="G39" s="31">
        <v>380</v>
      </c>
      <c r="H39" s="31">
        <v>370</v>
      </c>
    </row>
    <row r="40" spans="1:8" x14ac:dyDescent="0.25">
      <c r="A40" s="30">
        <v>8</v>
      </c>
      <c r="B40" s="30">
        <v>790</v>
      </c>
      <c r="C40" s="31">
        <v>62258</v>
      </c>
      <c r="D40" s="31">
        <v>39154</v>
      </c>
      <c r="E40" s="31">
        <v>38995</v>
      </c>
      <c r="F40" s="31">
        <v>170</v>
      </c>
      <c r="G40" s="30">
        <v>385</v>
      </c>
      <c r="H40" s="30">
        <v>350</v>
      </c>
    </row>
    <row r="41" spans="1:8" x14ac:dyDescent="0.25">
      <c r="A41" s="30">
        <v>9</v>
      </c>
      <c r="B41" s="30">
        <v>770</v>
      </c>
      <c r="C41" s="31">
        <v>62258</v>
      </c>
      <c r="D41" s="31">
        <v>40115</v>
      </c>
      <c r="E41" s="31">
        <v>40225</v>
      </c>
      <c r="F41" s="31">
        <v>180</v>
      </c>
      <c r="G41" s="30">
        <v>370</v>
      </c>
      <c r="H41" s="30">
        <v>340</v>
      </c>
    </row>
    <row r="42" spans="1:8" x14ac:dyDescent="0.25">
      <c r="A42" s="30">
        <v>10</v>
      </c>
      <c r="B42" s="30">
        <v>770</v>
      </c>
      <c r="C42" s="31">
        <v>62258</v>
      </c>
      <c r="D42" s="31">
        <v>39452</v>
      </c>
      <c r="E42" s="31">
        <v>38356</v>
      </c>
      <c r="F42" s="31">
        <v>180</v>
      </c>
      <c r="G42" s="30">
        <v>400</v>
      </c>
      <c r="H42" s="30">
        <v>370</v>
      </c>
    </row>
    <row r="43" spans="1:8" x14ac:dyDescent="0.25">
      <c r="A43" s="30" t="s">
        <v>43</v>
      </c>
      <c r="B43" s="30">
        <f>AVERAGE(B33:B42)</f>
        <v>770</v>
      </c>
      <c r="C43" s="30">
        <f t="shared" ref="C43:H43" si="5">AVERAGE(C33:C42)</f>
        <v>62052.9</v>
      </c>
      <c r="D43" s="30">
        <f t="shared" si="5"/>
        <v>37843</v>
      </c>
      <c r="E43" s="30">
        <f t="shared" si="5"/>
        <v>36446.9</v>
      </c>
      <c r="F43" s="30">
        <f t="shared" si="5"/>
        <v>172</v>
      </c>
      <c r="G43" s="30">
        <f t="shared" si="5"/>
        <v>384.5</v>
      </c>
      <c r="H43" s="30">
        <f t="shared" si="5"/>
        <v>353</v>
      </c>
    </row>
    <row r="44" spans="1:8" x14ac:dyDescent="0.25">
      <c r="A44" s="30" t="s">
        <v>45</v>
      </c>
      <c r="B44" s="30">
        <f xml:space="preserve"> _xlfn.STDEV.S(B33:B42)</f>
        <v>23.570226039551585</v>
      </c>
      <c r="C44" s="30">
        <f t="shared" ref="C44:H44" si="6" xml:space="preserve"> _xlfn.STDEV.S(C33:C42)</f>
        <v>648.58314810053446</v>
      </c>
      <c r="D44" s="30">
        <f t="shared" si="6"/>
        <v>4135.1606982075073</v>
      </c>
      <c r="E44" s="30">
        <f t="shared" si="6"/>
        <v>4413.2980474420165</v>
      </c>
      <c r="F44" s="30">
        <f xml:space="preserve"> _xlfn.STDEV.S(F33:F42)</f>
        <v>9.1893658347268143</v>
      </c>
      <c r="G44" s="30">
        <f t="shared" si="6"/>
        <v>34.996031521048529</v>
      </c>
      <c r="H44" s="30">
        <f t="shared" si="6"/>
        <v>40.838435055444741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58DC-70A5-41EE-BBC1-A372E2673FBF}">
  <dimension ref="A1:P66"/>
  <sheetViews>
    <sheetView tabSelected="1" topLeftCell="A40" zoomScale="80" zoomScaleNormal="80" workbookViewId="0">
      <selection activeCell="E57" sqref="E57"/>
    </sheetView>
  </sheetViews>
  <sheetFormatPr defaultRowHeight="18.75" x14ac:dyDescent="0.25"/>
  <cols>
    <col min="1" max="1" width="10.5703125" style="15" customWidth="1"/>
    <col min="2" max="2" width="13.5703125" style="15" customWidth="1"/>
    <col min="3" max="3" width="18.85546875" style="15" customWidth="1"/>
    <col min="4" max="4" width="19.140625" style="15" customWidth="1"/>
    <col min="5" max="5" width="9.5703125" style="15" customWidth="1"/>
    <col min="6" max="6" width="24.5703125" style="15" customWidth="1"/>
    <col min="7" max="7" width="25.85546875" style="15" customWidth="1"/>
    <col min="8" max="8" width="27.5703125" style="15" customWidth="1"/>
    <col min="9" max="9" width="20.28515625" style="15" customWidth="1"/>
    <col min="10" max="16384" width="9.140625" style="15"/>
  </cols>
  <sheetData>
    <row r="1" spans="1:9" s="11" customFormat="1" x14ac:dyDescent="0.25">
      <c r="A1" s="9"/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9" x14ac:dyDescent="0.25">
      <c r="A2" s="12">
        <v>1</v>
      </c>
      <c r="B2" s="13">
        <v>720</v>
      </c>
      <c r="C2" s="13">
        <v>62258</v>
      </c>
      <c r="D2" s="13">
        <v>39419</v>
      </c>
      <c r="E2" s="13">
        <v>39252</v>
      </c>
      <c r="F2" s="13">
        <f>510-340</f>
        <v>170</v>
      </c>
      <c r="G2" s="12">
        <f>750-340</f>
        <v>410</v>
      </c>
      <c r="H2" s="12">
        <f>710-340</f>
        <v>370</v>
      </c>
    </row>
    <row r="3" spans="1:9" x14ac:dyDescent="0.25">
      <c r="A3" s="12">
        <v>2</v>
      </c>
      <c r="B3" s="13">
        <v>720</v>
      </c>
      <c r="C3" s="13">
        <v>62258</v>
      </c>
      <c r="D3" s="13">
        <v>38382</v>
      </c>
      <c r="E3" s="13">
        <v>38371</v>
      </c>
      <c r="F3" s="13">
        <f>1230-1060</f>
        <v>170</v>
      </c>
      <c r="G3" s="12">
        <f>1460-1060</f>
        <v>400</v>
      </c>
      <c r="H3" s="12">
        <f>1440-1060</f>
        <v>380</v>
      </c>
      <c r="I3" s="15" t="s">
        <v>13</v>
      </c>
    </row>
    <row r="4" spans="1:9" x14ac:dyDescent="0.25">
      <c r="A4" s="12">
        <v>3</v>
      </c>
      <c r="B4" s="13">
        <v>690</v>
      </c>
      <c r="C4" s="13">
        <v>62258</v>
      </c>
      <c r="D4" s="13">
        <v>40463</v>
      </c>
      <c r="E4" s="13">
        <v>40362</v>
      </c>
      <c r="F4" s="13">
        <f>2670-2490</f>
        <v>180</v>
      </c>
      <c r="G4" s="12">
        <f>2890-2490</f>
        <v>400</v>
      </c>
      <c r="H4" s="12">
        <f>2860-2490</f>
        <v>370</v>
      </c>
    </row>
    <row r="5" spans="1:9" x14ac:dyDescent="0.25">
      <c r="A5" s="12">
        <v>4</v>
      </c>
      <c r="B5" s="13">
        <v>820</v>
      </c>
      <c r="C5" s="13">
        <v>44444</v>
      </c>
      <c r="D5" s="13">
        <v>30344</v>
      </c>
      <c r="E5" s="13">
        <v>30053</v>
      </c>
      <c r="F5" s="13">
        <f>350-150</f>
        <v>200</v>
      </c>
      <c r="G5" s="13">
        <f>560-150</f>
        <v>410</v>
      </c>
      <c r="H5" s="13">
        <f>520-150</f>
        <v>370</v>
      </c>
    </row>
    <row r="6" spans="1:9" x14ac:dyDescent="0.25">
      <c r="A6" s="12">
        <v>5</v>
      </c>
      <c r="B6" s="13">
        <v>800</v>
      </c>
      <c r="C6" s="13">
        <v>40060</v>
      </c>
      <c r="D6" s="13">
        <v>23976</v>
      </c>
      <c r="E6" s="13">
        <v>23521</v>
      </c>
      <c r="F6" s="13">
        <f>1960-1730</f>
        <v>230</v>
      </c>
      <c r="G6" s="13">
        <f>2190-1730</f>
        <v>460</v>
      </c>
      <c r="H6" s="13">
        <f>2130-1730</f>
        <v>400</v>
      </c>
      <c r="I6" s="15" t="s">
        <v>14</v>
      </c>
    </row>
    <row r="7" spans="1:9" x14ac:dyDescent="0.25">
      <c r="A7" s="12">
        <v>6</v>
      </c>
      <c r="B7" s="13">
        <v>770</v>
      </c>
      <c r="C7" s="13">
        <v>50410</v>
      </c>
      <c r="D7" s="13">
        <v>34929</v>
      </c>
      <c r="E7" s="13">
        <v>34689</v>
      </c>
      <c r="F7" s="13">
        <f>2730-2530</f>
        <v>200</v>
      </c>
      <c r="G7" s="13">
        <f>2940-2530</f>
        <v>410</v>
      </c>
      <c r="H7" s="13">
        <f>2900-2530</f>
        <v>370</v>
      </c>
    </row>
    <row r="8" spans="1:9" x14ac:dyDescent="0.25">
      <c r="A8" s="12">
        <v>7</v>
      </c>
      <c r="B8" s="13">
        <v>810</v>
      </c>
      <c r="C8" s="13">
        <v>62258</v>
      </c>
      <c r="D8" s="13">
        <v>46511</v>
      </c>
      <c r="E8" s="13">
        <v>46259</v>
      </c>
      <c r="F8" s="13">
        <f>3490-3300</f>
        <v>190</v>
      </c>
      <c r="G8" s="13">
        <f>3720-3300</f>
        <v>420</v>
      </c>
      <c r="H8" s="13">
        <f>3680-3300</f>
        <v>380</v>
      </c>
    </row>
    <row r="9" spans="1:9" x14ac:dyDescent="0.25">
      <c r="A9" s="12">
        <v>8</v>
      </c>
      <c r="B9" s="13">
        <v>820</v>
      </c>
      <c r="C9" s="13">
        <v>62258</v>
      </c>
      <c r="D9" s="13">
        <v>47378</v>
      </c>
      <c r="E9" s="13">
        <v>47354</v>
      </c>
      <c r="F9" s="13">
        <f>4280-4110</f>
        <v>170</v>
      </c>
      <c r="G9" s="13">
        <f>4520-4110</f>
        <v>410</v>
      </c>
      <c r="H9" s="13">
        <f>4500-4110</f>
        <v>390</v>
      </c>
    </row>
    <row r="10" spans="1:9" x14ac:dyDescent="0.25">
      <c r="A10" s="12">
        <v>9</v>
      </c>
      <c r="B10" s="13">
        <v>800</v>
      </c>
      <c r="C10" s="13">
        <v>62258</v>
      </c>
      <c r="D10" s="12">
        <v>47698</v>
      </c>
      <c r="E10" s="12">
        <v>47676</v>
      </c>
      <c r="F10" s="12">
        <v>170</v>
      </c>
      <c r="G10" s="12">
        <v>410</v>
      </c>
      <c r="H10" s="12">
        <v>370</v>
      </c>
    </row>
    <row r="11" spans="1:9" x14ac:dyDescent="0.25">
      <c r="A11" s="12">
        <v>10</v>
      </c>
      <c r="B11" s="13">
        <v>820</v>
      </c>
      <c r="C11" s="13">
        <v>62258</v>
      </c>
      <c r="D11" s="12">
        <v>48611</v>
      </c>
      <c r="E11" s="12">
        <v>48606</v>
      </c>
      <c r="F11" s="12">
        <v>180</v>
      </c>
      <c r="G11" s="12">
        <v>420</v>
      </c>
      <c r="H11" s="12">
        <v>370</v>
      </c>
    </row>
    <row r="12" spans="1:9" x14ac:dyDescent="0.25">
      <c r="B12" s="15">
        <f>AVERAGE(B2:B11)</f>
        <v>777</v>
      </c>
      <c r="C12" s="15">
        <f t="shared" ref="C12:H12" si="0">AVERAGE(C2:C11)</f>
        <v>57072</v>
      </c>
      <c r="D12" s="15">
        <f t="shared" si="0"/>
        <v>39771.1</v>
      </c>
      <c r="E12" s="15">
        <f t="shared" si="0"/>
        <v>39614.300000000003</v>
      </c>
      <c r="F12" s="15">
        <f t="shared" si="0"/>
        <v>186</v>
      </c>
      <c r="G12" s="15">
        <f t="shared" si="0"/>
        <v>415</v>
      </c>
      <c r="H12" s="15">
        <f t="shared" si="0"/>
        <v>377</v>
      </c>
    </row>
    <row r="13" spans="1:9" x14ac:dyDescent="0.25">
      <c r="A13" t="s">
        <v>46</v>
      </c>
      <c r="B13">
        <f>_xlfn.STDEV.S(B2:B11)</f>
        <v>49.227363664260281</v>
      </c>
      <c r="C13">
        <f t="shared" ref="C13:H13" si="1">_xlfn.STDEV.S(C2:C11)</f>
        <v>8701.972598848557</v>
      </c>
      <c r="D13">
        <f t="shared" si="1"/>
        <v>8223.3028299663929</v>
      </c>
      <c r="E13">
        <f t="shared" si="1"/>
        <v>8345.3521602013789</v>
      </c>
      <c r="F13">
        <f t="shared" si="1"/>
        <v>19.550504398153574</v>
      </c>
      <c r="G13">
        <f t="shared" si="1"/>
        <v>17.159383568311668</v>
      </c>
      <c r="H13">
        <f t="shared" si="1"/>
        <v>10.593499054713803</v>
      </c>
    </row>
    <row r="17" spans="1:16" x14ac:dyDescent="0.25">
      <c r="A17" s="9"/>
      <c r="B17" s="10" t="s">
        <v>0</v>
      </c>
      <c r="C17" s="9" t="s">
        <v>1</v>
      </c>
      <c r="D17" s="9" t="s">
        <v>2</v>
      </c>
      <c r="E17" s="9" t="s">
        <v>3</v>
      </c>
      <c r="F17" s="9" t="s">
        <v>4</v>
      </c>
      <c r="G17" s="9" t="s">
        <v>5</v>
      </c>
      <c r="H17" s="9" t="s">
        <v>6</v>
      </c>
      <c r="I17"/>
    </row>
    <row r="18" spans="1:16" x14ac:dyDescent="0.25">
      <c r="A18" s="12">
        <v>1</v>
      </c>
      <c r="B18" s="13">
        <v>750</v>
      </c>
      <c r="C18" s="13">
        <v>62258</v>
      </c>
      <c r="D18" s="13">
        <v>35806</v>
      </c>
      <c r="E18" s="13"/>
      <c r="F18" s="13">
        <v>170</v>
      </c>
      <c r="G18" s="13">
        <v>410</v>
      </c>
      <c r="H18" s="13">
        <v>380</v>
      </c>
      <c r="I18"/>
    </row>
    <row r="19" spans="1:16" x14ac:dyDescent="0.25">
      <c r="A19" s="12">
        <v>2</v>
      </c>
      <c r="B19" s="13">
        <v>760</v>
      </c>
      <c r="C19" s="13">
        <v>62258</v>
      </c>
      <c r="D19" s="13">
        <v>37714</v>
      </c>
      <c r="E19" s="13"/>
      <c r="F19" s="13">
        <v>180</v>
      </c>
      <c r="G19" s="13">
        <v>400</v>
      </c>
      <c r="H19" s="13">
        <v>370</v>
      </c>
      <c r="I19"/>
    </row>
    <row r="20" spans="1:16" x14ac:dyDescent="0.25">
      <c r="A20" s="12">
        <v>3</v>
      </c>
      <c r="B20" s="13">
        <v>770</v>
      </c>
      <c r="C20" s="13">
        <v>62258</v>
      </c>
      <c r="D20" s="13">
        <v>30420</v>
      </c>
      <c r="E20" s="13"/>
      <c r="F20" s="13">
        <f>3880-3700</f>
        <v>180</v>
      </c>
      <c r="G20" s="13">
        <v>410</v>
      </c>
      <c r="H20" s="13">
        <v>380</v>
      </c>
      <c r="I20"/>
    </row>
    <row r="21" spans="1:16" x14ac:dyDescent="0.25">
      <c r="A21" s="12">
        <v>4</v>
      </c>
      <c r="B21" s="13">
        <v>840</v>
      </c>
      <c r="C21" s="13">
        <v>62258</v>
      </c>
      <c r="D21" s="13">
        <v>39869</v>
      </c>
      <c r="E21" s="13"/>
      <c r="F21" s="13">
        <v>180</v>
      </c>
      <c r="G21" s="13">
        <v>400</v>
      </c>
      <c r="H21" s="13">
        <f>4880-4510</f>
        <v>370</v>
      </c>
      <c r="I21"/>
    </row>
    <row r="22" spans="1:16" x14ac:dyDescent="0.25">
      <c r="A22" s="12">
        <v>5</v>
      </c>
      <c r="B22" s="13">
        <v>630</v>
      </c>
      <c r="C22" s="13">
        <v>62258</v>
      </c>
      <c r="D22" s="13">
        <v>41397</v>
      </c>
      <c r="E22" s="13"/>
      <c r="F22" s="13">
        <v>160</v>
      </c>
      <c r="G22" s="12">
        <v>400</v>
      </c>
      <c r="H22" s="13">
        <v>370</v>
      </c>
      <c r="I22"/>
    </row>
    <row r="23" spans="1:16" x14ac:dyDescent="0.25">
      <c r="A23" s="12">
        <v>6</v>
      </c>
      <c r="B23" s="13">
        <v>620</v>
      </c>
      <c r="C23" s="13">
        <v>62258</v>
      </c>
      <c r="D23" s="13">
        <v>41664</v>
      </c>
      <c r="E23" s="13"/>
      <c r="F23" s="13">
        <f>1270-1090</f>
        <v>180</v>
      </c>
      <c r="G23" s="13">
        <v>420</v>
      </c>
      <c r="H23" s="13">
        <v>370</v>
      </c>
      <c r="I23"/>
    </row>
    <row r="24" spans="1:16" x14ac:dyDescent="0.25">
      <c r="A24" s="12">
        <v>7</v>
      </c>
      <c r="B24" s="13">
        <v>700</v>
      </c>
      <c r="C24" s="13">
        <v>62258</v>
      </c>
      <c r="D24" s="13">
        <v>43596</v>
      </c>
      <c r="E24" s="13"/>
      <c r="F24" s="13">
        <f>1900-1730</f>
        <v>170</v>
      </c>
      <c r="G24" s="13">
        <f>2140-1730</f>
        <v>410</v>
      </c>
      <c r="H24" s="13">
        <v>360</v>
      </c>
      <c r="I24"/>
    </row>
    <row r="25" spans="1:16" x14ac:dyDescent="0.25">
      <c r="A25" s="12">
        <v>8</v>
      </c>
      <c r="B25" s="13">
        <v>810</v>
      </c>
      <c r="C25" s="13">
        <v>62258</v>
      </c>
      <c r="D25" s="13">
        <v>45318</v>
      </c>
      <c r="E25" s="13"/>
      <c r="F25" s="13">
        <v>180</v>
      </c>
      <c r="G25" s="13">
        <v>400</v>
      </c>
      <c r="H25" s="13">
        <v>370</v>
      </c>
      <c r="I25"/>
    </row>
    <row r="26" spans="1:16" x14ac:dyDescent="0.25">
      <c r="A26" s="12">
        <v>9</v>
      </c>
      <c r="B26" s="13">
        <v>770</v>
      </c>
      <c r="C26" s="13">
        <v>62258</v>
      </c>
      <c r="D26" s="12">
        <v>44578</v>
      </c>
      <c r="E26" s="12"/>
      <c r="F26" s="12">
        <v>170</v>
      </c>
      <c r="G26" s="12">
        <v>400</v>
      </c>
      <c r="H26" s="12">
        <v>370</v>
      </c>
      <c r="I26"/>
      <c r="J26" s="15">
        <f>AVERAGE(B2:B11,B18:B27,B34:B43)</f>
        <v>762</v>
      </c>
      <c r="K26" s="15">
        <f t="shared" ref="K26:P26" si="2">AVERAGE(C2:C11,C18:C27,C34:C43)</f>
        <v>60175</v>
      </c>
      <c r="L26" s="15">
        <f t="shared" si="2"/>
        <v>38960.133333333331</v>
      </c>
      <c r="M26" s="15">
        <f t="shared" si="2"/>
        <v>39614.300000000003</v>
      </c>
      <c r="N26" s="15">
        <f t="shared" si="2"/>
        <v>172.33333333333334</v>
      </c>
      <c r="O26" s="15">
        <f t="shared" si="2"/>
        <v>402.33333333333331</v>
      </c>
      <c r="P26" s="15">
        <f t="shared" si="2"/>
        <v>358.66666666666669</v>
      </c>
    </row>
    <row r="27" spans="1:16" x14ac:dyDescent="0.25">
      <c r="A27" s="12">
        <v>10</v>
      </c>
      <c r="B27" s="13">
        <v>820</v>
      </c>
      <c r="C27" s="13">
        <v>62258</v>
      </c>
      <c r="D27" s="12">
        <v>41571</v>
      </c>
      <c r="E27" s="12"/>
      <c r="F27" s="12">
        <v>180</v>
      </c>
      <c r="G27" s="12">
        <v>420</v>
      </c>
      <c r="H27" s="12">
        <v>370</v>
      </c>
      <c r="I27"/>
    </row>
    <row r="28" spans="1:16" x14ac:dyDescent="0.25">
      <c r="A28"/>
      <c r="B28">
        <f>AVERAGE(B18:B27)</f>
        <v>747</v>
      </c>
      <c r="C28">
        <f t="shared" ref="C28:H28" si="3">AVERAGE(C18:C27)</f>
        <v>62258</v>
      </c>
      <c r="D28">
        <f t="shared" si="3"/>
        <v>40193.300000000003</v>
      </c>
      <c r="E28" t="e">
        <f t="shared" si="3"/>
        <v>#DIV/0!</v>
      </c>
      <c r="F28">
        <f t="shared" si="3"/>
        <v>175</v>
      </c>
      <c r="G28">
        <f t="shared" si="3"/>
        <v>407</v>
      </c>
      <c r="H28">
        <f t="shared" si="3"/>
        <v>371</v>
      </c>
      <c r="I28"/>
    </row>
    <row r="29" spans="1:16" x14ac:dyDescent="0.25">
      <c r="A29" t="s">
        <v>46</v>
      </c>
      <c r="B29">
        <f>_xlfn.STDEV.S(B18:B27)</f>
        <v>75.432088662584434</v>
      </c>
      <c r="C29">
        <f t="shared" ref="C29:H29" si="4">_xlfn.STDEV.S(C18:C27)</f>
        <v>0</v>
      </c>
      <c r="D29">
        <f t="shared" si="4"/>
        <v>4516.5659779674843</v>
      </c>
      <c r="E29" t="e">
        <f t="shared" si="4"/>
        <v>#DIV/0!</v>
      </c>
      <c r="F29">
        <f t="shared" si="4"/>
        <v>7.0710678118654755</v>
      </c>
      <c r="G29">
        <f t="shared" si="4"/>
        <v>8.232726023485645</v>
      </c>
      <c r="H29">
        <f t="shared" si="4"/>
        <v>5.676462121975467</v>
      </c>
      <c r="I29"/>
    </row>
    <row r="33" spans="1:8" x14ac:dyDescent="0.25">
      <c r="A33" s="9"/>
      <c r="B33" s="10" t="s">
        <v>0</v>
      </c>
      <c r="C33" s="9" t="s">
        <v>1</v>
      </c>
      <c r="D33" s="9" t="s">
        <v>2</v>
      </c>
      <c r="E33" s="9" t="s">
        <v>3</v>
      </c>
      <c r="F33" s="9" t="s">
        <v>4</v>
      </c>
      <c r="G33" s="9" t="s">
        <v>5</v>
      </c>
      <c r="H33" s="9" t="s">
        <v>6</v>
      </c>
    </row>
    <row r="34" spans="1:8" x14ac:dyDescent="0.25">
      <c r="A34" s="12">
        <v>1</v>
      </c>
      <c r="B34" s="13">
        <v>770</v>
      </c>
      <c r="C34" s="12">
        <v>57661</v>
      </c>
      <c r="D34" s="13">
        <v>41714</v>
      </c>
      <c r="E34" s="13"/>
      <c r="F34" s="13">
        <v>150</v>
      </c>
      <c r="G34" s="13">
        <f xml:space="preserve"> 4840-4500</f>
        <v>340</v>
      </c>
      <c r="H34" s="13">
        <f>4770-4500</f>
        <v>270</v>
      </c>
    </row>
    <row r="35" spans="1:8" x14ac:dyDescent="0.25">
      <c r="A35" s="12">
        <v>2</v>
      </c>
      <c r="B35" s="13">
        <v>670</v>
      </c>
      <c r="C35" s="13">
        <v>62258</v>
      </c>
      <c r="D35" s="13">
        <v>39483</v>
      </c>
      <c r="E35" s="13"/>
      <c r="F35" s="13">
        <f>3040-2880</f>
        <v>160</v>
      </c>
      <c r="G35" s="13">
        <f>3240-2880</f>
        <v>360</v>
      </c>
      <c r="H35" s="13">
        <f>3210-2880</f>
        <v>330</v>
      </c>
    </row>
    <row r="36" spans="1:8" x14ac:dyDescent="0.25">
      <c r="A36" s="12">
        <v>3</v>
      </c>
      <c r="B36" s="13">
        <v>640</v>
      </c>
      <c r="C36" s="13">
        <v>62258</v>
      </c>
      <c r="D36" s="13">
        <v>35849</v>
      </c>
      <c r="E36" s="13"/>
      <c r="F36" s="13">
        <f>4590-4440</f>
        <v>150</v>
      </c>
      <c r="G36" s="13">
        <f>4840 -4440</f>
        <v>400</v>
      </c>
      <c r="H36" s="13">
        <f>4770-4440</f>
        <v>330</v>
      </c>
    </row>
    <row r="37" spans="1:8" x14ac:dyDescent="0.25">
      <c r="A37" s="12">
        <v>4</v>
      </c>
      <c r="B37" s="13">
        <v>850</v>
      </c>
      <c r="C37" s="13">
        <v>62258</v>
      </c>
      <c r="D37" s="13">
        <v>34063</v>
      </c>
      <c r="E37" s="13"/>
      <c r="F37" s="13">
        <f>8110-7960</f>
        <v>150</v>
      </c>
      <c r="G37" s="13">
        <f>8430-7960</f>
        <v>470</v>
      </c>
      <c r="H37" s="13">
        <f>8380-7960</f>
        <v>420</v>
      </c>
    </row>
    <row r="38" spans="1:8" x14ac:dyDescent="0.25">
      <c r="A38" s="12">
        <v>5</v>
      </c>
      <c r="B38" s="13">
        <v>800</v>
      </c>
      <c r="C38" s="13">
        <v>62258</v>
      </c>
      <c r="D38" s="13">
        <v>37754</v>
      </c>
      <c r="E38" s="13"/>
      <c r="F38" s="13">
        <f>9150-8980</f>
        <v>170</v>
      </c>
      <c r="G38" s="13">
        <f>9350-8980</f>
        <v>370</v>
      </c>
      <c r="H38" s="13">
        <f>9330-8980</f>
        <v>350</v>
      </c>
    </row>
    <row r="39" spans="1:8" x14ac:dyDescent="0.25">
      <c r="A39" s="12">
        <v>6</v>
      </c>
      <c r="B39" s="13">
        <v>770</v>
      </c>
      <c r="C39" s="13">
        <v>62258</v>
      </c>
      <c r="D39" s="13">
        <v>29755</v>
      </c>
      <c r="E39" s="13"/>
      <c r="F39" s="13">
        <f>9280-9120</f>
        <v>160</v>
      </c>
      <c r="G39" s="13">
        <f>9510-9120</f>
        <v>390</v>
      </c>
      <c r="H39" s="13">
        <f>9430-9120</f>
        <v>310</v>
      </c>
    </row>
    <row r="40" spans="1:8" x14ac:dyDescent="0.25">
      <c r="A40" s="12">
        <v>7</v>
      </c>
      <c r="B40" s="13">
        <v>790</v>
      </c>
      <c r="C40" s="13">
        <v>62258</v>
      </c>
      <c r="D40" s="13">
        <v>39112</v>
      </c>
      <c r="E40" s="13"/>
      <c r="F40" s="13">
        <f>8480-8330</f>
        <v>150</v>
      </c>
      <c r="G40" s="13">
        <f>8710-8330</f>
        <v>380</v>
      </c>
      <c r="H40" s="13">
        <f>8650-8330</f>
        <v>320</v>
      </c>
    </row>
    <row r="41" spans="1:8" x14ac:dyDescent="0.25">
      <c r="A41" s="12">
        <v>8</v>
      </c>
      <c r="B41" s="12">
        <v>780</v>
      </c>
      <c r="C41" s="13">
        <v>56225</v>
      </c>
      <c r="D41" s="12">
        <v>35480</v>
      </c>
      <c r="E41" s="12"/>
      <c r="F41" s="12">
        <v>160</v>
      </c>
      <c r="G41" s="12">
        <v>370</v>
      </c>
      <c r="H41" s="12">
        <v>320</v>
      </c>
    </row>
    <row r="42" spans="1:8" x14ac:dyDescent="0.25">
      <c r="A42" s="12">
        <v>9</v>
      </c>
      <c r="B42" s="12">
        <v>780</v>
      </c>
      <c r="C42" s="13">
        <v>62258</v>
      </c>
      <c r="D42" s="12">
        <v>39120</v>
      </c>
      <c r="E42" s="12"/>
      <c r="F42" s="12">
        <v>150</v>
      </c>
      <c r="G42" s="12">
        <v>390</v>
      </c>
      <c r="H42" s="12">
        <v>320</v>
      </c>
    </row>
    <row r="43" spans="1:8" x14ac:dyDescent="0.25">
      <c r="A43" s="12">
        <v>10</v>
      </c>
      <c r="B43" s="12">
        <v>770</v>
      </c>
      <c r="C43" s="13">
        <v>62258</v>
      </c>
      <c r="D43" s="12">
        <v>36830</v>
      </c>
      <c r="E43" s="12"/>
      <c r="F43" s="12">
        <v>160</v>
      </c>
      <c r="G43" s="12">
        <v>380</v>
      </c>
      <c r="H43" s="12">
        <v>310</v>
      </c>
    </row>
    <row r="44" spans="1:8" x14ac:dyDescent="0.25">
      <c r="A44" s="15" t="s">
        <v>43</v>
      </c>
      <c r="B44" s="15">
        <f>AVERAGE(B34:B43)</f>
        <v>762</v>
      </c>
      <c r="C44" s="15">
        <f t="shared" ref="C44:H44" si="5">AVERAGE(C34:C43)</f>
        <v>61195</v>
      </c>
      <c r="D44" s="15">
        <f t="shared" si="5"/>
        <v>36916</v>
      </c>
      <c r="E44" s="15" t="e">
        <f t="shared" si="5"/>
        <v>#DIV/0!</v>
      </c>
      <c r="F44" s="15">
        <f t="shared" si="5"/>
        <v>156</v>
      </c>
      <c r="G44" s="15">
        <f t="shared" si="5"/>
        <v>385</v>
      </c>
      <c r="H44" s="15">
        <f t="shared" si="5"/>
        <v>328</v>
      </c>
    </row>
    <row r="45" spans="1:8" x14ac:dyDescent="0.25">
      <c r="A45" s="15" t="s">
        <v>45</v>
      </c>
      <c r="B45" s="15">
        <f xml:space="preserve"> _xlfn.STDEV.S(B34:B43)</f>
        <v>61.608080278122252</v>
      </c>
      <c r="C45" s="15">
        <f t="shared" ref="C45:H45" si="6" xml:space="preserve"> _xlfn.STDEV.S(C34:C43)</f>
        <v>2266.4168489784338</v>
      </c>
      <c r="D45" s="15">
        <f t="shared" si="6"/>
        <v>3376.7189861033908</v>
      </c>
      <c r="E45" s="15" t="e">
        <f t="shared" si="6"/>
        <v>#DIV/0!</v>
      </c>
      <c r="F45" s="15">
        <f t="shared" si="6"/>
        <v>6.99205898780101</v>
      </c>
      <c r="G45" s="15">
        <f t="shared" si="6"/>
        <v>34.399612400917157</v>
      </c>
      <c r="H45" s="15">
        <f t="shared" si="6"/>
        <v>38.239014399199966</v>
      </c>
    </row>
    <row r="54" spans="1:8" x14ac:dyDescent="0.25">
      <c r="A54" s="9"/>
      <c r="B54" s="10" t="s">
        <v>0</v>
      </c>
      <c r="C54" s="9" t="s">
        <v>1</v>
      </c>
      <c r="D54" s="9" t="s">
        <v>2</v>
      </c>
      <c r="E54" s="9" t="s">
        <v>3</v>
      </c>
      <c r="F54" s="9" t="s">
        <v>4</v>
      </c>
      <c r="G54" s="9" t="s">
        <v>5</v>
      </c>
      <c r="H54" s="9" t="s">
        <v>6</v>
      </c>
    </row>
    <row r="55" spans="1:8" x14ac:dyDescent="0.25">
      <c r="A55" s="12">
        <v>1</v>
      </c>
      <c r="B55" s="13">
        <v>700</v>
      </c>
      <c r="C55" s="12">
        <v>61083.5</v>
      </c>
      <c r="D55" s="41">
        <v>31681.167123186999</v>
      </c>
      <c r="E55" s="41">
        <v>30241.1282420323</v>
      </c>
      <c r="F55" s="13">
        <v>160</v>
      </c>
      <c r="G55" s="13">
        <v>580</v>
      </c>
      <c r="H55" s="13">
        <v>360</v>
      </c>
    </row>
    <row r="56" spans="1:8" x14ac:dyDescent="0.25">
      <c r="A56" s="12">
        <v>2</v>
      </c>
      <c r="B56" s="13">
        <v>740</v>
      </c>
      <c r="C56" s="41">
        <v>61100.871527700001</v>
      </c>
      <c r="D56" s="41">
        <v>35319.783314572298</v>
      </c>
      <c r="E56" s="41">
        <v>34618.663808511003</v>
      </c>
      <c r="F56" s="13">
        <v>190</v>
      </c>
      <c r="G56" s="13">
        <v>560</v>
      </c>
      <c r="H56" s="13">
        <v>360</v>
      </c>
    </row>
    <row r="57" spans="1:8" x14ac:dyDescent="0.25">
      <c r="A57" s="12">
        <v>3</v>
      </c>
      <c r="B57" s="13">
        <v>770</v>
      </c>
      <c r="C57" s="41">
        <v>61075.588709609998</v>
      </c>
      <c r="D57" s="41">
        <v>3936.7922281175702</v>
      </c>
      <c r="E57" s="41">
        <v>38839.344820043902</v>
      </c>
      <c r="F57" s="13">
        <v>190</v>
      </c>
      <c r="G57" s="13">
        <v>570</v>
      </c>
      <c r="H57" s="13">
        <v>380</v>
      </c>
    </row>
    <row r="58" spans="1:8" x14ac:dyDescent="0.25">
      <c r="A58" s="12">
        <v>4</v>
      </c>
      <c r="B58" s="13">
        <v>780</v>
      </c>
      <c r="C58" s="41">
        <v>58487.72532759</v>
      </c>
      <c r="D58" s="13"/>
      <c r="E58" s="13"/>
      <c r="F58" s="13">
        <v>190</v>
      </c>
      <c r="G58" s="13">
        <v>530</v>
      </c>
      <c r="H58" s="13">
        <v>380</v>
      </c>
    </row>
    <row r="59" spans="1:8" x14ac:dyDescent="0.25">
      <c r="A59" s="12">
        <v>5</v>
      </c>
      <c r="B59" s="13">
        <v>750</v>
      </c>
      <c r="C59" s="41">
        <v>50079.593228869999</v>
      </c>
      <c r="D59" s="13"/>
      <c r="E59" s="13"/>
      <c r="F59" s="13">
        <v>190</v>
      </c>
      <c r="G59" s="13">
        <v>520</v>
      </c>
      <c r="H59" s="13">
        <v>380</v>
      </c>
    </row>
    <row r="60" spans="1:8" x14ac:dyDescent="0.25">
      <c r="A60" s="12">
        <v>6</v>
      </c>
      <c r="B60" s="13">
        <v>790</v>
      </c>
      <c r="C60" s="41">
        <v>59328.365777010004</v>
      </c>
      <c r="D60" s="13"/>
      <c r="E60" s="13"/>
      <c r="F60" s="13">
        <v>190</v>
      </c>
      <c r="G60" s="13">
        <v>520</v>
      </c>
      <c r="H60" s="13">
        <v>440</v>
      </c>
    </row>
    <row r="61" spans="1:8" x14ac:dyDescent="0.25">
      <c r="A61" s="12">
        <v>7</v>
      </c>
      <c r="B61" s="13">
        <v>730</v>
      </c>
      <c r="C61" s="41">
        <v>59435.091044029999</v>
      </c>
      <c r="D61" s="13"/>
      <c r="E61" s="13"/>
      <c r="F61" s="13">
        <v>190</v>
      </c>
      <c r="G61" s="13">
        <v>540</v>
      </c>
      <c r="H61" s="13">
        <v>370</v>
      </c>
    </row>
    <row r="62" spans="1:8" x14ac:dyDescent="0.25">
      <c r="A62" s="12">
        <v>8</v>
      </c>
      <c r="B62" s="12">
        <v>710</v>
      </c>
      <c r="C62" s="41">
        <v>59618.583793470003</v>
      </c>
      <c r="D62" s="12"/>
      <c r="E62" s="12"/>
      <c r="F62" s="12">
        <v>180</v>
      </c>
      <c r="G62" s="12">
        <v>520</v>
      </c>
      <c r="H62" s="12">
        <v>350</v>
      </c>
    </row>
    <row r="63" spans="1:8" x14ac:dyDescent="0.25">
      <c r="A63" s="12">
        <v>9</v>
      </c>
      <c r="B63" s="12">
        <v>780</v>
      </c>
      <c r="C63" s="41">
        <v>59959.584880089998</v>
      </c>
      <c r="D63" s="12"/>
      <c r="E63" s="12"/>
      <c r="F63" s="12">
        <v>170</v>
      </c>
      <c r="G63" s="12">
        <v>500</v>
      </c>
      <c r="H63" s="12">
        <v>360</v>
      </c>
    </row>
    <row r="64" spans="1:8" x14ac:dyDescent="0.25">
      <c r="A64" s="12">
        <v>10</v>
      </c>
      <c r="B64" s="12">
        <v>770</v>
      </c>
      <c r="C64" s="41">
        <v>60504.535397879998</v>
      </c>
      <c r="D64" s="12"/>
      <c r="E64" s="12"/>
      <c r="F64" s="12">
        <v>190</v>
      </c>
      <c r="G64" s="12">
        <v>560</v>
      </c>
      <c r="H64" s="12">
        <v>330</v>
      </c>
    </row>
    <row r="65" spans="1:8" x14ac:dyDescent="0.25">
      <c r="A65" s="15" t="s">
        <v>43</v>
      </c>
      <c r="B65" s="15">
        <f>AVERAGE(B55:B64)</f>
        <v>752</v>
      </c>
      <c r="C65" s="15">
        <f t="shared" ref="C65:H65" si="7">AVERAGE(C55:C64)</f>
        <v>59067.343968624991</v>
      </c>
      <c r="D65" s="15">
        <f t="shared" si="7"/>
        <v>23645.914221958956</v>
      </c>
      <c r="E65" s="15">
        <f t="shared" si="7"/>
        <v>34566.378956862398</v>
      </c>
      <c r="F65" s="15">
        <f t="shared" si="7"/>
        <v>184</v>
      </c>
      <c r="G65" s="15">
        <f t="shared" si="7"/>
        <v>540</v>
      </c>
      <c r="H65" s="15">
        <f t="shared" si="7"/>
        <v>371</v>
      </c>
    </row>
    <row r="66" spans="1:8" x14ac:dyDescent="0.25">
      <c r="A66" s="15" t="s">
        <v>45</v>
      </c>
      <c r="B66" s="15">
        <f xml:space="preserve"> _xlfn.STDEV.S(B55:B64)</f>
        <v>31.198290551460243</v>
      </c>
      <c r="C66" s="15">
        <f t="shared" ref="C66:H66" si="8" xml:space="preserve"> _xlfn.STDEV.S(C55:C64)</f>
        <v>3278.1708353879917</v>
      </c>
      <c r="D66" s="15">
        <f t="shared" si="8"/>
        <v>17165.284712848326</v>
      </c>
      <c r="E66" s="15">
        <f t="shared" si="8"/>
        <v>4299.3467364103253</v>
      </c>
      <c r="F66" s="15">
        <f t="shared" si="8"/>
        <v>10.749676997731399</v>
      </c>
      <c r="G66" s="15">
        <f t="shared" si="8"/>
        <v>26.246692913372705</v>
      </c>
      <c r="H66" s="15">
        <f t="shared" si="8"/>
        <v>28.848262031225072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752A-3F50-4E66-B6A5-7CC662417650}">
  <dimension ref="A1:Q43"/>
  <sheetViews>
    <sheetView topLeftCell="A4" workbookViewId="0">
      <selection activeCell="J14" sqref="J14:P14"/>
    </sheetView>
  </sheetViews>
  <sheetFormatPr defaultRowHeight="15" x14ac:dyDescent="0.25"/>
  <cols>
    <col min="2" max="2" width="19.42578125" customWidth="1"/>
    <col min="3" max="3" width="19" customWidth="1"/>
    <col min="4" max="4" width="21.5703125" customWidth="1"/>
    <col min="5" max="5" width="9.140625" customWidth="1"/>
    <col min="6" max="6" width="26.140625" customWidth="1"/>
    <col min="7" max="7" width="25.42578125" customWidth="1"/>
    <col min="8" max="8" width="28.28515625" customWidth="1"/>
    <col min="9" max="9" width="23.42578125" customWidth="1"/>
  </cols>
  <sheetData>
    <row r="1" spans="1:17" ht="18.75" x14ac:dyDescent="0.25">
      <c r="A1" s="9"/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7" ht="18.75" x14ac:dyDescent="0.25">
      <c r="A2" s="12">
        <v>1</v>
      </c>
      <c r="B2" s="13">
        <v>720</v>
      </c>
      <c r="C2" s="13">
        <v>59451</v>
      </c>
      <c r="D2" s="13">
        <v>33769</v>
      </c>
      <c r="E2" s="13">
        <v>33029</v>
      </c>
      <c r="F2" s="13">
        <f>2390-2200</f>
        <v>190</v>
      </c>
      <c r="G2" s="13">
        <f>2600-2200</f>
        <v>400</v>
      </c>
      <c r="H2" s="13">
        <f>2550-2200</f>
        <v>350</v>
      </c>
    </row>
    <row r="3" spans="1:17" ht="18.75" x14ac:dyDescent="0.25">
      <c r="A3" s="12">
        <v>2</v>
      </c>
      <c r="B3" s="13">
        <v>670</v>
      </c>
      <c r="C3" s="13">
        <v>56283</v>
      </c>
      <c r="D3" s="13">
        <v>28860</v>
      </c>
      <c r="E3" s="13">
        <v>28061</v>
      </c>
      <c r="F3" s="13">
        <f>3100-2920</f>
        <v>180</v>
      </c>
      <c r="G3" s="13">
        <f>3320-2920</f>
        <v>400</v>
      </c>
      <c r="H3" s="13">
        <f>3270-2920</f>
        <v>350</v>
      </c>
    </row>
    <row r="4" spans="1:17" ht="18.75" x14ac:dyDescent="0.25">
      <c r="A4" s="12">
        <v>3</v>
      </c>
      <c r="B4" s="13">
        <v>730</v>
      </c>
      <c r="C4" s="13">
        <v>62258</v>
      </c>
      <c r="D4" s="13">
        <v>39081</v>
      </c>
      <c r="E4" s="13">
        <v>38739</v>
      </c>
      <c r="F4" s="13">
        <f>3780-3590</f>
        <v>190</v>
      </c>
      <c r="G4" s="13">
        <f>4010-3590</f>
        <v>420</v>
      </c>
      <c r="H4" s="13">
        <f>3970-3590</f>
        <v>380</v>
      </c>
    </row>
    <row r="5" spans="1:17" ht="18.75" x14ac:dyDescent="0.25">
      <c r="A5" s="12">
        <v>4</v>
      </c>
      <c r="B5" s="13">
        <v>700</v>
      </c>
      <c r="C5" s="13">
        <v>58710</v>
      </c>
      <c r="D5" s="13">
        <v>32840</v>
      </c>
      <c r="E5" s="13">
        <v>32567</v>
      </c>
      <c r="F5" s="13">
        <f>8250-8070</f>
        <v>180</v>
      </c>
      <c r="G5" s="13">
        <f>8460-8070</f>
        <v>390</v>
      </c>
      <c r="H5" s="13">
        <f>8420-8070</f>
        <v>350</v>
      </c>
      <c r="I5" t="s">
        <v>17</v>
      </c>
    </row>
    <row r="6" spans="1:17" ht="18.75" x14ac:dyDescent="0.25">
      <c r="A6" s="12">
        <v>5</v>
      </c>
      <c r="B6" s="13">
        <v>700</v>
      </c>
      <c r="C6" s="13">
        <v>62258</v>
      </c>
      <c r="D6" s="13">
        <v>32840</v>
      </c>
      <c r="E6" s="13">
        <v>28350</v>
      </c>
      <c r="F6" s="13">
        <f>8950-8770</f>
        <v>180</v>
      </c>
      <c r="G6" s="13">
        <f>9160-8770</f>
        <v>390</v>
      </c>
      <c r="H6" s="13">
        <f>9130-8770</f>
        <v>360</v>
      </c>
    </row>
    <row r="7" spans="1:17" ht="18.75" x14ac:dyDescent="0.25">
      <c r="A7" s="12">
        <v>6</v>
      </c>
      <c r="B7" s="13">
        <v>730</v>
      </c>
      <c r="C7" s="13">
        <v>62258</v>
      </c>
      <c r="D7" s="13">
        <v>33580</v>
      </c>
      <c r="E7" s="13">
        <v>33571</v>
      </c>
      <c r="F7" s="13">
        <v>180</v>
      </c>
      <c r="G7" s="13">
        <v>400</v>
      </c>
      <c r="H7" s="13">
        <v>350</v>
      </c>
    </row>
    <row r="8" spans="1:17" ht="18.75" x14ac:dyDescent="0.25">
      <c r="A8" s="12">
        <v>7</v>
      </c>
      <c r="B8" s="13">
        <v>700</v>
      </c>
      <c r="C8" s="13">
        <v>62258</v>
      </c>
      <c r="D8" s="13">
        <v>39870</v>
      </c>
      <c r="E8" s="13">
        <v>38943</v>
      </c>
      <c r="F8" s="13">
        <v>170</v>
      </c>
      <c r="G8" s="13">
        <v>400</v>
      </c>
      <c r="H8" s="13">
        <v>360</v>
      </c>
    </row>
    <row r="9" spans="1:17" ht="18.75" x14ac:dyDescent="0.25">
      <c r="A9" s="12">
        <v>8</v>
      </c>
      <c r="B9" s="13">
        <v>680</v>
      </c>
      <c r="C9" s="13">
        <v>62258</v>
      </c>
      <c r="D9" s="13">
        <v>38870</v>
      </c>
      <c r="E9" s="13">
        <v>38056</v>
      </c>
      <c r="F9" s="13">
        <v>180</v>
      </c>
      <c r="G9" s="13">
        <v>390</v>
      </c>
      <c r="H9" s="13">
        <v>350</v>
      </c>
    </row>
    <row r="10" spans="1:17" ht="18.75" x14ac:dyDescent="0.25">
      <c r="A10" s="12">
        <v>9</v>
      </c>
      <c r="B10" s="13">
        <v>720</v>
      </c>
      <c r="C10" s="13">
        <v>62258</v>
      </c>
      <c r="D10" s="12">
        <v>34660</v>
      </c>
      <c r="E10" s="12">
        <v>33800</v>
      </c>
      <c r="F10" s="12">
        <v>190</v>
      </c>
      <c r="G10" s="12">
        <v>410</v>
      </c>
      <c r="H10" s="12">
        <v>350</v>
      </c>
    </row>
    <row r="11" spans="1:17" ht="18.75" x14ac:dyDescent="0.25">
      <c r="A11" s="12">
        <v>10</v>
      </c>
      <c r="B11" s="13">
        <v>730</v>
      </c>
      <c r="C11" s="13">
        <v>62258</v>
      </c>
      <c r="D11" s="12">
        <v>34697</v>
      </c>
      <c r="E11" s="12">
        <v>33980</v>
      </c>
      <c r="F11" s="12">
        <v>180</v>
      </c>
      <c r="G11" s="12">
        <v>400</v>
      </c>
      <c r="H11" s="12">
        <v>350</v>
      </c>
    </row>
    <row r="12" spans="1:17" x14ac:dyDescent="0.25">
      <c r="B12">
        <f>AVERAGE(B2:B11)</f>
        <v>708</v>
      </c>
      <c r="C12">
        <f t="shared" ref="C12:H12" si="0">AVERAGE(C2:C11)</f>
        <v>61025</v>
      </c>
      <c r="D12">
        <f t="shared" si="0"/>
        <v>34906.699999999997</v>
      </c>
      <c r="E12">
        <f t="shared" si="0"/>
        <v>33909.599999999999</v>
      </c>
      <c r="F12">
        <f t="shared" si="0"/>
        <v>182</v>
      </c>
      <c r="G12">
        <f t="shared" si="0"/>
        <v>400</v>
      </c>
      <c r="H12">
        <f t="shared" si="0"/>
        <v>355</v>
      </c>
    </row>
    <row r="13" spans="1:17" ht="16.5" x14ac:dyDescent="0.25">
      <c r="A13" s="30" t="s">
        <v>45</v>
      </c>
      <c r="B13" s="30">
        <f xml:space="preserve"> _xlfn.STDEV.S(B2:B11)</f>
        <v>21.499353995462798</v>
      </c>
      <c r="C13" s="30">
        <f t="shared" ref="C13:H13" si="1" xml:space="preserve"> _xlfn.STDEV.S(C2:C11)</f>
        <v>2133.4710372223635</v>
      </c>
      <c r="D13" s="30">
        <f t="shared" si="1"/>
        <v>3432.3830739978121</v>
      </c>
      <c r="E13" s="30">
        <f t="shared" si="1"/>
        <v>3853.9413649463327</v>
      </c>
      <c r="F13" s="30">
        <f xml:space="preserve"> _xlfn.STDEV.S(F2:F11)</f>
        <v>6.324555320336759</v>
      </c>
      <c r="G13" s="30">
        <f t="shared" si="1"/>
        <v>9.428090415820634</v>
      </c>
      <c r="H13" s="30">
        <f t="shared" si="1"/>
        <v>9.7182531580755001</v>
      </c>
    </row>
    <row r="14" spans="1:17" x14ac:dyDescent="0.25">
      <c r="J14">
        <f>AVERAGE(B2:B11,B16:B25,B32:B41)</f>
        <v>730.33333333333337</v>
      </c>
      <c r="K14">
        <f t="shared" ref="K14:P14" si="2">AVERAGE(C2:C11,C16:C25,C32:C41)</f>
        <v>61628.633333333331</v>
      </c>
      <c r="L14">
        <f t="shared" si="2"/>
        <v>35769.833333333336</v>
      </c>
      <c r="M14">
        <f t="shared" si="2"/>
        <v>34474.933333333334</v>
      </c>
      <c r="N14">
        <f t="shared" si="2"/>
        <v>179.33333333333334</v>
      </c>
      <c r="O14">
        <f t="shared" si="2"/>
        <v>398.66666666666669</v>
      </c>
      <c r="P14">
        <f t="shared" si="2"/>
        <v>350.66666666666669</v>
      </c>
      <c r="Q14" t="e">
        <f>AVERAGE(I2:I11,I16:I25,I32:I41)</f>
        <v>#DIV/0!</v>
      </c>
    </row>
    <row r="15" spans="1:17" ht="16.5" x14ac:dyDescent="0.25">
      <c r="A15" s="28"/>
      <c r="B15" s="29" t="s">
        <v>0</v>
      </c>
      <c r="C15" s="28" t="s">
        <v>1</v>
      </c>
      <c r="D15" s="28" t="s">
        <v>2</v>
      </c>
      <c r="E15" s="28" t="s">
        <v>3</v>
      </c>
      <c r="F15" s="28" t="s">
        <v>4</v>
      </c>
      <c r="G15" s="28" t="s">
        <v>5</v>
      </c>
      <c r="H15" s="28" t="s">
        <v>6</v>
      </c>
    </row>
    <row r="16" spans="1:17" ht="16.5" x14ac:dyDescent="0.25">
      <c r="A16" s="30">
        <v>1</v>
      </c>
      <c r="B16" s="31">
        <v>710</v>
      </c>
      <c r="C16" s="31">
        <v>60207</v>
      </c>
      <c r="D16" s="31">
        <v>36515</v>
      </c>
      <c r="E16" s="31">
        <v>34051</v>
      </c>
      <c r="F16" s="31">
        <v>190</v>
      </c>
      <c r="G16" s="31">
        <v>400</v>
      </c>
      <c r="H16" s="31">
        <v>350</v>
      </c>
    </row>
    <row r="17" spans="1:8" ht="16.5" x14ac:dyDescent="0.25">
      <c r="A17" s="30">
        <v>2</v>
      </c>
      <c r="B17" s="31">
        <v>760</v>
      </c>
      <c r="C17" s="31">
        <v>62258</v>
      </c>
      <c r="D17" s="31">
        <v>38787</v>
      </c>
      <c r="E17" s="31">
        <v>28636</v>
      </c>
      <c r="F17" s="31">
        <v>180</v>
      </c>
      <c r="G17" s="31">
        <v>400</v>
      </c>
      <c r="H17" s="31">
        <v>380</v>
      </c>
    </row>
    <row r="18" spans="1:8" ht="16.5" x14ac:dyDescent="0.25">
      <c r="A18" s="30">
        <v>3</v>
      </c>
      <c r="B18" s="31">
        <v>730</v>
      </c>
      <c r="C18" s="31">
        <v>62258</v>
      </c>
      <c r="D18" s="30">
        <v>34158</v>
      </c>
      <c r="E18" s="31">
        <v>42144</v>
      </c>
      <c r="F18" s="30">
        <v>190</v>
      </c>
      <c r="G18" s="31">
        <v>390</v>
      </c>
      <c r="H18" s="31">
        <v>350</v>
      </c>
    </row>
    <row r="19" spans="1:8" ht="16.5" x14ac:dyDescent="0.25">
      <c r="A19" s="30">
        <v>4</v>
      </c>
      <c r="B19" s="31">
        <v>770</v>
      </c>
      <c r="C19" s="31">
        <v>62258</v>
      </c>
      <c r="D19" s="30">
        <v>30569</v>
      </c>
      <c r="E19" s="31">
        <v>29440</v>
      </c>
      <c r="F19" s="30">
        <v>180</v>
      </c>
      <c r="G19" s="31">
        <v>400</v>
      </c>
      <c r="H19" s="31">
        <v>380</v>
      </c>
    </row>
    <row r="20" spans="1:8" ht="16.5" x14ac:dyDescent="0.25">
      <c r="A20" s="30">
        <v>5</v>
      </c>
      <c r="B20" s="31">
        <v>770</v>
      </c>
      <c r="C20" s="31">
        <v>62258</v>
      </c>
      <c r="D20" s="30">
        <v>47780</v>
      </c>
      <c r="E20" s="31">
        <v>46693</v>
      </c>
      <c r="F20" s="30">
        <v>190</v>
      </c>
      <c r="G20" s="31">
        <v>410</v>
      </c>
      <c r="H20" s="31">
        <v>350</v>
      </c>
    </row>
    <row r="21" spans="1:8" ht="16.5" x14ac:dyDescent="0.25">
      <c r="A21" s="30">
        <v>6</v>
      </c>
      <c r="B21" s="31">
        <v>720</v>
      </c>
      <c r="C21" s="31">
        <v>62258</v>
      </c>
      <c r="D21" s="31">
        <v>44230</v>
      </c>
      <c r="E21" s="30">
        <v>40016</v>
      </c>
      <c r="F21" s="31">
        <v>180</v>
      </c>
      <c r="G21" s="31">
        <v>430</v>
      </c>
      <c r="H21" s="31">
        <v>390</v>
      </c>
    </row>
    <row r="22" spans="1:8" ht="16.5" x14ac:dyDescent="0.25">
      <c r="A22" s="30">
        <v>7</v>
      </c>
      <c r="B22" s="31">
        <v>780</v>
      </c>
      <c r="C22" s="31">
        <v>62258</v>
      </c>
      <c r="D22" s="31">
        <v>37771</v>
      </c>
      <c r="E22" s="30">
        <v>35513</v>
      </c>
      <c r="F22" s="31">
        <v>170</v>
      </c>
      <c r="G22" s="31">
        <v>400</v>
      </c>
      <c r="H22" s="31">
        <v>350</v>
      </c>
    </row>
    <row r="23" spans="1:8" ht="16.5" x14ac:dyDescent="0.25">
      <c r="A23" s="30">
        <v>8</v>
      </c>
      <c r="B23" s="30">
        <v>730</v>
      </c>
      <c r="C23" s="31">
        <v>62258</v>
      </c>
      <c r="D23" s="31">
        <v>32154</v>
      </c>
      <c r="E23" s="31">
        <v>31985</v>
      </c>
      <c r="F23" s="31">
        <v>170</v>
      </c>
      <c r="G23" s="30">
        <v>400</v>
      </c>
      <c r="H23" s="30">
        <v>350</v>
      </c>
    </row>
    <row r="24" spans="1:8" ht="18.75" x14ac:dyDescent="0.25">
      <c r="A24" s="30">
        <v>9</v>
      </c>
      <c r="B24" s="30">
        <v>770</v>
      </c>
      <c r="C24" s="13">
        <v>58850</v>
      </c>
      <c r="D24" s="31">
        <v>30115</v>
      </c>
      <c r="E24" s="31">
        <v>30005</v>
      </c>
      <c r="F24" s="31">
        <v>190</v>
      </c>
      <c r="G24" s="30">
        <v>410</v>
      </c>
      <c r="H24" s="30">
        <v>350</v>
      </c>
    </row>
    <row r="25" spans="1:8" ht="16.5" x14ac:dyDescent="0.25">
      <c r="A25" s="30">
        <v>10</v>
      </c>
      <c r="B25" s="30">
        <v>780</v>
      </c>
      <c r="C25" s="31">
        <v>62258</v>
      </c>
      <c r="D25" s="31">
        <v>29452</v>
      </c>
      <c r="E25" s="31">
        <v>28300</v>
      </c>
      <c r="F25" s="31">
        <v>180</v>
      </c>
      <c r="G25" s="30">
        <v>400</v>
      </c>
      <c r="H25" s="30">
        <v>350</v>
      </c>
    </row>
    <row r="26" spans="1:8" ht="16.5" x14ac:dyDescent="0.25">
      <c r="A26" s="30" t="s">
        <v>43</v>
      </c>
      <c r="B26" s="30">
        <f>AVERAGE(B16:B25)</f>
        <v>752</v>
      </c>
      <c r="C26" s="30">
        <f t="shared" ref="C26:H26" si="3">AVERAGE(C16:C25)</f>
        <v>61712.1</v>
      </c>
      <c r="D26" s="30">
        <f t="shared" si="3"/>
        <v>36153.1</v>
      </c>
      <c r="E26" s="30">
        <f t="shared" si="3"/>
        <v>34678.300000000003</v>
      </c>
      <c r="F26" s="30">
        <v>190</v>
      </c>
      <c r="G26" s="30">
        <f t="shared" si="3"/>
        <v>404</v>
      </c>
      <c r="H26" s="30">
        <f t="shared" si="3"/>
        <v>360</v>
      </c>
    </row>
    <row r="27" spans="1:8" ht="16.5" x14ac:dyDescent="0.25">
      <c r="A27" s="30" t="s">
        <v>45</v>
      </c>
      <c r="B27" s="30">
        <f xml:space="preserve"> _xlfn.STDEV.S(B16:B25)</f>
        <v>26.583202716502512</v>
      </c>
      <c r="C27" s="30">
        <f t="shared" ref="C27:H27" si="4" xml:space="preserve"> _xlfn.STDEV.S(C16:C25)</f>
        <v>1194.4778915213681</v>
      </c>
      <c r="D27" s="30">
        <f t="shared" si="4"/>
        <v>6170.052303938216</v>
      </c>
      <c r="E27" s="30">
        <f t="shared" si="4"/>
        <v>6354.3200361818626</v>
      </c>
      <c r="F27" s="30">
        <f xml:space="preserve"> _xlfn.STDEV.S(F16:F25)</f>
        <v>7.8881063774661548</v>
      </c>
      <c r="G27" s="30">
        <f t="shared" si="4"/>
        <v>10.749676997731399</v>
      </c>
      <c r="H27" s="30">
        <f t="shared" si="4"/>
        <v>16.329931618554522</v>
      </c>
    </row>
    <row r="31" spans="1:8" ht="18.75" x14ac:dyDescent="0.25">
      <c r="A31" s="9"/>
      <c r="B31" s="10" t="s">
        <v>0</v>
      </c>
      <c r="C31" s="9" t="s">
        <v>1</v>
      </c>
      <c r="D31" s="9" t="s">
        <v>2</v>
      </c>
      <c r="E31" s="9" t="s">
        <v>3</v>
      </c>
      <c r="F31" s="9" t="s">
        <v>4</v>
      </c>
      <c r="G31" s="9" t="s">
        <v>5</v>
      </c>
      <c r="H31" s="9" t="s">
        <v>6</v>
      </c>
    </row>
    <row r="32" spans="1:8" ht="18.75" x14ac:dyDescent="0.25">
      <c r="A32" s="12">
        <v>1</v>
      </c>
      <c r="B32" s="26">
        <v>710</v>
      </c>
      <c r="C32" s="26">
        <v>62258</v>
      </c>
      <c r="D32" s="6">
        <v>38577</v>
      </c>
      <c r="E32" s="26">
        <v>38155</v>
      </c>
      <c r="F32" s="13">
        <v>180</v>
      </c>
      <c r="G32" s="13">
        <v>390</v>
      </c>
      <c r="H32" s="13">
        <v>320</v>
      </c>
    </row>
    <row r="33" spans="1:8" ht="18.75" x14ac:dyDescent="0.25">
      <c r="A33" s="12">
        <v>2</v>
      </c>
      <c r="B33" s="13">
        <v>720</v>
      </c>
      <c r="C33" s="26">
        <v>62258</v>
      </c>
      <c r="D33" s="6">
        <v>38051</v>
      </c>
      <c r="E33" s="26">
        <v>34763</v>
      </c>
      <c r="F33" s="13">
        <v>160</v>
      </c>
      <c r="G33" s="13">
        <v>410</v>
      </c>
      <c r="H33" s="13">
        <v>350</v>
      </c>
    </row>
    <row r="34" spans="1:8" ht="18.75" x14ac:dyDescent="0.25">
      <c r="A34" s="12">
        <v>3</v>
      </c>
      <c r="B34" s="13">
        <v>710</v>
      </c>
      <c r="C34" s="26">
        <v>62258</v>
      </c>
      <c r="D34" s="6">
        <v>44918</v>
      </c>
      <c r="E34" s="26">
        <v>44875</v>
      </c>
      <c r="F34" s="13">
        <v>170</v>
      </c>
      <c r="G34" s="13">
        <v>380</v>
      </c>
      <c r="H34" s="13">
        <v>330</v>
      </c>
    </row>
    <row r="35" spans="1:8" ht="18.75" x14ac:dyDescent="0.25">
      <c r="A35" s="12">
        <v>4</v>
      </c>
      <c r="B35" s="13">
        <v>700</v>
      </c>
      <c r="C35" s="26">
        <v>61166</v>
      </c>
      <c r="D35" s="6">
        <v>36097</v>
      </c>
      <c r="E35" s="26">
        <v>35491</v>
      </c>
      <c r="F35" s="13">
        <v>180</v>
      </c>
      <c r="G35" s="13">
        <v>420</v>
      </c>
      <c r="H35" s="13">
        <v>380</v>
      </c>
    </row>
    <row r="36" spans="1:8" ht="18.75" x14ac:dyDescent="0.25">
      <c r="A36" s="12">
        <v>5</v>
      </c>
      <c r="B36" s="13">
        <v>710</v>
      </c>
      <c r="C36" s="26">
        <v>62258</v>
      </c>
      <c r="D36" s="5">
        <v>35105</v>
      </c>
      <c r="E36" s="13">
        <v>32863</v>
      </c>
      <c r="F36" s="13">
        <v>180</v>
      </c>
      <c r="G36" s="13">
        <v>380</v>
      </c>
      <c r="H36" s="13">
        <v>320</v>
      </c>
    </row>
    <row r="37" spans="1:8" ht="18.75" x14ac:dyDescent="0.25">
      <c r="A37" s="12">
        <v>6</v>
      </c>
      <c r="B37" s="13">
        <v>800</v>
      </c>
      <c r="C37" s="26">
        <v>62258</v>
      </c>
      <c r="D37" s="5">
        <v>36512</v>
      </c>
      <c r="E37" s="26">
        <v>33423</v>
      </c>
      <c r="F37" s="13">
        <v>160</v>
      </c>
      <c r="G37" s="13">
        <v>350</v>
      </c>
      <c r="H37" s="13">
        <v>310</v>
      </c>
    </row>
    <row r="38" spans="1:8" ht="18.75" x14ac:dyDescent="0.25">
      <c r="A38" s="12">
        <v>7</v>
      </c>
      <c r="B38" s="13">
        <v>710</v>
      </c>
      <c r="C38" s="26">
        <v>62258</v>
      </c>
      <c r="D38" s="5">
        <v>37098</v>
      </c>
      <c r="E38" s="26">
        <v>36770</v>
      </c>
      <c r="F38" s="13">
        <v>180</v>
      </c>
      <c r="G38" s="13">
        <v>410</v>
      </c>
      <c r="H38" s="13">
        <v>350</v>
      </c>
    </row>
    <row r="39" spans="1:8" ht="18.75" x14ac:dyDescent="0.25">
      <c r="A39" s="12">
        <v>8</v>
      </c>
      <c r="B39" s="12">
        <v>720</v>
      </c>
      <c r="C39" s="26">
        <v>62258</v>
      </c>
      <c r="D39" s="5">
        <v>36911</v>
      </c>
      <c r="E39" s="26">
        <v>33079</v>
      </c>
      <c r="F39" s="12">
        <v>170</v>
      </c>
      <c r="G39" s="12">
        <v>350</v>
      </c>
      <c r="H39" s="12">
        <v>300</v>
      </c>
    </row>
    <row r="40" spans="1:8" ht="18.75" x14ac:dyDescent="0.25">
      <c r="A40" s="12">
        <v>9</v>
      </c>
      <c r="B40" s="12">
        <v>760</v>
      </c>
      <c r="C40" s="26">
        <v>62258</v>
      </c>
      <c r="D40" s="5">
        <v>29011</v>
      </c>
      <c r="E40" s="26">
        <v>28830</v>
      </c>
      <c r="F40" s="12">
        <v>180</v>
      </c>
      <c r="G40" s="12">
        <v>420</v>
      </c>
      <c r="H40" s="12">
        <v>350</v>
      </c>
    </row>
    <row r="41" spans="1:8" ht="18.75" x14ac:dyDescent="0.25">
      <c r="A41" s="12">
        <v>10</v>
      </c>
      <c r="B41" s="12">
        <v>770</v>
      </c>
      <c r="C41" s="26">
        <v>62258</v>
      </c>
      <c r="D41" s="5">
        <v>30217</v>
      </c>
      <c r="E41" s="26">
        <v>30120</v>
      </c>
      <c r="F41" s="12">
        <v>180</v>
      </c>
      <c r="G41" s="12">
        <v>410</v>
      </c>
      <c r="H41" s="12">
        <v>360</v>
      </c>
    </row>
    <row r="42" spans="1:8" ht="18.75" x14ac:dyDescent="0.25">
      <c r="A42" s="12" t="s">
        <v>43</v>
      </c>
      <c r="B42" s="12">
        <f>AVERAGE(B32:B41)</f>
        <v>731</v>
      </c>
      <c r="C42" s="12">
        <f t="shared" ref="C42:H42" si="5">AVERAGE(C32:C41)</f>
        <v>62148.800000000003</v>
      </c>
      <c r="D42" s="12">
        <f t="shared" si="5"/>
        <v>36249.699999999997</v>
      </c>
      <c r="E42" s="12">
        <f t="shared" si="5"/>
        <v>34836.9</v>
      </c>
      <c r="F42" s="12">
        <f t="shared" si="5"/>
        <v>174</v>
      </c>
      <c r="G42" s="12">
        <f t="shared" si="5"/>
        <v>392</v>
      </c>
      <c r="H42" s="12">
        <f t="shared" si="5"/>
        <v>337</v>
      </c>
    </row>
    <row r="43" spans="1:8" ht="18.75" x14ac:dyDescent="0.25">
      <c r="A43" s="15" t="s">
        <v>45</v>
      </c>
      <c r="B43" s="15">
        <f xml:space="preserve"> _xlfn.STDEV.S(B32:B41)</f>
        <v>33.482997343593823</v>
      </c>
      <c r="C43" s="15">
        <f t="shared" ref="C43:H43" si="6" xml:space="preserve"> _xlfn.STDEV.S(C32:C41)</f>
        <v>345.32072049038698</v>
      </c>
      <c r="D43" s="15">
        <f t="shared" si="6"/>
        <v>4411.5009552053616</v>
      </c>
      <c r="E43" s="15">
        <f t="shared" si="6"/>
        <v>4512.464501553196</v>
      </c>
      <c r="F43" s="15">
        <f t="shared" si="6"/>
        <v>8.4327404271156787</v>
      </c>
      <c r="G43" s="15">
        <f t="shared" si="6"/>
        <v>26.583202716502512</v>
      </c>
      <c r="H43" s="15">
        <f t="shared" si="6"/>
        <v>24.966644414765341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E004-CB7A-486E-83D7-CD6C7F50870D}">
  <dimension ref="A1:Q42"/>
  <sheetViews>
    <sheetView topLeftCell="B7" workbookViewId="0">
      <selection activeCell="K16" sqref="K16:Q16"/>
    </sheetView>
  </sheetViews>
  <sheetFormatPr defaultRowHeight="15" x14ac:dyDescent="0.25"/>
  <cols>
    <col min="2" max="2" width="22.5703125" customWidth="1"/>
    <col min="3" max="3" width="27.140625" customWidth="1"/>
    <col min="4" max="4" width="25.28515625" customWidth="1"/>
    <col min="5" max="5" width="15.42578125" customWidth="1"/>
    <col min="6" max="6" width="24.85546875" customWidth="1"/>
    <col min="7" max="7" width="28.42578125" customWidth="1"/>
    <col min="8" max="8" width="30.85546875" customWidth="1"/>
  </cols>
  <sheetData>
    <row r="1" spans="1:17" ht="18.75" x14ac:dyDescent="0.25">
      <c r="A1" s="9"/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7" ht="18.75" x14ac:dyDescent="0.25">
      <c r="A2" s="12">
        <v>1</v>
      </c>
      <c r="B2" s="13">
        <v>830</v>
      </c>
      <c r="C2" s="13">
        <v>62258</v>
      </c>
      <c r="D2" s="13">
        <v>37888</v>
      </c>
      <c r="E2" s="13">
        <v>37808</v>
      </c>
      <c r="F2" s="13">
        <f>7930-7750</f>
        <v>180</v>
      </c>
      <c r="G2" s="13">
        <f>8150-7750</f>
        <v>400</v>
      </c>
      <c r="H2" s="13">
        <f>8130-7750</f>
        <v>380</v>
      </c>
    </row>
    <row r="3" spans="1:17" ht="18.75" x14ac:dyDescent="0.25">
      <c r="A3" s="12">
        <v>2</v>
      </c>
      <c r="B3" s="13">
        <v>820</v>
      </c>
      <c r="C3" s="13">
        <v>62258</v>
      </c>
      <c r="D3" s="13">
        <v>37743</v>
      </c>
      <c r="E3" s="13">
        <v>37719</v>
      </c>
      <c r="F3" s="13">
        <f>8750-8580</f>
        <v>170</v>
      </c>
      <c r="G3" s="13">
        <f>8980-8580</f>
        <v>400</v>
      </c>
      <c r="H3" s="13">
        <f>8960-8580</f>
        <v>380</v>
      </c>
    </row>
    <row r="4" spans="1:17" ht="18.75" x14ac:dyDescent="0.25">
      <c r="A4" s="12">
        <v>3</v>
      </c>
      <c r="B4" s="13">
        <v>810</v>
      </c>
      <c r="C4" s="13">
        <v>62258</v>
      </c>
      <c r="D4" s="13">
        <v>36427</v>
      </c>
      <c r="E4" s="13">
        <v>36421</v>
      </c>
      <c r="F4" s="13">
        <f>3880-3700</f>
        <v>180</v>
      </c>
      <c r="G4" s="13">
        <f>4100-3700</f>
        <v>400</v>
      </c>
      <c r="H4" s="13">
        <f>4090-3700</f>
        <v>390</v>
      </c>
    </row>
    <row r="5" spans="1:17" ht="18.75" x14ac:dyDescent="0.25">
      <c r="A5" s="12">
        <v>4</v>
      </c>
      <c r="B5" s="13">
        <v>840</v>
      </c>
      <c r="C5" s="13">
        <v>62258</v>
      </c>
      <c r="D5" s="13">
        <v>36082</v>
      </c>
      <c r="E5" s="13">
        <v>35866</v>
      </c>
      <c r="F5" s="13">
        <f>4690-4510</f>
        <v>180</v>
      </c>
      <c r="G5" s="13">
        <f>4920-4510</f>
        <v>410</v>
      </c>
      <c r="H5" s="13">
        <f>4880-4510</f>
        <v>370</v>
      </c>
    </row>
    <row r="6" spans="1:17" ht="18.75" x14ac:dyDescent="0.25">
      <c r="A6" s="12">
        <v>5</v>
      </c>
      <c r="B6" s="13">
        <v>650</v>
      </c>
      <c r="C6" s="13">
        <v>60099</v>
      </c>
      <c r="D6" s="13">
        <v>32920</v>
      </c>
      <c r="E6" s="13">
        <v>32397</v>
      </c>
      <c r="F6" s="13">
        <f>620-440</f>
        <v>180</v>
      </c>
      <c r="G6" s="12">
        <f>840-440</f>
        <v>400</v>
      </c>
      <c r="H6" s="13">
        <f>800-440</f>
        <v>360</v>
      </c>
    </row>
    <row r="7" spans="1:17" ht="18.75" x14ac:dyDescent="0.25">
      <c r="A7" s="12">
        <v>6</v>
      </c>
      <c r="B7" s="13">
        <v>640</v>
      </c>
      <c r="C7" s="13">
        <v>62258</v>
      </c>
      <c r="D7" s="13">
        <v>32976</v>
      </c>
      <c r="E7" s="13">
        <v>32704</v>
      </c>
      <c r="F7" s="13">
        <f>1270-1090</f>
        <v>180</v>
      </c>
      <c r="G7" s="13">
        <f>1490-1090</f>
        <v>400</v>
      </c>
      <c r="H7" s="13">
        <f>-(1090-1450)</f>
        <v>360</v>
      </c>
    </row>
    <row r="8" spans="1:17" ht="18.75" x14ac:dyDescent="0.25">
      <c r="A8" s="12">
        <v>7</v>
      </c>
      <c r="B8" s="13">
        <v>650</v>
      </c>
      <c r="C8" s="13">
        <v>62258</v>
      </c>
      <c r="D8" s="13">
        <v>34753</v>
      </c>
      <c r="E8" s="13">
        <v>34096</v>
      </c>
      <c r="F8" s="13">
        <f>1900-1730</f>
        <v>170</v>
      </c>
      <c r="G8" s="13">
        <f>2140-1730</f>
        <v>410</v>
      </c>
      <c r="H8" s="13">
        <f>2090-1730</f>
        <v>360</v>
      </c>
    </row>
    <row r="9" spans="1:17" ht="18.75" x14ac:dyDescent="0.25">
      <c r="A9" s="12">
        <v>8</v>
      </c>
      <c r="B9" s="13">
        <v>710</v>
      </c>
      <c r="C9" s="13">
        <v>62258</v>
      </c>
      <c r="D9" s="13">
        <v>36503</v>
      </c>
      <c r="E9" s="13">
        <v>36308</v>
      </c>
      <c r="F9" s="13">
        <v>180</v>
      </c>
      <c r="G9" s="13">
        <v>400</v>
      </c>
      <c r="H9" s="13">
        <v>370</v>
      </c>
    </row>
    <row r="10" spans="1:17" ht="18.75" x14ac:dyDescent="0.25">
      <c r="A10" s="12">
        <v>9</v>
      </c>
      <c r="B10" s="13">
        <v>720</v>
      </c>
      <c r="C10" s="13">
        <v>62258</v>
      </c>
      <c r="D10" s="12">
        <v>33770</v>
      </c>
      <c r="E10" s="12">
        <v>33518</v>
      </c>
      <c r="F10" s="12">
        <v>180</v>
      </c>
      <c r="G10" s="12">
        <v>400</v>
      </c>
      <c r="H10" s="12">
        <v>360</v>
      </c>
    </row>
    <row r="11" spans="1:17" ht="18.75" x14ac:dyDescent="0.25">
      <c r="A11" s="12">
        <v>10</v>
      </c>
      <c r="B11" s="13">
        <v>720</v>
      </c>
      <c r="C11" s="13">
        <v>62258</v>
      </c>
      <c r="D11" s="12">
        <v>38583</v>
      </c>
      <c r="E11" s="12">
        <v>38521</v>
      </c>
      <c r="F11" s="12">
        <v>170</v>
      </c>
      <c r="G11" s="12">
        <v>400</v>
      </c>
      <c r="H11" s="12">
        <v>360</v>
      </c>
    </row>
    <row r="12" spans="1:17" x14ac:dyDescent="0.25">
      <c r="B12">
        <f>AVERAGE(B2:B11)</f>
        <v>739</v>
      </c>
      <c r="C12">
        <f t="shared" ref="C12:H12" si="0">AVERAGE(C2:C11)</f>
        <v>62042.1</v>
      </c>
      <c r="D12">
        <f t="shared" si="0"/>
        <v>35764.5</v>
      </c>
      <c r="E12">
        <f t="shared" si="0"/>
        <v>35535.800000000003</v>
      </c>
      <c r="F12">
        <f t="shared" si="0"/>
        <v>177</v>
      </c>
      <c r="G12">
        <f t="shared" si="0"/>
        <v>402</v>
      </c>
      <c r="H12">
        <f t="shared" si="0"/>
        <v>369</v>
      </c>
    </row>
    <row r="16" spans="1:17" ht="18.75" x14ac:dyDescent="0.25">
      <c r="A16" s="9"/>
      <c r="B16" s="10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K16">
        <f>AVERAGE(B2:B11,B17:B26,B32:B41)</f>
        <v>725.66666666666663</v>
      </c>
      <c r="L16">
        <f t="shared" ref="L16:Q16" si="1">AVERAGE(C2:C11,C17:C26,C32:C41)</f>
        <v>61846.9</v>
      </c>
      <c r="M16">
        <f t="shared" si="1"/>
        <v>36593.633333333331</v>
      </c>
      <c r="N16">
        <f t="shared" si="1"/>
        <v>36088.620689655174</v>
      </c>
      <c r="O16">
        <f t="shared" si="1"/>
        <v>177</v>
      </c>
      <c r="P16">
        <f t="shared" si="1"/>
        <v>416.33333333333331</v>
      </c>
      <c r="Q16">
        <f t="shared" si="1"/>
        <v>345</v>
      </c>
    </row>
    <row r="17" spans="1:8" ht="18.75" x14ac:dyDescent="0.25">
      <c r="A17" s="12">
        <v>1</v>
      </c>
      <c r="B17" s="13">
        <v>780</v>
      </c>
      <c r="C17" s="13">
        <v>62258</v>
      </c>
      <c r="D17" s="13">
        <v>37888</v>
      </c>
      <c r="E17" s="13">
        <v>37808</v>
      </c>
      <c r="F17" s="13">
        <f>190-20</f>
        <v>170</v>
      </c>
      <c r="G17" s="13">
        <v>400</v>
      </c>
      <c r="H17" s="13">
        <f>370-20</f>
        <v>350</v>
      </c>
    </row>
    <row r="18" spans="1:8" ht="18.75" x14ac:dyDescent="0.25">
      <c r="A18" s="12">
        <v>2</v>
      </c>
      <c r="B18" s="14">
        <v>870</v>
      </c>
      <c r="C18" s="14">
        <v>59808</v>
      </c>
      <c r="D18" s="14">
        <v>36742</v>
      </c>
      <c r="E18" s="14">
        <v>34997</v>
      </c>
      <c r="F18" s="14">
        <v>180</v>
      </c>
      <c r="G18" s="15">
        <f>2030-1560</f>
        <v>470</v>
      </c>
      <c r="H18" s="14">
        <f>9020-8680</f>
        <v>340</v>
      </c>
    </row>
    <row r="19" spans="1:8" ht="18.75" x14ac:dyDescent="0.25">
      <c r="A19" s="12">
        <v>3</v>
      </c>
      <c r="B19" s="14">
        <v>720</v>
      </c>
      <c r="C19" s="14">
        <v>58184</v>
      </c>
      <c r="D19" s="14">
        <v>38683</v>
      </c>
      <c r="E19" s="14">
        <v>38209</v>
      </c>
      <c r="F19" s="14">
        <v>180</v>
      </c>
      <c r="G19" s="14">
        <v>420</v>
      </c>
      <c r="H19" s="14">
        <f>-(9290-9690)</f>
        <v>400</v>
      </c>
    </row>
    <row r="20" spans="1:8" ht="18.75" x14ac:dyDescent="0.25">
      <c r="A20" s="12">
        <v>4</v>
      </c>
      <c r="B20" s="14">
        <v>700</v>
      </c>
      <c r="C20" s="14">
        <v>62258</v>
      </c>
      <c r="D20" s="14">
        <v>34271</v>
      </c>
      <c r="E20" s="14">
        <v>31481</v>
      </c>
      <c r="F20" s="14">
        <v>170</v>
      </c>
      <c r="G20" s="14">
        <v>430</v>
      </c>
      <c r="H20" s="14">
        <v>350</v>
      </c>
    </row>
    <row r="21" spans="1:8" ht="18.75" x14ac:dyDescent="0.25">
      <c r="A21" s="12">
        <v>5</v>
      </c>
      <c r="B21" s="14">
        <v>710</v>
      </c>
      <c r="C21" s="14">
        <v>62230</v>
      </c>
      <c r="D21" s="14">
        <v>33901</v>
      </c>
      <c r="E21" s="14" t="s">
        <v>44</v>
      </c>
      <c r="F21" s="14">
        <v>180</v>
      </c>
      <c r="G21" s="14">
        <v>420</v>
      </c>
      <c r="H21" s="14">
        <v>320</v>
      </c>
    </row>
    <row r="22" spans="1:8" ht="18.75" x14ac:dyDescent="0.25">
      <c r="A22" s="12">
        <v>6</v>
      </c>
      <c r="B22" s="14">
        <v>690</v>
      </c>
      <c r="C22" s="14">
        <v>62258</v>
      </c>
      <c r="D22" s="14">
        <v>43124</v>
      </c>
      <c r="E22" s="14">
        <v>42079</v>
      </c>
      <c r="F22" s="14">
        <v>170</v>
      </c>
      <c r="G22" s="14">
        <v>400</v>
      </c>
      <c r="H22" s="14">
        <v>340</v>
      </c>
    </row>
    <row r="23" spans="1:8" ht="18.75" x14ac:dyDescent="0.25">
      <c r="A23" s="12">
        <v>7</v>
      </c>
      <c r="B23" s="14">
        <v>650</v>
      </c>
      <c r="C23" s="14">
        <v>62258</v>
      </c>
      <c r="D23" s="14">
        <v>33979</v>
      </c>
      <c r="E23" s="14">
        <v>33798</v>
      </c>
      <c r="F23" s="15">
        <f>2920-2740</f>
        <v>180</v>
      </c>
      <c r="G23" s="15">
        <f>1820-1410</f>
        <v>410</v>
      </c>
      <c r="H23" s="14">
        <f>2740-2430</f>
        <v>310</v>
      </c>
    </row>
    <row r="24" spans="1:8" ht="18.75" x14ac:dyDescent="0.25">
      <c r="A24" s="12">
        <v>8</v>
      </c>
      <c r="B24" s="14">
        <v>640</v>
      </c>
      <c r="C24" s="14">
        <v>62258</v>
      </c>
      <c r="D24" s="14">
        <v>29302</v>
      </c>
      <c r="E24" s="14">
        <v>28099</v>
      </c>
      <c r="F24" s="15">
        <f>-(3590-3770)</f>
        <v>180</v>
      </c>
      <c r="G24" s="14">
        <f>3160-2740</f>
        <v>420</v>
      </c>
      <c r="H24" s="14">
        <f>3380-3100</f>
        <v>280</v>
      </c>
    </row>
    <row r="25" spans="1:8" ht="18.75" x14ac:dyDescent="0.25">
      <c r="A25" s="12">
        <v>9</v>
      </c>
      <c r="B25" s="14">
        <v>680</v>
      </c>
      <c r="C25" s="14">
        <v>62258</v>
      </c>
      <c r="D25" s="14">
        <v>38463</v>
      </c>
      <c r="E25" s="14">
        <v>37703</v>
      </c>
      <c r="F25" s="15">
        <f>(4240-4060)</f>
        <v>180</v>
      </c>
      <c r="G25" s="14">
        <f>3820-3380</f>
        <v>440</v>
      </c>
      <c r="H25" s="14">
        <f>4060-3770</f>
        <v>290</v>
      </c>
    </row>
    <row r="26" spans="1:8" ht="18.75" x14ac:dyDescent="0.25">
      <c r="A26" s="12">
        <v>10</v>
      </c>
      <c r="B26" s="14">
        <v>690</v>
      </c>
      <c r="C26" s="14">
        <v>62258</v>
      </c>
      <c r="D26" s="14">
        <v>39743</v>
      </c>
      <c r="E26" s="14">
        <v>38223</v>
      </c>
      <c r="F26" s="15">
        <f>4930-4750</f>
        <v>180</v>
      </c>
      <c r="G26" s="14">
        <f>4490-4060</f>
        <v>430</v>
      </c>
      <c r="H26" s="14">
        <f>4750-4420</f>
        <v>330</v>
      </c>
    </row>
    <row r="27" spans="1:8" x14ac:dyDescent="0.25">
      <c r="B27">
        <f>AVERAGE(B17:B26)</f>
        <v>713</v>
      </c>
      <c r="C27">
        <f t="shared" ref="C27:H27" si="2">AVERAGE(C17:C26)</f>
        <v>61602.8</v>
      </c>
      <c r="D27">
        <f t="shared" si="2"/>
        <v>36609.599999999999</v>
      </c>
      <c r="E27">
        <f t="shared" si="2"/>
        <v>35821.888888888891</v>
      </c>
      <c r="F27">
        <f t="shared" si="2"/>
        <v>177</v>
      </c>
      <c r="G27">
        <f t="shared" si="2"/>
        <v>424</v>
      </c>
      <c r="H27">
        <f t="shared" si="2"/>
        <v>331</v>
      </c>
    </row>
    <row r="31" spans="1:8" ht="18.75" x14ac:dyDescent="0.25">
      <c r="A31" s="9"/>
      <c r="B31" s="10" t="s">
        <v>0</v>
      </c>
      <c r="C31" s="9" t="s">
        <v>1</v>
      </c>
      <c r="D31" s="9" t="s">
        <v>2</v>
      </c>
      <c r="E31" s="9" t="s">
        <v>3</v>
      </c>
      <c r="F31" s="9" t="s">
        <v>4</v>
      </c>
      <c r="G31" s="9" t="s">
        <v>5</v>
      </c>
      <c r="H31" s="9" t="s">
        <v>6</v>
      </c>
    </row>
    <row r="32" spans="1:8" ht="18.75" x14ac:dyDescent="0.25">
      <c r="A32" s="12">
        <v>1</v>
      </c>
      <c r="B32" s="13">
        <v>720</v>
      </c>
      <c r="C32" s="14">
        <v>62258</v>
      </c>
      <c r="D32" s="13">
        <v>41551</v>
      </c>
      <c r="E32" s="13">
        <v>40190</v>
      </c>
      <c r="F32" s="13">
        <v>180</v>
      </c>
      <c r="G32" s="13">
        <v>420</v>
      </c>
      <c r="H32" s="13">
        <f>360</f>
        <v>360</v>
      </c>
    </row>
    <row r="33" spans="1:8" ht="18.75" x14ac:dyDescent="0.25">
      <c r="A33" s="12">
        <v>2</v>
      </c>
      <c r="B33" s="14">
        <v>800</v>
      </c>
      <c r="C33" s="14">
        <v>62258</v>
      </c>
      <c r="D33" s="12">
        <v>33782</v>
      </c>
      <c r="E33" s="12">
        <v>33622</v>
      </c>
      <c r="F33" s="14">
        <v>180</v>
      </c>
      <c r="G33" s="15">
        <v>430</v>
      </c>
      <c r="H33" s="14">
        <v>340</v>
      </c>
    </row>
    <row r="34" spans="1:8" ht="18.75" x14ac:dyDescent="0.25">
      <c r="A34" s="12">
        <v>3</v>
      </c>
      <c r="B34" s="14">
        <v>800</v>
      </c>
      <c r="C34" s="14">
        <v>62258</v>
      </c>
      <c r="D34" s="12">
        <v>38311</v>
      </c>
      <c r="E34" s="14">
        <v>37395</v>
      </c>
      <c r="F34" s="14">
        <v>170</v>
      </c>
      <c r="G34" s="14">
        <v>420</v>
      </c>
      <c r="H34" s="14">
        <v>330</v>
      </c>
    </row>
    <row r="35" spans="1:8" ht="18.75" x14ac:dyDescent="0.25">
      <c r="A35" s="12">
        <v>4</v>
      </c>
      <c r="B35" s="14">
        <v>800</v>
      </c>
      <c r="C35" s="14">
        <v>62258</v>
      </c>
      <c r="D35" s="13">
        <v>36082</v>
      </c>
      <c r="E35" s="14">
        <v>35921</v>
      </c>
      <c r="F35" s="14">
        <v>180</v>
      </c>
      <c r="G35" s="14">
        <v>420</v>
      </c>
      <c r="H35" s="14">
        <v>360</v>
      </c>
    </row>
    <row r="36" spans="1:8" ht="18.75" x14ac:dyDescent="0.25">
      <c r="A36" s="12">
        <v>5</v>
      </c>
      <c r="B36" s="14">
        <v>780</v>
      </c>
      <c r="C36" s="14">
        <v>58636</v>
      </c>
      <c r="D36" s="14">
        <v>43188</v>
      </c>
      <c r="E36" s="14">
        <v>42586</v>
      </c>
      <c r="F36" s="14">
        <v>170</v>
      </c>
      <c r="G36" s="14">
        <v>400</v>
      </c>
      <c r="H36" s="14">
        <v>350</v>
      </c>
    </row>
    <row r="37" spans="1:8" ht="18.75" x14ac:dyDescent="0.25">
      <c r="A37" s="12">
        <v>6</v>
      </c>
      <c r="B37" s="14">
        <v>690</v>
      </c>
      <c r="C37" s="14">
        <v>62258</v>
      </c>
      <c r="D37" s="13">
        <v>35347</v>
      </c>
      <c r="E37" s="13">
        <v>34866</v>
      </c>
      <c r="F37" s="14">
        <v>180</v>
      </c>
      <c r="G37" s="14">
        <v>410</v>
      </c>
      <c r="H37" s="14">
        <v>350</v>
      </c>
    </row>
    <row r="38" spans="1:8" ht="18.75" x14ac:dyDescent="0.25">
      <c r="A38" s="12">
        <v>7</v>
      </c>
      <c r="B38" s="14">
        <v>650</v>
      </c>
      <c r="C38" s="14">
        <v>62258</v>
      </c>
      <c r="D38" s="14">
        <v>37703</v>
      </c>
      <c r="E38" s="14">
        <v>37005</v>
      </c>
      <c r="F38" s="15">
        <v>180</v>
      </c>
      <c r="G38" s="15">
        <v>400</v>
      </c>
      <c r="H38" s="14">
        <v>360</v>
      </c>
    </row>
    <row r="39" spans="1:8" ht="18.75" x14ac:dyDescent="0.25">
      <c r="A39" s="12">
        <v>8</v>
      </c>
      <c r="B39" s="14">
        <v>640</v>
      </c>
      <c r="C39" s="14">
        <v>62258</v>
      </c>
      <c r="D39" s="14">
        <v>31034</v>
      </c>
      <c r="E39" s="14">
        <v>30588</v>
      </c>
      <c r="F39" s="15">
        <v>180</v>
      </c>
      <c r="G39" s="14">
        <v>430</v>
      </c>
      <c r="H39" s="14">
        <v>330</v>
      </c>
    </row>
    <row r="40" spans="1:8" ht="18.75" x14ac:dyDescent="0.25">
      <c r="A40" s="12">
        <v>9</v>
      </c>
      <c r="B40" s="14">
        <v>680</v>
      </c>
      <c r="C40" s="14">
        <v>62258</v>
      </c>
      <c r="D40" s="14">
        <v>38299</v>
      </c>
      <c r="E40" s="14">
        <v>37932</v>
      </c>
      <c r="F40" s="15">
        <v>170</v>
      </c>
      <c r="G40" s="14">
        <v>460</v>
      </c>
      <c r="H40" s="14">
        <v>280</v>
      </c>
    </row>
    <row r="41" spans="1:8" ht="18.75" x14ac:dyDescent="0.25">
      <c r="A41" s="12">
        <v>10</v>
      </c>
      <c r="B41" s="14">
        <v>690</v>
      </c>
      <c r="C41" s="14">
        <v>62258</v>
      </c>
      <c r="D41" s="14">
        <v>38771</v>
      </c>
      <c r="E41" s="14">
        <v>38710</v>
      </c>
      <c r="F41" s="15">
        <v>180</v>
      </c>
      <c r="G41" s="14">
        <v>440</v>
      </c>
      <c r="H41" s="14">
        <v>290</v>
      </c>
    </row>
    <row r="42" spans="1:8" x14ac:dyDescent="0.25">
      <c r="B42">
        <f>AVERAGE(B32:B41)</f>
        <v>725</v>
      </c>
      <c r="C42">
        <f t="shared" ref="C42" si="3">AVERAGE(C32:C41)</f>
        <v>61895.8</v>
      </c>
      <c r="D42">
        <f t="shared" ref="D42" si="4">AVERAGE(D32:D41)</f>
        <v>37406.800000000003</v>
      </c>
      <c r="E42">
        <f t="shared" ref="E42" si="5">AVERAGE(E32:E41)</f>
        <v>36881.5</v>
      </c>
      <c r="F42">
        <f t="shared" ref="F42" si="6">AVERAGE(F32:F41)</f>
        <v>177</v>
      </c>
      <c r="G42">
        <f t="shared" ref="G42" si="7">AVERAGE(G32:G41)</f>
        <v>423</v>
      </c>
      <c r="H42">
        <f t="shared" ref="H42" si="8">AVERAGE(H32:H41)</f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F9ED-0284-4DF1-9CC0-A2F0EBC7CA51}">
  <dimension ref="A1:P37"/>
  <sheetViews>
    <sheetView zoomScale="80" zoomScaleNormal="80" workbookViewId="0">
      <selection activeCell="G19" sqref="G19"/>
    </sheetView>
  </sheetViews>
  <sheetFormatPr defaultRowHeight="15" x14ac:dyDescent="0.25"/>
  <cols>
    <col min="1" max="1" width="18.42578125" customWidth="1"/>
    <col min="2" max="2" width="14.85546875" customWidth="1"/>
    <col min="3" max="3" width="16.28515625" customWidth="1"/>
    <col min="4" max="4" width="14.28515625" customWidth="1"/>
    <col min="5" max="5" width="14" style="23" customWidth="1"/>
    <col min="6" max="6" width="14.42578125" customWidth="1"/>
    <col min="7" max="7" width="60.42578125" customWidth="1"/>
    <col min="9" max="9" width="12.42578125" customWidth="1"/>
    <col min="10" max="10" width="6.7109375" customWidth="1"/>
    <col min="11" max="11" width="8.7109375" customWidth="1"/>
    <col min="12" max="12" width="9.42578125" customWidth="1"/>
    <col min="13" max="13" width="13.7109375" customWidth="1"/>
  </cols>
  <sheetData>
    <row r="1" spans="1:16" s="16" customFormat="1" ht="20.25" x14ac:dyDescent="0.3">
      <c r="A1" s="19"/>
      <c r="B1" s="19" t="s">
        <v>18</v>
      </c>
      <c r="C1" s="19" t="s">
        <v>37</v>
      </c>
      <c r="D1" s="19" t="s">
        <v>38</v>
      </c>
      <c r="E1" s="20" t="s">
        <v>39</v>
      </c>
      <c r="F1" s="19" t="s">
        <v>40</v>
      </c>
    </row>
    <row r="2" spans="1:16" ht="15.75" customHeight="1" x14ac:dyDescent="0.25">
      <c r="A2" s="5" t="s">
        <v>20</v>
      </c>
      <c r="B2" s="6">
        <v>4363</v>
      </c>
      <c r="C2" s="6">
        <v>4317</v>
      </c>
      <c r="D2" s="6">
        <v>3661.5</v>
      </c>
      <c r="E2" s="22">
        <v>4190</v>
      </c>
      <c r="F2" s="6">
        <v>3821</v>
      </c>
      <c r="G2" s="18" t="s">
        <v>19</v>
      </c>
    </row>
    <row r="3" spans="1:16" ht="15.75" x14ac:dyDescent="0.25">
      <c r="A3" s="5" t="s">
        <v>21</v>
      </c>
      <c r="B3" s="5">
        <f>570-460</f>
        <v>110</v>
      </c>
      <c r="C3" s="5">
        <f>450-350</f>
        <v>100</v>
      </c>
      <c r="D3" s="5">
        <f>360-270</f>
        <v>90</v>
      </c>
      <c r="E3" s="21">
        <f>160-70</f>
        <v>90</v>
      </c>
      <c r="F3" s="5">
        <f>620-520</f>
        <v>100</v>
      </c>
      <c r="G3" s="17" t="s">
        <v>22</v>
      </c>
    </row>
    <row r="4" spans="1:16" ht="15.75" x14ac:dyDescent="0.25">
      <c r="A4" s="5" t="s">
        <v>24</v>
      </c>
      <c r="B4" s="6">
        <v>460.25</v>
      </c>
      <c r="C4" s="6">
        <v>720.75</v>
      </c>
      <c r="D4" s="5">
        <v>403</v>
      </c>
      <c r="E4" s="25">
        <v>564</v>
      </c>
      <c r="F4" s="6">
        <v>613</v>
      </c>
      <c r="G4" s="17" t="s">
        <v>23</v>
      </c>
    </row>
    <row r="5" spans="1:16" ht="15.75" x14ac:dyDescent="0.25">
      <c r="A5" s="5" t="s">
        <v>25</v>
      </c>
      <c r="B5" s="5">
        <f>1810-460</f>
        <v>1350</v>
      </c>
      <c r="C5" s="6">
        <f>1060-350</f>
        <v>710</v>
      </c>
      <c r="D5" s="5">
        <f>1040-270</f>
        <v>770</v>
      </c>
      <c r="E5" s="21">
        <f>880-70</f>
        <v>810</v>
      </c>
      <c r="F5" s="5">
        <f>1260-520</f>
        <v>740</v>
      </c>
      <c r="G5" s="17" t="s">
        <v>34</v>
      </c>
    </row>
    <row r="6" spans="1:16" ht="15.75" x14ac:dyDescent="0.25">
      <c r="A6" s="5" t="s">
        <v>28</v>
      </c>
      <c r="B6" s="5">
        <v>-2111.5</v>
      </c>
      <c r="C6" s="6">
        <v>-2607.5</v>
      </c>
      <c r="D6" s="5">
        <v>-2031.5</v>
      </c>
      <c r="E6" s="21">
        <v>-2147.5</v>
      </c>
      <c r="F6" s="6">
        <v>-2181</v>
      </c>
      <c r="G6" s="17" t="s">
        <v>27</v>
      </c>
    </row>
    <row r="7" spans="1:16" ht="15.75" x14ac:dyDescent="0.25">
      <c r="A7" s="5" t="s">
        <v>31</v>
      </c>
      <c r="B7" s="5">
        <f>730-460</f>
        <v>270</v>
      </c>
      <c r="C7" s="6">
        <f>600-350</f>
        <v>250</v>
      </c>
      <c r="D7" s="5">
        <f>510-270</f>
        <v>240</v>
      </c>
      <c r="E7" s="21">
        <f>320-70</f>
        <v>250</v>
      </c>
      <c r="F7" s="5">
        <f>770-520</f>
        <v>250</v>
      </c>
      <c r="G7" s="17" t="s">
        <v>26</v>
      </c>
    </row>
    <row r="8" spans="1:16" ht="15.75" x14ac:dyDescent="0.25">
      <c r="A8" s="5" t="s">
        <v>30</v>
      </c>
      <c r="B8" s="6">
        <v>-1811.75</v>
      </c>
      <c r="C8" s="6">
        <v>-1184.75</v>
      </c>
      <c r="D8" s="5">
        <v>-643.25</v>
      </c>
      <c r="E8" s="21">
        <v>-628</v>
      </c>
      <c r="F8" s="6">
        <v>-616.5</v>
      </c>
      <c r="G8" s="17" t="s">
        <v>35</v>
      </c>
    </row>
    <row r="9" spans="1:16" ht="15.75" x14ac:dyDescent="0.25">
      <c r="A9" s="5" t="s">
        <v>29</v>
      </c>
      <c r="B9" s="5">
        <f>1230-460</f>
        <v>770</v>
      </c>
      <c r="C9" s="6">
        <f>1150-350</f>
        <v>800</v>
      </c>
      <c r="D9" s="5">
        <f>1150-270</f>
        <v>880</v>
      </c>
      <c r="E9" s="21">
        <f>1010-70</f>
        <v>940</v>
      </c>
      <c r="F9" s="5">
        <f>1390-520</f>
        <v>870</v>
      </c>
      <c r="G9" s="17" t="s">
        <v>36</v>
      </c>
    </row>
    <row r="11" spans="1:16" x14ac:dyDescent="0.25">
      <c r="I11" t="s">
        <v>20</v>
      </c>
      <c r="J11" t="s">
        <v>21</v>
      </c>
      <c r="K11" t="s">
        <v>24</v>
      </c>
      <c r="L11" t="s">
        <v>25</v>
      </c>
      <c r="M11" t="s">
        <v>28</v>
      </c>
      <c r="N11" t="s">
        <v>31</v>
      </c>
      <c r="O11" t="s">
        <v>30</v>
      </c>
      <c r="P11" t="s">
        <v>29</v>
      </c>
    </row>
    <row r="12" spans="1:16" x14ac:dyDescent="0.25">
      <c r="B12" t="s">
        <v>32</v>
      </c>
      <c r="E12" s="23" t="s">
        <v>33</v>
      </c>
      <c r="H12" t="s">
        <v>18</v>
      </c>
      <c r="I12">
        <f>AVERAGE(B2,B17,B30)</f>
        <v>4552.333333333333</v>
      </c>
      <c r="J12">
        <f>AVERAGE(B3,B18,B31)</f>
        <v>100</v>
      </c>
      <c r="K12">
        <f>AVERAGE(B4,B19,B32)</f>
        <v>580.16666666666663</v>
      </c>
      <c r="L12">
        <f>AVERAGE(B5,B20,B33)</f>
        <v>1006.6666666666666</v>
      </c>
      <c r="M12">
        <f>AVERAGE(B6,B21,B34)</f>
        <v>-1680.1666666666667</v>
      </c>
      <c r="N12">
        <f>AVERAGE(B7,B22,B35)</f>
        <v>436.66666666666669</v>
      </c>
      <c r="O12">
        <f>AVERAGE(B8,B23,B36)</f>
        <v>-1259.3333333333333</v>
      </c>
      <c r="P12">
        <f>AVERAGE(B9,B24,B37)</f>
        <v>890</v>
      </c>
    </row>
    <row r="13" spans="1:16" x14ac:dyDescent="0.25">
      <c r="H13">
        <v>1</v>
      </c>
      <c r="I13">
        <f>AVERAGE(C2,C17,C30)</f>
        <v>4449.833333333333</v>
      </c>
      <c r="J13">
        <f>AVERAGE(C3,C18,C31)</f>
        <v>90</v>
      </c>
      <c r="K13">
        <f>AVERAGE(C4,C19,C32)</f>
        <v>682.83333333333337</v>
      </c>
      <c r="L13">
        <f>AVERAGE(C5,C20,C33)</f>
        <v>666.66666666666663</v>
      </c>
      <c r="M13">
        <f>AVERAGE(C6,C21,C34)</f>
        <v>-2064.3333333333335</v>
      </c>
      <c r="N13">
        <f>AVERAGE(C7,C22,C35)</f>
        <v>340</v>
      </c>
      <c r="O13">
        <f>AVERAGE(C8,C23,C36)</f>
        <v>-999.83333333333337</v>
      </c>
      <c r="P13">
        <f>AVERAGE(C9,C24,C37)</f>
        <v>793.33333333333337</v>
      </c>
    </row>
    <row r="14" spans="1:16" x14ac:dyDescent="0.25">
      <c r="H14">
        <v>2</v>
      </c>
      <c r="I14">
        <f>AVERAGE(D2,D17,D30)</f>
        <v>4579.833333333333</v>
      </c>
      <c r="J14">
        <f>AVERAGE(D3,D18,D31)</f>
        <v>100</v>
      </c>
      <c r="K14">
        <f>AVERAGE(D4,D19,D32)</f>
        <v>617.16666666666663</v>
      </c>
      <c r="L14">
        <f>AVERAGE(D5,D20,D33)</f>
        <v>790</v>
      </c>
      <c r="M14">
        <f>AVERAGE(D6,D21,D34)</f>
        <v>-1747.8333333333333</v>
      </c>
      <c r="N14">
        <f>AVERAGE(D7,D22,D35)</f>
        <v>400</v>
      </c>
      <c r="O14">
        <f>AVERAGE(D8,D23,D36)</f>
        <v>-978.5</v>
      </c>
      <c r="P14">
        <f>AVERAGE(D9,D24,D37)</f>
        <v>906.66666666666663</v>
      </c>
    </row>
    <row r="15" spans="1:16" x14ac:dyDescent="0.25">
      <c r="H15">
        <v>3</v>
      </c>
      <c r="I15">
        <f>AVERAGE(E2,E17,E30)</f>
        <v>4499.166666666667</v>
      </c>
      <c r="J15">
        <f>AVERAGE(E3,E18,E31)</f>
        <v>100</v>
      </c>
      <c r="K15">
        <f>AVERAGE(E4,E19,E32)</f>
        <v>601.75</v>
      </c>
      <c r="L15">
        <f>AVERAGE(E5,E20,E33)</f>
        <v>763.33333333333337</v>
      </c>
      <c r="M15">
        <f>AVERAGE(E6,E21,E34)</f>
        <v>-1757.3333333333333</v>
      </c>
      <c r="N15">
        <f>AVERAGE(E7,E22,E35)</f>
        <v>366.66666666666669</v>
      </c>
      <c r="O15">
        <f>AVERAGE(E8,E23,E36)</f>
        <v>-1169.1666666666667</v>
      </c>
      <c r="P15">
        <f>AVERAGE(E9,E24,E37)</f>
        <v>816.66666666666663</v>
      </c>
    </row>
    <row r="16" spans="1:16" ht="15.75" x14ac:dyDescent="0.25">
      <c r="A16" s="19"/>
      <c r="B16" s="19" t="s">
        <v>18</v>
      </c>
      <c r="C16" s="19" t="s">
        <v>37</v>
      </c>
      <c r="D16" s="19" t="s">
        <v>38</v>
      </c>
      <c r="E16" s="19" t="s">
        <v>39</v>
      </c>
      <c r="F16" s="19" t="s">
        <v>40</v>
      </c>
      <c r="H16">
        <v>4</v>
      </c>
      <c r="I16">
        <f>AVERAGE(F2,F17,F30)</f>
        <v>4564.166666666667</v>
      </c>
      <c r="J16">
        <f>AVERAGE(F3,F18,F31)</f>
        <v>90</v>
      </c>
      <c r="K16">
        <f>AVERAGE(F4,F19,F32)</f>
        <v>704.08333333333337</v>
      </c>
      <c r="L16">
        <f>AVERAGE(F5,F20,F33)</f>
        <v>713.33333333333337</v>
      </c>
      <c r="M16">
        <f>AVERAGE(F6,F21,F34)</f>
        <v>-1969.6666666666667</v>
      </c>
      <c r="N16">
        <f>AVERAGE(F7,F22,F35)</f>
        <v>390</v>
      </c>
      <c r="O16">
        <f>AVERAGE(F8,F23,F36)</f>
        <v>-903.83333333333337</v>
      </c>
      <c r="P16">
        <f>AVERAGE(F9,F24,F37)</f>
        <v>833.33333333333337</v>
      </c>
    </row>
    <row r="17" spans="1:6" ht="15.75" x14ac:dyDescent="0.25">
      <c r="A17" s="5" t="s">
        <v>20</v>
      </c>
      <c r="B17" s="5">
        <v>4841.5</v>
      </c>
      <c r="C17" s="5">
        <v>4700</v>
      </c>
      <c r="D17" s="6">
        <v>4968.5</v>
      </c>
      <c r="E17" s="24">
        <v>4968.5</v>
      </c>
      <c r="F17" s="5">
        <v>4449</v>
      </c>
    </row>
    <row r="18" spans="1:6" ht="15.75" x14ac:dyDescent="0.25">
      <c r="A18" s="5" t="s">
        <v>21</v>
      </c>
      <c r="B18" s="5">
        <f>350-250</f>
        <v>100</v>
      </c>
      <c r="C18" s="5">
        <f>370-280</f>
        <v>90</v>
      </c>
      <c r="D18" s="5">
        <f>1070-950</f>
        <v>120</v>
      </c>
      <c r="E18" s="5">
        <v>90</v>
      </c>
      <c r="F18" s="5">
        <f>930-840</f>
        <v>90</v>
      </c>
    </row>
    <row r="19" spans="1:6" ht="15.75" x14ac:dyDescent="0.25">
      <c r="A19" s="5" t="s">
        <v>24</v>
      </c>
      <c r="B19" s="6">
        <v>661.25</v>
      </c>
      <c r="C19" s="6">
        <v>620.25</v>
      </c>
      <c r="D19" s="6">
        <v>719</v>
      </c>
      <c r="E19" s="6">
        <v>664</v>
      </c>
      <c r="F19" s="5">
        <v>637</v>
      </c>
    </row>
    <row r="20" spans="1:6" ht="15.75" x14ac:dyDescent="0.25">
      <c r="A20" s="5" t="s">
        <v>25</v>
      </c>
      <c r="B20" s="5">
        <f>1070-250</f>
        <v>820</v>
      </c>
      <c r="C20" s="5">
        <f>920-250</f>
        <v>670</v>
      </c>
      <c r="D20" s="5">
        <f>1000-220</f>
        <v>780</v>
      </c>
      <c r="E20" s="5">
        <v>630</v>
      </c>
      <c r="F20" s="5">
        <f>1580-870</f>
        <v>710</v>
      </c>
    </row>
    <row r="21" spans="1:6" ht="15.75" x14ac:dyDescent="0.25">
      <c r="A21" s="5" t="s">
        <v>28</v>
      </c>
      <c r="B21" s="6">
        <v>-2117</v>
      </c>
      <c r="C21" s="5">
        <v>-2117</v>
      </c>
      <c r="D21" s="6">
        <v>-2188</v>
      </c>
      <c r="E21" s="6">
        <v>-2002.5</v>
      </c>
      <c r="F21" s="6">
        <v>-2100.5</v>
      </c>
    </row>
    <row r="22" spans="1:6" ht="15.75" x14ac:dyDescent="0.25">
      <c r="A22" s="5" t="s">
        <v>31</v>
      </c>
      <c r="B22" s="5">
        <f>520-250</f>
        <v>270</v>
      </c>
      <c r="C22" s="5">
        <f>520-250</f>
        <v>270</v>
      </c>
      <c r="D22" s="5">
        <f>450-220</f>
        <v>230</v>
      </c>
      <c r="E22" s="5">
        <f>250</f>
        <v>250</v>
      </c>
      <c r="F22" s="5">
        <v>300</v>
      </c>
    </row>
    <row r="23" spans="1:6" ht="15.75" x14ac:dyDescent="0.25">
      <c r="A23" s="5" t="s">
        <v>30</v>
      </c>
      <c r="B23" s="6">
        <v>-1372.75</v>
      </c>
      <c r="C23" s="6">
        <v>-1101.75</v>
      </c>
      <c r="D23" s="6">
        <v>-1674.75</v>
      </c>
      <c r="E23" s="6">
        <f>-1461</f>
        <v>-1461</v>
      </c>
      <c r="F23" s="6">
        <v>-722.75</v>
      </c>
    </row>
    <row r="24" spans="1:6" ht="15.75" x14ac:dyDescent="0.25">
      <c r="A24" s="5" t="s">
        <v>29</v>
      </c>
      <c r="B24" s="5">
        <f>1180-250</f>
        <v>930</v>
      </c>
      <c r="C24" s="5">
        <f>1030-250</f>
        <v>780</v>
      </c>
      <c r="D24" s="5">
        <f>1120-220</f>
        <v>900</v>
      </c>
      <c r="E24" s="5">
        <v>780</v>
      </c>
      <c r="F24" s="5">
        <f>1690-870</f>
        <v>820</v>
      </c>
    </row>
    <row r="29" spans="1:6" ht="15.75" x14ac:dyDescent="0.25">
      <c r="A29" s="19"/>
      <c r="B29" s="19" t="s">
        <v>18</v>
      </c>
      <c r="C29" s="19" t="s">
        <v>37</v>
      </c>
      <c r="D29" s="19" t="s">
        <v>38</v>
      </c>
      <c r="E29" s="19" t="s">
        <v>39</v>
      </c>
      <c r="F29" s="19" t="s">
        <v>40</v>
      </c>
    </row>
    <row r="30" spans="1:6" ht="15.75" x14ac:dyDescent="0.25">
      <c r="A30" s="5" t="s">
        <v>20</v>
      </c>
      <c r="B30" s="5">
        <v>4452.5</v>
      </c>
      <c r="C30" s="5">
        <v>4332.5</v>
      </c>
      <c r="D30" s="6">
        <v>5109.5</v>
      </c>
      <c r="E30" s="6">
        <v>4339</v>
      </c>
      <c r="F30" s="6">
        <v>5422.5</v>
      </c>
    </row>
    <row r="31" spans="1:6" ht="15.75" x14ac:dyDescent="0.25">
      <c r="A31" s="5" t="s">
        <v>21</v>
      </c>
      <c r="B31" s="5">
        <v>90</v>
      </c>
      <c r="C31" s="5">
        <v>80</v>
      </c>
      <c r="D31" s="5">
        <v>90</v>
      </c>
      <c r="E31" s="5">
        <v>120</v>
      </c>
      <c r="F31" s="5">
        <v>80</v>
      </c>
    </row>
    <row r="32" spans="1:6" ht="15.75" x14ac:dyDescent="0.25">
      <c r="A32" s="5" t="s">
        <v>24</v>
      </c>
      <c r="B32" s="6">
        <v>619</v>
      </c>
      <c r="C32" s="6">
        <v>707.5</v>
      </c>
      <c r="D32" s="6">
        <v>729.5</v>
      </c>
      <c r="E32" s="6">
        <v>577.25</v>
      </c>
      <c r="F32" s="6">
        <v>862.25</v>
      </c>
    </row>
    <row r="33" spans="1:6" ht="15.75" x14ac:dyDescent="0.25">
      <c r="A33" s="5" t="s">
        <v>25</v>
      </c>
      <c r="B33" s="5">
        <v>850</v>
      </c>
      <c r="C33" s="5">
        <v>620</v>
      </c>
      <c r="D33" s="5">
        <v>820</v>
      </c>
      <c r="E33" s="5">
        <v>850</v>
      </c>
      <c r="F33" s="5">
        <v>690</v>
      </c>
    </row>
    <row r="34" spans="1:6" ht="15.75" x14ac:dyDescent="0.25">
      <c r="A34" s="5" t="s">
        <v>28</v>
      </c>
      <c r="B34" s="6">
        <v>-812</v>
      </c>
      <c r="C34" s="5">
        <v>-1468.5</v>
      </c>
      <c r="D34" s="6">
        <v>-1024</v>
      </c>
      <c r="E34" s="6">
        <v>-1122</v>
      </c>
      <c r="F34" s="6">
        <v>-1627.5</v>
      </c>
    </row>
    <row r="35" spans="1:6" ht="15.75" x14ac:dyDescent="0.25">
      <c r="A35" s="5" t="s">
        <v>31</v>
      </c>
      <c r="B35" s="5">
        <v>770</v>
      </c>
      <c r="C35" s="5">
        <v>500</v>
      </c>
      <c r="D35" s="5">
        <v>730</v>
      </c>
      <c r="E35" s="5">
        <v>600</v>
      </c>
      <c r="F35" s="5">
        <v>620</v>
      </c>
    </row>
    <row r="36" spans="1:6" ht="15.75" x14ac:dyDescent="0.25">
      <c r="A36" s="5" t="s">
        <v>30</v>
      </c>
      <c r="B36" s="6">
        <v>-593.5</v>
      </c>
      <c r="C36" s="6">
        <v>-713</v>
      </c>
      <c r="D36" s="6">
        <v>-617.5</v>
      </c>
      <c r="E36" s="6">
        <v>-1418.5</v>
      </c>
      <c r="F36" s="6">
        <v>-1372.25</v>
      </c>
    </row>
    <row r="37" spans="1:6" ht="15.75" x14ac:dyDescent="0.25">
      <c r="A37" s="5" t="s">
        <v>29</v>
      </c>
      <c r="B37" s="5">
        <v>970</v>
      </c>
      <c r="C37" s="5">
        <v>800</v>
      </c>
      <c r="D37" s="5">
        <v>940</v>
      </c>
      <c r="E37" s="5">
        <v>730</v>
      </c>
      <c r="F37" s="5">
        <v>810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-pmf</vt:lpstr>
      <vt:lpstr>comparing table</vt:lpstr>
      <vt:lpstr>Sheet3</vt:lpstr>
      <vt:lpstr>10_100H</vt:lpstr>
      <vt:lpstr>10_500H</vt:lpstr>
      <vt:lpstr>70_100H</vt:lpstr>
      <vt:lpstr>70_500H</vt:lpstr>
      <vt:lpstr>Derivative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Kiser</dc:creator>
  <cp:lastModifiedBy>Ahmed Kiser</cp:lastModifiedBy>
  <cp:lastPrinted>2024-04-08T16:22:10Z</cp:lastPrinted>
  <dcterms:created xsi:type="dcterms:W3CDTF">2024-04-07T13:15:01Z</dcterms:created>
  <dcterms:modified xsi:type="dcterms:W3CDTF">2024-04-22T17:58:17Z</dcterms:modified>
</cp:coreProperties>
</file>