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5771B4B-8F7C-4B0C-A9D5-A0EFB112AA84}" xr6:coauthVersionLast="47" xr6:coauthVersionMax="47" xr10:uidLastSave="{00000000-0000-0000-0000-000000000000}"/>
  <bookViews>
    <workbookView xWindow="-108" yWindow="-108" windowWidth="23256" windowHeight="12456" activeTab="4" xr2:uid="{03F8EDA5-D66D-4D97-9586-100DD2D71474}"/>
  </bookViews>
  <sheets>
    <sheet name="Picture" sheetId="11" r:id="rId1"/>
    <sheet name="Tasks" sheetId="1" r:id="rId2"/>
    <sheet name="Budget Plan" sheetId="3" r:id="rId3"/>
    <sheet name="list" sheetId="13" r:id="rId4"/>
    <sheet name="DashBoard" sheetId="12" r:id="rId5"/>
    <sheet name="Issues" sheetId="2" r:id="rId6"/>
    <sheet name="SpeedoMeters" sheetId="10" r:id="rId7"/>
  </sheets>
  <definedNames>
    <definedName name="_xlnm._FilterDatabase" localSheetId="4" hidden="1">DashBoard!$I$30:$M$30</definedName>
    <definedName name="_xlnm._FilterDatabase" localSheetId="5" hidden="1">Issues!$A$3:$K$19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D5" i="3"/>
  <c r="I32" i="12"/>
  <c r="I33" i="12" s="1"/>
  <c r="I34" i="12" s="1"/>
  <c r="I35" i="12" s="1"/>
  <c r="A32" i="12"/>
  <c r="A33" i="12" s="1"/>
  <c r="A34" i="12" s="1"/>
  <c r="A35" i="12" s="1"/>
  <c r="AD1" i="13" a="1"/>
  <c r="AD1" i="13" s="1"/>
  <c r="Y13" i="13" s="1"/>
  <c r="C4" i="13" a="1"/>
  <c r="C4" i="13" s="1"/>
  <c r="AC2" i="13" a="1"/>
  <c r="AC2" i="13" s="1"/>
  <c r="AA2" i="13" s="1"/>
  <c r="AD4" i="13"/>
  <c r="AD5" i="13"/>
  <c r="AD6" i="13"/>
  <c r="AC6" i="13"/>
  <c r="AC5" i="13"/>
  <c r="AC4" i="13"/>
  <c r="C3" i="13" a="1"/>
  <c r="C3" i="13" s="1"/>
  <c r="H1" i="3"/>
  <c r="E9" i="3"/>
  <c r="F8" i="3"/>
  <c r="G8" i="3"/>
  <c r="H8" i="3" s="1"/>
  <c r="I8" i="3" s="1"/>
  <c r="J8" i="3" s="1"/>
  <c r="D8" i="3"/>
  <c r="E8" i="3"/>
  <c r="C8" i="3"/>
  <c r="C11" i="3"/>
  <c r="D11" i="3"/>
  <c r="E11" i="3"/>
  <c r="F11" i="3"/>
  <c r="G11" i="3"/>
  <c r="H11" i="3"/>
  <c r="H9" i="3" s="1"/>
  <c r="I11" i="3"/>
  <c r="J11" i="3"/>
  <c r="D10" i="3"/>
  <c r="E10" i="3"/>
  <c r="F10" i="3"/>
  <c r="G10" i="3"/>
  <c r="H10" i="3"/>
  <c r="I10" i="3"/>
  <c r="J10" i="3"/>
  <c r="C10" i="3"/>
  <c r="P10" i="1"/>
  <c r="P9" i="1"/>
  <c r="P6" i="1"/>
  <c r="P3" i="1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O6" i="2"/>
  <c r="F6" i="2"/>
  <c r="E6" i="2"/>
  <c r="O5" i="2"/>
  <c r="F5" i="2"/>
  <c r="E5" i="2"/>
  <c r="O4" i="2"/>
  <c r="F4" i="2"/>
  <c r="E4" i="2"/>
  <c r="E2" i="2"/>
  <c r="H4" i="13" a="1"/>
  <c r="H4" i="13" s="1"/>
  <c r="A5" i="3" s="1"/>
  <c r="D6" i="3" s="1"/>
  <c r="E6" i="3" s="1"/>
  <c r="F6" i="3" s="1"/>
  <c r="K19" i="3"/>
  <c r="K17" i="3"/>
  <c r="K15" i="3"/>
  <c r="K13" i="3"/>
  <c r="D9" i="3"/>
  <c r="F9" i="3" s="1"/>
  <c r="G9" i="3" s="1"/>
  <c r="H2" i="3" s="1"/>
  <c r="J3" i="10" s="1"/>
  <c r="C9" i="3"/>
  <c r="J6" i="3"/>
  <c r="I6" i="3"/>
  <c r="H6" i="3"/>
  <c r="E1" i="3"/>
  <c r="M24" i="1"/>
  <c r="B3" i="10" s="1"/>
  <c r="T23" i="1"/>
  <c r="K23" i="1"/>
  <c r="L23" i="1" s="1"/>
  <c r="N23" i="1" s="1"/>
  <c r="D23" i="1"/>
  <c r="V22" i="1"/>
  <c r="V21" i="1" s="1"/>
  <c r="V20" i="1" s="1"/>
  <c r="V19" i="1" s="1"/>
  <c r="V18" i="1" s="1"/>
  <c r="V17" i="1" s="1"/>
  <c r="V16" i="1" s="1"/>
  <c r="V15" i="1" s="1"/>
  <c r="V14" i="1" s="1"/>
  <c r="V13" i="1" s="1"/>
  <c r="V12" i="1" s="1"/>
  <c r="V11" i="1" s="1"/>
  <c r="V10" i="1" s="1"/>
  <c r="V9" i="1" s="1"/>
  <c r="V8" i="1" s="1"/>
  <c r="V7" i="1" s="1"/>
  <c r="V6" i="1" s="1"/>
  <c r="V5" i="1" s="1"/>
  <c r="V4" i="1" s="1"/>
  <c r="V3" i="1" s="1"/>
  <c r="T22" i="1"/>
  <c r="K22" i="1"/>
  <c r="L22" i="1" s="1"/>
  <c r="N22" i="1" s="1"/>
  <c r="D22" i="1"/>
  <c r="T21" i="1"/>
  <c r="K21" i="1"/>
  <c r="L21" i="1" s="1"/>
  <c r="N21" i="1" s="1"/>
  <c r="D21" i="1"/>
  <c r="T20" i="1"/>
  <c r="K20" i="1"/>
  <c r="L20" i="1" s="1"/>
  <c r="N20" i="1" s="1"/>
  <c r="D20" i="1"/>
  <c r="T19" i="1"/>
  <c r="K19" i="1"/>
  <c r="L19" i="1" s="1"/>
  <c r="N19" i="1" s="1"/>
  <c r="D19" i="1"/>
  <c r="T18" i="1"/>
  <c r="K18" i="1"/>
  <c r="L18" i="1" s="1"/>
  <c r="N18" i="1" s="1"/>
  <c r="D18" i="1"/>
  <c r="T17" i="1"/>
  <c r="K17" i="1"/>
  <c r="L17" i="1" s="1"/>
  <c r="N17" i="1" s="1"/>
  <c r="D17" i="1"/>
  <c r="T16" i="1"/>
  <c r="K16" i="1"/>
  <c r="L16" i="1" s="1"/>
  <c r="N16" i="1" s="1"/>
  <c r="D16" i="1"/>
  <c r="T15" i="1"/>
  <c r="K15" i="1"/>
  <c r="L15" i="1" s="1"/>
  <c r="N15" i="1" s="1"/>
  <c r="D15" i="1"/>
  <c r="T14" i="1"/>
  <c r="K14" i="1"/>
  <c r="L14" i="1" s="1"/>
  <c r="N14" i="1" s="1"/>
  <c r="D14" i="1"/>
  <c r="T13" i="1"/>
  <c r="K13" i="1"/>
  <c r="L13" i="1" s="1"/>
  <c r="N13" i="1" s="1"/>
  <c r="D13" i="1"/>
  <c r="T12" i="1"/>
  <c r="K12" i="1"/>
  <c r="L12" i="1" s="1"/>
  <c r="N12" i="1" s="1"/>
  <c r="D12" i="1"/>
  <c r="T11" i="1"/>
  <c r="K11" i="1"/>
  <c r="L11" i="1" s="1"/>
  <c r="N11" i="1" s="1"/>
  <c r="D11" i="1"/>
  <c r="T10" i="1"/>
  <c r="K10" i="1"/>
  <c r="L10" i="1" s="1"/>
  <c r="N10" i="1" s="1"/>
  <c r="D10" i="1"/>
  <c r="T9" i="1"/>
  <c r="K9" i="1"/>
  <c r="L9" i="1" s="1"/>
  <c r="N9" i="1" s="1"/>
  <c r="D9" i="1"/>
  <c r="T8" i="1"/>
  <c r="K8" i="1"/>
  <c r="L8" i="1" s="1"/>
  <c r="N8" i="1" s="1"/>
  <c r="D8" i="1"/>
  <c r="T7" i="1"/>
  <c r="K7" i="1"/>
  <c r="L7" i="1" s="1"/>
  <c r="N7" i="1" s="1"/>
  <c r="D7" i="1"/>
  <c r="T6" i="1"/>
  <c r="K6" i="1"/>
  <c r="L6" i="1" s="1"/>
  <c r="N6" i="1" s="1"/>
  <c r="D6" i="1"/>
  <c r="T5" i="1"/>
  <c r="K5" i="1"/>
  <c r="L5" i="1" s="1"/>
  <c r="N5" i="1" s="1"/>
  <c r="D5" i="1"/>
  <c r="T4" i="1"/>
  <c r="K4" i="1"/>
  <c r="L4" i="1" s="1"/>
  <c r="N4" i="1" s="1"/>
  <c r="D4" i="1"/>
  <c r="T3" i="1"/>
  <c r="K3" i="1"/>
  <c r="L3" i="1" s="1"/>
  <c r="N3" i="1" s="1"/>
  <c r="E3" i="1"/>
  <c r="E4" i="1" s="1"/>
  <c r="D3" i="1"/>
  <c r="N1" i="1"/>
  <c r="W15" i="1" s="1"/>
  <c r="Y25" i="13" l="1"/>
  <c r="Y21" i="13"/>
  <c r="Y22" i="13"/>
  <c r="Y26" i="13"/>
  <c r="Y23" i="13"/>
  <c r="Y27" i="13"/>
  <c r="Y28" i="13"/>
  <c r="Y24" i="13"/>
  <c r="Y29" i="13"/>
  <c r="Y14" i="13"/>
  <c r="Y30" i="13"/>
  <c r="Y31" i="13"/>
  <c r="Y32" i="13"/>
  <c r="Y33" i="13"/>
  <c r="Y34" i="13"/>
  <c r="Y15" i="13"/>
  <c r="Y16" i="13"/>
  <c r="Y17" i="13"/>
  <c r="Y18" i="13"/>
  <c r="Y19" i="13"/>
  <c r="Y20" i="13"/>
  <c r="L10" i="2"/>
  <c r="L8" i="2"/>
  <c r="L7" i="2"/>
  <c r="L6" i="2"/>
  <c r="L13" i="2"/>
  <c r="L11" i="2"/>
  <c r="L5" i="2"/>
  <c r="L4" i="2"/>
  <c r="L14" i="2"/>
  <c r="L12" i="2"/>
  <c r="L9" i="2"/>
  <c r="L19" i="2"/>
  <c r="L18" i="2"/>
  <c r="L17" i="2"/>
  <c r="L16" i="2"/>
  <c r="L15" i="2"/>
  <c r="X6" i="1"/>
  <c r="X22" i="1"/>
  <c r="X11" i="1"/>
  <c r="X19" i="1"/>
  <c r="X4" i="1"/>
  <c r="X20" i="1"/>
  <c r="X14" i="1"/>
  <c r="X13" i="1"/>
  <c r="X16" i="1"/>
  <c r="X12" i="1"/>
  <c r="X9" i="1"/>
  <c r="X8" i="1"/>
  <c r="X7" i="1"/>
  <c r="X5" i="1"/>
  <c r="X10" i="1"/>
  <c r="D3" i="13"/>
  <c r="X15" i="1"/>
  <c r="X3" i="1"/>
  <c r="X23" i="1"/>
  <c r="X21" i="1"/>
  <c r="X18" i="1"/>
  <c r="X17" i="1"/>
  <c r="I9" i="3"/>
  <c r="J9" i="3" s="1"/>
  <c r="J8" i="10"/>
  <c r="J10" i="10" s="1"/>
  <c r="J4" i="10"/>
  <c r="J5" i="10" s="1"/>
  <c r="G4" i="1"/>
  <c r="H4" i="1" s="1"/>
  <c r="E5" i="1"/>
  <c r="O21" i="1"/>
  <c r="P21" i="1" s="1"/>
  <c r="O23" i="1"/>
  <c r="P23" i="1" s="1"/>
  <c r="W10" i="1"/>
  <c r="O14" i="1"/>
  <c r="P14" i="1" s="1"/>
  <c r="W19" i="1"/>
  <c r="O16" i="1"/>
  <c r="P16" i="1" s="1"/>
  <c r="W21" i="1"/>
  <c r="W23" i="1"/>
  <c r="W6" i="1"/>
  <c r="W17" i="1"/>
  <c r="O12" i="1"/>
  <c r="P12" i="1" s="1"/>
  <c r="O5" i="1"/>
  <c r="P5" i="1" s="1"/>
  <c r="D8" i="13" s="1"/>
  <c r="W3" i="1"/>
  <c r="O7" i="1"/>
  <c r="P7" i="1" s="1"/>
  <c r="D9" i="13" s="1"/>
  <c r="O9" i="1"/>
  <c r="W12" i="1"/>
  <c r="W14" i="1"/>
  <c r="O18" i="1"/>
  <c r="P18" i="1" s="1"/>
  <c r="G3" i="1"/>
  <c r="H3" i="1" s="1"/>
  <c r="W5" i="1"/>
  <c r="W16" i="1"/>
  <c r="O10" i="1"/>
  <c r="W8" i="1"/>
  <c r="W7" i="1"/>
  <c r="O3" i="1"/>
  <c r="W9" i="1"/>
  <c r="W18" i="1"/>
  <c r="O20" i="1"/>
  <c r="P20" i="1" s="1"/>
  <c r="O19" i="1"/>
  <c r="P19" i="1" s="1"/>
  <c r="O22" i="1"/>
  <c r="P22" i="1" s="1"/>
  <c r="O4" i="1"/>
  <c r="P4" i="1" s="1"/>
  <c r="O13" i="1"/>
  <c r="P13" i="1" s="1"/>
  <c r="O15" i="1"/>
  <c r="P15" i="1" s="1"/>
  <c r="W20" i="1"/>
  <c r="O6" i="1"/>
  <c r="W11" i="1"/>
  <c r="O17" i="1"/>
  <c r="P17" i="1" s="1"/>
  <c r="W22" i="1"/>
  <c r="O11" i="1"/>
  <c r="P11" i="1" s="1"/>
  <c r="Q1" i="1"/>
  <c r="W4" i="1"/>
  <c r="O8" i="1"/>
  <c r="P8" i="1" s="1"/>
  <c r="W13" i="1"/>
  <c r="C6" i="3"/>
  <c r="E5" i="3"/>
  <c r="F5" i="3" s="1"/>
  <c r="G5" i="3" s="1"/>
  <c r="H5" i="3" s="1"/>
  <c r="I5" i="3" s="1"/>
  <c r="J5" i="3" s="1"/>
  <c r="C5" i="3"/>
  <c r="B4" i="10"/>
  <c r="B5" i="10" s="1"/>
  <c r="B8" i="10"/>
  <c r="B10" i="10" s="1"/>
  <c r="AA14" i="13" l="1"/>
  <c r="AB14" i="13"/>
  <c r="AF14" i="13"/>
  <c r="AG14" i="13"/>
  <c r="Z14" i="13"/>
  <c r="AC14" i="13"/>
  <c r="AE14" i="13"/>
  <c r="AD14" i="13"/>
  <c r="AH14" i="13"/>
  <c r="AI14" i="13"/>
  <c r="AJ14" i="13"/>
  <c r="AA28" i="13"/>
  <c r="AB28" i="13"/>
  <c r="Z28" i="13"/>
  <c r="AE28" i="13"/>
  <c r="AJ28" i="13"/>
  <c r="AF28" i="13"/>
  <c r="AG28" i="13"/>
  <c r="AH28" i="13"/>
  <c r="AI28" i="13"/>
  <c r="AC28" i="13"/>
  <c r="AD28" i="13"/>
  <c r="Z27" i="13"/>
  <c r="AB27" i="13"/>
  <c r="AD27" i="13"/>
  <c r="AA27" i="13"/>
  <c r="AC27" i="13"/>
  <c r="AJ27" i="13"/>
  <c r="AE27" i="13"/>
  <c r="AF27" i="13"/>
  <c r="AH27" i="13"/>
  <c r="AG27" i="13"/>
  <c r="AI27" i="13"/>
  <c r="AG29" i="13"/>
  <c r="AH29" i="13"/>
  <c r="AA29" i="13"/>
  <c r="AB29" i="13"/>
  <c r="AF29" i="13"/>
  <c r="AI29" i="13"/>
  <c r="AJ29" i="13"/>
  <c r="AE29" i="13"/>
  <c r="Z29" i="13"/>
  <c r="AC29" i="13"/>
  <c r="AD29" i="13"/>
  <c r="AI24" i="13"/>
  <c r="AJ24" i="13"/>
  <c r="AB24" i="13"/>
  <c r="AG24" i="13"/>
  <c r="AH24" i="13"/>
  <c r="AA24" i="13"/>
  <c r="AC24" i="13"/>
  <c r="AD24" i="13"/>
  <c r="Z24" i="13"/>
  <c r="AE24" i="13"/>
  <c r="AF24" i="13"/>
  <c r="AA20" i="13"/>
  <c r="AB20" i="13"/>
  <c r="AC20" i="13"/>
  <c r="AE20" i="13"/>
  <c r="AF20" i="13"/>
  <c r="AI20" i="13"/>
  <c r="AG20" i="13"/>
  <c r="AD20" i="13"/>
  <c r="AH20" i="13"/>
  <c r="AJ20" i="13"/>
  <c r="Z20" i="13"/>
  <c r="AC23" i="13"/>
  <c r="AD23" i="13"/>
  <c r="AE23" i="13"/>
  <c r="AG23" i="13"/>
  <c r="AH23" i="13"/>
  <c r="AI23" i="13"/>
  <c r="AF23" i="13"/>
  <c r="AJ23" i="13"/>
  <c r="Z23" i="13"/>
  <c r="AA23" i="13"/>
  <c r="AB23" i="13"/>
  <c r="AE19" i="13"/>
  <c r="AB19" i="13"/>
  <c r="Z19" i="13"/>
  <c r="AD19" i="13"/>
  <c r="AI19" i="13"/>
  <c r="AA19" i="13"/>
  <c r="AC19" i="13"/>
  <c r="AF19" i="13"/>
  <c r="AJ19" i="13"/>
  <c r="AG19" i="13"/>
  <c r="AH19" i="13"/>
  <c r="AE26" i="13"/>
  <c r="AF26" i="13"/>
  <c r="AI26" i="13"/>
  <c r="AJ26" i="13"/>
  <c r="AB26" i="13"/>
  <c r="AC26" i="13"/>
  <c r="AD26" i="13"/>
  <c r="AH26" i="13"/>
  <c r="AA26" i="13"/>
  <c r="Z26" i="13"/>
  <c r="AG26" i="13"/>
  <c r="AA22" i="13"/>
  <c r="AB22" i="13"/>
  <c r="AD22" i="13"/>
  <c r="AF22" i="13"/>
  <c r="AG22" i="13"/>
  <c r="AC22" i="13"/>
  <c r="AE22" i="13"/>
  <c r="AH22" i="13"/>
  <c r="Z22" i="13"/>
  <c r="AI22" i="13"/>
  <c r="AJ22" i="13"/>
  <c r="AE18" i="13"/>
  <c r="AF18" i="13"/>
  <c r="AG18" i="13"/>
  <c r="AI18" i="13"/>
  <c r="AJ18" i="13"/>
  <c r="AD18" i="13"/>
  <c r="Z18" i="13"/>
  <c r="AC18" i="13"/>
  <c r="AH18" i="13"/>
  <c r="AA18" i="13"/>
  <c r="AB18" i="13"/>
  <c r="AA17" i="13"/>
  <c r="J34" i="12" s="1"/>
  <c r="AC17" i="13"/>
  <c r="AD17" i="13"/>
  <c r="AG17" i="13"/>
  <c r="AJ17" i="13"/>
  <c r="AB17" i="13"/>
  <c r="AE17" i="13"/>
  <c r="Z17" i="13"/>
  <c r="AF17" i="13"/>
  <c r="L34" i="12" s="1"/>
  <c r="AH17" i="13"/>
  <c r="AI17" i="13"/>
  <c r="AG21" i="13"/>
  <c r="AH21" i="13"/>
  <c r="AI21" i="13"/>
  <c r="M35" i="12" s="1"/>
  <c r="AB21" i="13"/>
  <c r="AA21" i="13"/>
  <c r="Z21" i="13"/>
  <c r="AF21" i="13"/>
  <c r="AC21" i="13"/>
  <c r="AD21" i="13"/>
  <c r="AE21" i="13"/>
  <c r="AJ21" i="13"/>
  <c r="AI16" i="13"/>
  <c r="M33" i="12" s="1"/>
  <c r="AJ16" i="13"/>
  <c r="Z16" i="13"/>
  <c r="AA16" i="13"/>
  <c r="J33" i="12" s="1"/>
  <c r="AD16" i="13"/>
  <c r="AB16" i="13"/>
  <c r="AC16" i="13"/>
  <c r="AE16" i="13"/>
  <c r="AF16" i="13"/>
  <c r="L33" i="12" s="1"/>
  <c r="AG16" i="13"/>
  <c r="AH16" i="13"/>
  <c r="AC25" i="13"/>
  <c r="AD25" i="13"/>
  <c r="AG25" i="13"/>
  <c r="AI25" i="13"/>
  <c r="AJ25" i="13"/>
  <c r="Z25" i="13"/>
  <c r="AA25" i="13"/>
  <c r="AB25" i="13"/>
  <c r="AE25" i="13"/>
  <c r="AF25" i="13"/>
  <c r="AH25" i="13"/>
  <c r="AC15" i="13"/>
  <c r="AD15" i="13"/>
  <c r="K32" i="12" s="1"/>
  <c r="AE15" i="13"/>
  <c r="AG15" i="13"/>
  <c r="Z15" i="13"/>
  <c r="AH15" i="13"/>
  <c r="AA15" i="13"/>
  <c r="J32" i="12" s="1"/>
  <c r="AI15" i="13"/>
  <c r="AJ15" i="13"/>
  <c r="AB15" i="13"/>
  <c r="AF15" i="13"/>
  <c r="L32" i="12" s="1"/>
  <c r="D6" i="13"/>
  <c r="D7" i="13"/>
  <c r="E6" i="1"/>
  <c r="G5" i="1"/>
  <c r="M34" i="12" l="1"/>
  <c r="M32" i="12"/>
  <c r="M31" i="12"/>
  <c r="K33" i="12"/>
  <c r="K34" i="12"/>
  <c r="J35" i="12"/>
  <c r="K31" i="12"/>
  <c r="K35" i="12"/>
  <c r="L31" i="12"/>
  <c r="J31" i="12"/>
  <c r="L35" i="12"/>
  <c r="A13" i="13"/>
  <c r="A14" i="13" s="1"/>
  <c r="H5" i="1"/>
  <c r="G6" i="1"/>
  <c r="H6" i="1" s="1"/>
  <c r="E7" i="1"/>
  <c r="B14" i="13" l="1"/>
  <c r="A23" i="13"/>
  <c r="R23" i="13" s="1"/>
  <c r="A27" i="13"/>
  <c r="D27" i="13" s="1"/>
  <c r="A25" i="13"/>
  <c r="L25" i="13" s="1"/>
  <c r="A22" i="13"/>
  <c r="S22" i="13" s="1"/>
  <c r="A26" i="13"/>
  <c r="F26" i="13" s="1"/>
  <c r="A21" i="13"/>
  <c r="V21" i="13" s="1"/>
  <c r="A28" i="13"/>
  <c r="D28" i="13" s="1"/>
  <c r="A20" i="13"/>
  <c r="T20" i="13" s="1"/>
  <c r="A35" i="13"/>
  <c r="A19" i="13"/>
  <c r="J19" i="13" s="1"/>
  <c r="A18" i="13"/>
  <c r="T18" i="13" s="1"/>
  <c r="Q14" i="13"/>
  <c r="C14" i="13"/>
  <c r="S14" i="13"/>
  <c r="T14" i="13"/>
  <c r="R14" i="13"/>
  <c r="D14" i="13"/>
  <c r="F14" i="13"/>
  <c r="V14" i="13"/>
  <c r="I14" i="13"/>
  <c r="L14" i="13"/>
  <c r="P14" i="13"/>
  <c r="U14" i="13"/>
  <c r="G14" i="13"/>
  <c r="W14" i="13"/>
  <c r="H14" i="13"/>
  <c r="K14" i="13"/>
  <c r="E14" i="13"/>
  <c r="J14" i="13"/>
  <c r="M14" i="13"/>
  <c r="N14" i="13"/>
  <c r="O14" i="13"/>
  <c r="A34" i="13"/>
  <c r="I34" i="13" s="1"/>
  <c r="A17" i="13"/>
  <c r="A16" i="13"/>
  <c r="A31" i="13"/>
  <c r="O31" i="13" s="1"/>
  <c r="A33" i="13"/>
  <c r="A30" i="13"/>
  <c r="A29" i="13"/>
  <c r="A32" i="13"/>
  <c r="A15" i="13"/>
  <c r="A24" i="13"/>
  <c r="E8" i="1"/>
  <c r="G7" i="1"/>
  <c r="H7" i="1" s="1"/>
  <c r="P27" i="13" l="1"/>
  <c r="P28" i="13"/>
  <c r="G28" i="13"/>
  <c r="U28" i="13"/>
  <c r="N28" i="13"/>
  <c r="T28" i="13"/>
  <c r="T25" i="13"/>
  <c r="V25" i="13"/>
  <c r="D25" i="13"/>
  <c r="R27" i="13"/>
  <c r="S27" i="13"/>
  <c r="F25" i="13"/>
  <c r="C27" i="13"/>
  <c r="U27" i="13"/>
  <c r="W27" i="13"/>
  <c r="H28" i="13"/>
  <c r="R28" i="13"/>
  <c r="H25" i="13"/>
  <c r="O25" i="13"/>
  <c r="E31" i="12"/>
  <c r="V26" i="13"/>
  <c r="M26" i="13"/>
  <c r="W26" i="13"/>
  <c r="U26" i="13"/>
  <c r="P26" i="13"/>
  <c r="G23" i="13"/>
  <c r="K21" i="13"/>
  <c r="T23" i="13"/>
  <c r="K25" i="13"/>
  <c r="T27" i="13"/>
  <c r="M23" i="13"/>
  <c r="M27" i="13"/>
  <c r="I26" i="13"/>
  <c r="K27" i="13"/>
  <c r="R25" i="13"/>
  <c r="J25" i="13"/>
  <c r="G26" i="13"/>
  <c r="I27" i="13"/>
  <c r="H26" i="13"/>
  <c r="E27" i="13"/>
  <c r="I25" i="13"/>
  <c r="N26" i="13"/>
  <c r="H27" i="13"/>
  <c r="G25" i="13"/>
  <c r="G27" i="13"/>
  <c r="B25" i="13"/>
  <c r="O27" i="13"/>
  <c r="U25" i="13"/>
  <c r="B27" i="13"/>
  <c r="J27" i="13"/>
  <c r="E25" i="13"/>
  <c r="V27" i="13"/>
  <c r="I23" i="13"/>
  <c r="V28" i="13"/>
  <c r="N25" i="13"/>
  <c r="Q26" i="13"/>
  <c r="Q27" i="13"/>
  <c r="H23" i="13"/>
  <c r="M25" i="13"/>
  <c r="R26" i="13"/>
  <c r="N27" i="13"/>
  <c r="O28" i="13"/>
  <c r="C23" i="13"/>
  <c r="T26" i="13"/>
  <c r="K26" i="13"/>
  <c r="B26" i="13"/>
  <c r="L27" i="13"/>
  <c r="L28" i="13"/>
  <c r="B23" i="13"/>
  <c r="G31" i="12"/>
  <c r="C31" i="12"/>
  <c r="D31" i="12"/>
  <c r="F31" i="12"/>
  <c r="G20" i="13"/>
  <c r="Q25" i="13"/>
  <c r="S25" i="13"/>
  <c r="F27" i="13"/>
  <c r="M28" i="13"/>
  <c r="O20" i="13"/>
  <c r="P25" i="13"/>
  <c r="C25" i="13"/>
  <c r="L20" i="13"/>
  <c r="W25" i="13"/>
  <c r="K28" i="13"/>
  <c r="J20" i="13"/>
  <c r="B31" i="12"/>
  <c r="S28" i="13"/>
  <c r="C28" i="13"/>
  <c r="E28" i="13"/>
  <c r="B28" i="13"/>
  <c r="F28" i="13"/>
  <c r="Q28" i="13"/>
  <c r="W28" i="13"/>
  <c r="J28" i="13"/>
  <c r="I28" i="13"/>
  <c r="K20" i="13"/>
  <c r="V20" i="13"/>
  <c r="U20" i="13"/>
  <c r="D20" i="13"/>
  <c r="C20" i="13"/>
  <c r="I20" i="13"/>
  <c r="F20" i="13"/>
  <c r="U23" i="13"/>
  <c r="E23" i="13"/>
  <c r="T19" i="13"/>
  <c r="L19" i="13"/>
  <c r="P19" i="13"/>
  <c r="J26" i="13"/>
  <c r="E26" i="13"/>
  <c r="B20" i="13"/>
  <c r="P23" i="13"/>
  <c r="O23" i="13"/>
  <c r="N20" i="13"/>
  <c r="K23" i="13"/>
  <c r="L23" i="13"/>
  <c r="L26" i="13"/>
  <c r="M20" i="13"/>
  <c r="J23" i="13"/>
  <c r="D26" i="13"/>
  <c r="H18" i="13"/>
  <c r="R20" i="13"/>
  <c r="W23" i="13"/>
  <c r="C26" i="13"/>
  <c r="F19" i="13"/>
  <c r="H20" i="13"/>
  <c r="F23" i="13"/>
  <c r="O26" i="13"/>
  <c r="D19" i="13"/>
  <c r="W20" i="13"/>
  <c r="V23" i="13"/>
  <c r="S26" i="13"/>
  <c r="Q20" i="13"/>
  <c r="S20" i="13"/>
  <c r="Q23" i="13"/>
  <c r="N23" i="13"/>
  <c r="O19" i="13"/>
  <c r="E20" i="13"/>
  <c r="S23" i="13"/>
  <c r="P20" i="13"/>
  <c r="D23" i="13"/>
  <c r="I19" i="13"/>
  <c r="U21" i="13"/>
  <c r="Q21" i="13"/>
  <c r="O21" i="13"/>
  <c r="P21" i="13"/>
  <c r="L21" i="13"/>
  <c r="B21" i="13"/>
  <c r="N21" i="13"/>
  <c r="G18" i="13"/>
  <c r="V18" i="13"/>
  <c r="C18" i="13"/>
  <c r="C35" i="12" s="1"/>
  <c r="R21" i="13"/>
  <c r="B19" i="13"/>
  <c r="F18" i="13"/>
  <c r="N19" i="13"/>
  <c r="M22" i="13"/>
  <c r="Q18" i="13"/>
  <c r="S19" i="13"/>
  <c r="H22" i="13"/>
  <c r="E18" i="13"/>
  <c r="R19" i="13"/>
  <c r="W22" i="13"/>
  <c r="D18" i="13"/>
  <c r="D35" i="12" s="1"/>
  <c r="Q19" i="13"/>
  <c r="F22" i="13"/>
  <c r="S18" i="13"/>
  <c r="M21" i="13"/>
  <c r="U18" i="13"/>
  <c r="R18" i="13"/>
  <c r="K18" i="13"/>
  <c r="P18" i="13"/>
  <c r="H19" i="13"/>
  <c r="B18" i="13"/>
  <c r="B35" i="12" s="1"/>
  <c r="O18" i="13"/>
  <c r="J18" i="13"/>
  <c r="N18" i="13"/>
  <c r="I18" i="13"/>
  <c r="E35" i="12" s="1"/>
  <c r="M18" i="13"/>
  <c r="G35" i="12" s="1"/>
  <c r="L18" i="13"/>
  <c r="E21" i="13"/>
  <c r="E22" i="13"/>
  <c r="C22" i="13"/>
  <c r="V22" i="13"/>
  <c r="T22" i="13"/>
  <c r="B22" i="13"/>
  <c r="W31" i="13"/>
  <c r="R31" i="13"/>
  <c r="P22" i="13"/>
  <c r="O22" i="13"/>
  <c r="N22" i="13"/>
  <c r="K22" i="13"/>
  <c r="J22" i="13"/>
  <c r="I21" i="13"/>
  <c r="I22" i="13"/>
  <c r="H21" i="13"/>
  <c r="G31" i="13"/>
  <c r="L22" i="13"/>
  <c r="J21" i="13"/>
  <c r="C19" i="13"/>
  <c r="G22" i="13"/>
  <c r="D21" i="13"/>
  <c r="U19" i="13"/>
  <c r="E19" i="13"/>
  <c r="V34" i="13"/>
  <c r="G19" i="13"/>
  <c r="U22" i="13"/>
  <c r="F21" i="13"/>
  <c r="T21" i="13"/>
  <c r="W21" i="13"/>
  <c r="S21" i="13"/>
  <c r="K34" i="13"/>
  <c r="J34" i="13"/>
  <c r="T34" i="13"/>
  <c r="O34" i="13"/>
  <c r="N34" i="13"/>
  <c r="S34" i="13"/>
  <c r="F31" i="13"/>
  <c r="C31" i="13"/>
  <c r="K19" i="13"/>
  <c r="R22" i="13"/>
  <c r="C21" i="13"/>
  <c r="D31" i="13"/>
  <c r="K31" i="13"/>
  <c r="W18" i="13"/>
  <c r="W19" i="13"/>
  <c r="M19" i="13"/>
  <c r="D22" i="13"/>
  <c r="G21" i="13"/>
  <c r="Q22" i="13"/>
  <c r="V19" i="13"/>
  <c r="L15" i="13"/>
  <c r="M15" i="13"/>
  <c r="G32" i="12" s="1"/>
  <c r="N15" i="13"/>
  <c r="O15" i="13"/>
  <c r="Q15" i="13"/>
  <c r="F15" i="13"/>
  <c r="R15" i="13"/>
  <c r="D15" i="13"/>
  <c r="D32" i="12" s="1"/>
  <c r="V15" i="13"/>
  <c r="W15" i="13"/>
  <c r="P15" i="13"/>
  <c r="C15" i="13"/>
  <c r="C32" i="12" s="1"/>
  <c r="S15" i="13"/>
  <c r="T15" i="13"/>
  <c r="U15" i="13"/>
  <c r="B15" i="13"/>
  <c r="B32" i="12" s="1"/>
  <c r="G15" i="13"/>
  <c r="E15" i="13"/>
  <c r="H15" i="13"/>
  <c r="I15" i="13"/>
  <c r="E32" i="12" s="1"/>
  <c r="J15" i="13"/>
  <c r="K15" i="13"/>
  <c r="F32" i="12" s="1"/>
  <c r="V31" i="13"/>
  <c r="B31" i="13"/>
  <c r="R34" i="13"/>
  <c r="G16" i="13"/>
  <c r="W16" i="13"/>
  <c r="I16" i="13"/>
  <c r="E33" i="12" s="1"/>
  <c r="K16" i="13"/>
  <c r="F33" i="12" s="1"/>
  <c r="H16" i="13"/>
  <c r="J16" i="13"/>
  <c r="L16" i="13"/>
  <c r="O16" i="13"/>
  <c r="P16" i="13"/>
  <c r="R16" i="13"/>
  <c r="B16" i="13"/>
  <c r="B33" i="12" s="1"/>
  <c r="M16" i="13"/>
  <c r="G33" i="12" s="1"/>
  <c r="F16" i="13"/>
  <c r="N16" i="13"/>
  <c r="Q16" i="13"/>
  <c r="V16" i="13"/>
  <c r="C16" i="13"/>
  <c r="C33" i="12" s="1"/>
  <c r="S16" i="13"/>
  <c r="D16" i="13"/>
  <c r="D33" i="12" s="1"/>
  <c r="T16" i="13"/>
  <c r="E16" i="13"/>
  <c r="U16" i="13"/>
  <c r="U31" i="13"/>
  <c r="F24" i="13"/>
  <c r="V24" i="13"/>
  <c r="H24" i="13"/>
  <c r="G24" i="13"/>
  <c r="W24" i="13"/>
  <c r="I24" i="13"/>
  <c r="K24" i="13"/>
  <c r="P24" i="13"/>
  <c r="L24" i="13"/>
  <c r="Q24" i="13"/>
  <c r="M24" i="13"/>
  <c r="N24" i="13"/>
  <c r="U24" i="13"/>
  <c r="O24" i="13"/>
  <c r="B24" i="13"/>
  <c r="R24" i="13"/>
  <c r="C24" i="13"/>
  <c r="S24" i="13"/>
  <c r="D24" i="13"/>
  <c r="T24" i="13"/>
  <c r="E24" i="13"/>
  <c r="J24" i="13"/>
  <c r="R17" i="13"/>
  <c r="C17" i="13"/>
  <c r="C34" i="12" s="1"/>
  <c r="D17" i="13"/>
  <c r="D34" i="12" s="1"/>
  <c r="T17" i="13"/>
  <c r="E17" i="13"/>
  <c r="U17" i="13"/>
  <c r="S17" i="13"/>
  <c r="G17" i="13"/>
  <c r="W17" i="13"/>
  <c r="L17" i="13"/>
  <c r="F17" i="13"/>
  <c r="H17" i="13"/>
  <c r="J17" i="13"/>
  <c r="K17" i="13"/>
  <c r="F34" i="12" s="1"/>
  <c r="I17" i="13"/>
  <c r="E34" i="12" s="1"/>
  <c r="M17" i="13"/>
  <c r="G34" i="12" s="1"/>
  <c r="N17" i="13"/>
  <c r="B17" i="13"/>
  <c r="B34" i="12" s="1"/>
  <c r="O17" i="13"/>
  <c r="P17" i="13"/>
  <c r="Q17" i="13"/>
  <c r="V17" i="13"/>
  <c r="Q34" i="13"/>
  <c r="H34" i="13"/>
  <c r="E31" i="13"/>
  <c r="F34" i="13"/>
  <c r="E34" i="13"/>
  <c r="S31" i="13"/>
  <c r="D34" i="13"/>
  <c r="P34" i="13"/>
  <c r="T31" i="13"/>
  <c r="N31" i="13"/>
  <c r="C34" i="13"/>
  <c r="U34" i="13"/>
  <c r="M31" i="13"/>
  <c r="L34" i="13"/>
  <c r="M34" i="13"/>
  <c r="J31" i="13"/>
  <c r="L31" i="13"/>
  <c r="G34" i="13"/>
  <c r="Q31" i="13"/>
  <c r="B34" i="13"/>
  <c r="I31" i="13"/>
  <c r="P31" i="13"/>
  <c r="W34" i="13"/>
  <c r="H31" i="13"/>
  <c r="F35" i="12"/>
  <c r="L32" i="13"/>
  <c r="Q32" i="13"/>
  <c r="I32" i="13"/>
  <c r="J32" i="13"/>
  <c r="K32" i="13"/>
  <c r="O32" i="13"/>
  <c r="P32" i="13"/>
  <c r="R32" i="13"/>
  <c r="F32" i="13"/>
  <c r="M32" i="13"/>
  <c r="N32" i="13"/>
  <c r="S32" i="13"/>
  <c r="T32" i="13"/>
  <c r="U32" i="13"/>
  <c r="W32" i="13"/>
  <c r="D32" i="13"/>
  <c r="V32" i="13"/>
  <c r="E32" i="13"/>
  <c r="B32" i="13"/>
  <c r="C32" i="13"/>
  <c r="G32" i="13"/>
  <c r="H32" i="13"/>
  <c r="F33" i="13"/>
  <c r="V33" i="13"/>
  <c r="K33" i="13"/>
  <c r="C33" i="13"/>
  <c r="S33" i="13"/>
  <c r="D33" i="13"/>
  <c r="T33" i="13"/>
  <c r="E33" i="13"/>
  <c r="U33" i="13"/>
  <c r="O33" i="13"/>
  <c r="P33" i="13"/>
  <c r="Q33" i="13"/>
  <c r="R33" i="13"/>
  <c r="M33" i="13"/>
  <c r="W33" i="13"/>
  <c r="B33" i="13"/>
  <c r="H33" i="13"/>
  <c r="I33" i="13"/>
  <c r="G33" i="13"/>
  <c r="N33" i="13"/>
  <c r="J33" i="13"/>
  <c r="L33" i="13"/>
  <c r="N29" i="13"/>
  <c r="C29" i="13"/>
  <c r="S29" i="13"/>
  <c r="K29" i="13"/>
  <c r="L29" i="13"/>
  <c r="M29" i="13"/>
  <c r="I29" i="13"/>
  <c r="J29" i="13"/>
  <c r="O29" i="13"/>
  <c r="D29" i="13"/>
  <c r="H29" i="13"/>
  <c r="P29" i="13"/>
  <c r="Q29" i="13"/>
  <c r="R29" i="13"/>
  <c r="U29" i="13"/>
  <c r="V29" i="13"/>
  <c r="W29" i="13"/>
  <c r="B29" i="13"/>
  <c r="G29" i="13"/>
  <c r="T29" i="13"/>
  <c r="E29" i="13"/>
  <c r="F29" i="13"/>
  <c r="H30" i="13"/>
  <c r="M30" i="13"/>
  <c r="E30" i="13"/>
  <c r="U30" i="13"/>
  <c r="F30" i="13"/>
  <c r="V30" i="13"/>
  <c r="G30" i="13"/>
  <c r="W30" i="13"/>
  <c r="L30" i="13"/>
  <c r="N30" i="13"/>
  <c r="O30" i="13"/>
  <c r="B30" i="13"/>
  <c r="P30" i="13"/>
  <c r="C30" i="13"/>
  <c r="Q30" i="13"/>
  <c r="J30" i="13"/>
  <c r="R30" i="13"/>
  <c r="S30" i="13"/>
  <c r="T30" i="13"/>
  <c r="K30" i="13"/>
  <c r="D30" i="13"/>
  <c r="I30" i="13"/>
  <c r="G8" i="1"/>
  <c r="H8" i="1" s="1"/>
  <c r="E9" i="1"/>
  <c r="E10" i="1" l="1"/>
  <c r="G9" i="1"/>
  <c r="H9" i="1" s="1"/>
  <c r="G10" i="1" l="1"/>
  <c r="E11" i="1"/>
  <c r="G11" i="1" l="1"/>
  <c r="H11" i="1" s="1"/>
  <c r="E12" i="1"/>
  <c r="H10" i="1"/>
  <c r="G12" i="1" l="1"/>
  <c r="H12" i="1" s="1"/>
  <c r="E13" i="1"/>
  <c r="G13" i="1" l="1"/>
  <c r="H13" i="1" s="1"/>
  <c r="E14" i="1"/>
  <c r="E15" i="1" l="1"/>
  <c r="G14" i="1"/>
  <c r="H14" i="1" s="1"/>
  <c r="G15" i="1" l="1"/>
  <c r="H15" i="1" s="1"/>
  <c r="E16" i="1"/>
  <c r="E17" i="1" l="1"/>
  <c r="G16" i="1"/>
  <c r="H16" i="1" s="1"/>
  <c r="G17" i="1" l="1"/>
  <c r="H17" i="1" s="1"/>
  <c r="E18" i="1"/>
  <c r="E19" i="1" l="1"/>
  <c r="G18" i="1"/>
  <c r="H18" i="1" s="1"/>
  <c r="G19" i="1" l="1"/>
  <c r="H19" i="1" s="1"/>
  <c r="E20" i="1"/>
  <c r="E21" i="1" l="1"/>
  <c r="G20" i="1"/>
  <c r="H20" i="1" s="1"/>
  <c r="G21" i="1" l="1"/>
  <c r="H21" i="1" s="1"/>
  <c r="E22" i="1"/>
  <c r="E23" i="1" l="1"/>
  <c r="G23" i="1" s="1"/>
  <c r="G22" i="1"/>
  <c r="H22" i="1" s="1"/>
  <c r="H23" i="1" l="1"/>
  <c r="J1" i="1"/>
  <c r="L1" i="1" s="1"/>
  <c r="F3" i="10" s="1"/>
  <c r="F4" i="10" l="1"/>
  <c r="F5" i="10" s="1"/>
  <c r="F8" i="10"/>
  <c r="F10" i="10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<sst xmlns="http://schemas.openxmlformats.org/spreadsheetml/2006/main" count="290" uniqueCount="138">
  <si>
    <t>Task Description</t>
  </si>
  <si>
    <t>srl</t>
  </si>
  <si>
    <t>Issue</t>
  </si>
  <si>
    <t>Priority</t>
  </si>
  <si>
    <t>Open Date</t>
  </si>
  <si>
    <t>Close Date</t>
  </si>
  <si>
    <t>Comments</t>
  </si>
  <si>
    <t>High</t>
  </si>
  <si>
    <t>Low</t>
  </si>
  <si>
    <t>Medium</t>
  </si>
  <si>
    <t>Issue#1</t>
  </si>
  <si>
    <t>Issue#5</t>
  </si>
  <si>
    <t>Issue#6</t>
  </si>
  <si>
    <t>Issue#7</t>
  </si>
  <si>
    <t>Issue#8</t>
  </si>
  <si>
    <t>Issue#9</t>
  </si>
  <si>
    <t>Issue#2</t>
  </si>
  <si>
    <t>Issue#3</t>
  </si>
  <si>
    <t>Issue#4</t>
  </si>
  <si>
    <t>Issue#10</t>
  </si>
  <si>
    <t>Issue#11</t>
  </si>
  <si>
    <t>Issue#12</t>
  </si>
  <si>
    <t>Issue#13</t>
  </si>
  <si>
    <t>Issue#14</t>
  </si>
  <si>
    <t>Issue#15</t>
  </si>
  <si>
    <t>Issue#16</t>
  </si>
  <si>
    <t>Owner</t>
  </si>
  <si>
    <t>Probability</t>
  </si>
  <si>
    <t>Impact</t>
  </si>
  <si>
    <t>Score</t>
  </si>
  <si>
    <t>Contingency Reserve</t>
  </si>
  <si>
    <t>Civil Work</t>
  </si>
  <si>
    <t>Schedual Status</t>
  </si>
  <si>
    <t>Budget Status</t>
  </si>
  <si>
    <t>Dept</t>
  </si>
  <si>
    <t>Sec</t>
  </si>
  <si>
    <t>P STRT</t>
  </si>
  <si>
    <t>P END</t>
  </si>
  <si>
    <t>A STRT</t>
  </si>
  <si>
    <t>A END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</si>
  <si>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</si>
  <si>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</si>
  <si>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</si>
  <si>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</si>
  <si>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</si>
  <si>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</si>
  <si>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</si>
  <si>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</si>
  <si>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</si>
  <si>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P Cost</t>
  </si>
  <si>
    <t>A Cost</t>
  </si>
  <si>
    <t>P Duration (WD)</t>
  </si>
  <si>
    <t>A Duration (WD)</t>
  </si>
  <si>
    <t>P (CD)</t>
  </si>
  <si>
    <t>A (CD)</t>
  </si>
  <si>
    <t>%Days</t>
  </si>
  <si>
    <t>SRL</t>
  </si>
  <si>
    <t>Today</t>
  </si>
  <si>
    <t>Holidays</t>
  </si>
  <si>
    <t>Today:</t>
  </si>
  <si>
    <t>Days From A Start</t>
  </si>
  <si>
    <t>% C</t>
  </si>
  <si>
    <t>Element Budget</t>
  </si>
  <si>
    <t>Plan</t>
  </si>
  <si>
    <t>Actual</t>
  </si>
  <si>
    <t>%</t>
  </si>
  <si>
    <t>Resources</t>
  </si>
  <si>
    <t>In Progress</t>
  </si>
  <si>
    <t xml:space="preserve">Architect </t>
  </si>
  <si>
    <t>Salaries</t>
  </si>
  <si>
    <t>Plan/Actual</t>
  </si>
  <si>
    <t>Tools</t>
  </si>
  <si>
    <t>Work Desc</t>
  </si>
  <si>
    <t>Total</t>
  </si>
  <si>
    <t>Status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</si>
  <si>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</si>
  <si>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</si>
  <si>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</si>
  <si>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</si>
  <si>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</si>
  <si>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</si>
  <si>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</si>
  <si>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</si>
  <si>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</si>
  <si>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</si>
  <si>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</si>
  <si>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</si>
  <si>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Start Date:</t>
  </si>
  <si>
    <t>Opened Issues</t>
  </si>
  <si>
    <t>Open</t>
  </si>
  <si>
    <t>Close</t>
  </si>
  <si>
    <t>Issues</t>
  </si>
  <si>
    <t>Ahmad</t>
  </si>
  <si>
    <t>Akram</t>
  </si>
  <si>
    <t>Ashraf</t>
  </si>
  <si>
    <t>Solved without extra cost</t>
  </si>
  <si>
    <t>Solved by paying3500 $</t>
  </si>
  <si>
    <t>1500 $ payed</t>
  </si>
  <si>
    <t>Closed without extra cost</t>
  </si>
  <si>
    <t>Solved wih the owner</t>
  </si>
  <si>
    <t>Waiting Vendor feedback</t>
  </si>
  <si>
    <t>No response from the contractor</t>
  </si>
  <si>
    <t>Next week meeting</t>
  </si>
  <si>
    <t>to be discussed with the owner</t>
  </si>
  <si>
    <t>High risk, need high mangement</t>
  </si>
  <si>
    <t>Most likely solved with no cost</t>
  </si>
  <si>
    <t>CVL</t>
  </si>
  <si>
    <t>ELC</t>
  </si>
  <si>
    <t>ARC</t>
  </si>
  <si>
    <t>CFA</t>
  </si>
  <si>
    <t>GRD</t>
  </si>
  <si>
    <t>BTS</t>
  </si>
  <si>
    <t>Remaining</t>
  </si>
  <si>
    <t>Planned Cost</t>
  </si>
  <si>
    <t>Current Month</t>
  </si>
  <si>
    <t>Cumulative</t>
  </si>
  <si>
    <t>Acutal Cost</t>
  </si>
  <si>
    <t>Completed</t>
  </si>
  <si>
    <t>Needle Size</t>
  </si>
  <si>
    <t>200% Remaining</t>
  </si>
  <si>
    <t>Lables Settings</t>
  </si>
  <si>
    <t>Project Scope Status</t>
  </si>
  <si>
    <t>Project Schedule Status</t>
  </si>
  <si>
    <t>End Date:</t>
  </si>
  <si>
    <t>Duration</t>
  </si>
  <si>
    <t>Days From Start:</t>
  </si>
  <si>
    <t>Project Cost Status</t>
  </si>
  <si>
    <t>Pointer Settings</t>
  </si>
  <si>
    <t>Section</t>
  </si>
  <si>
    <t>Department</t>
  </si>
  <si>
    <t>Civil</t>
  </si>
  <si>
    <t>Acrhitict</t>
  </si>
  <si>
    <t>Electrical</t>
  </si>
  <si>
    <t>COUNT</t>
  </si>
  <si>
    <t>Done</t>
  </si>
  <si>
    <t>Delayed</t>
  </si>
  <si>
    <t>Not Started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</si>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</sst>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.00_);_(&quot;$&quot;* \(#,##0.00\);_(&quot;$&quot;* &quot;-&quot;??_);_(@_)"/>
    <numFmt numFmtId="165" formatCode="[$-F800]dddd\,\ mmmm\ dd\,\ yyyy"/>
    <numFmt numFmtId="166" formatCode="[$-409]d\-mmm\-yyyy;@"/>
    <numFmt numFmtId="167" formatCode="_(&quot;$&quot;* #,##0_);_(&quot;$&quot;* \(#,##0\);_(&quot;$&quot;* &quot;-&quot;??_);_(@_)"/>
    <numFmt numFmtId="168" formatCode="00000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36"/>
      <color theme="1" tint="0.34998626667073579"/>
      <name val="Tw Cen MT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Tw Cen MT"/>
      <family val="2"/>
    </font>
    <font>
      <b/>
      <sz val="11"/>
      <color theme="1"/>
      <name val="Tw Cen MT"/>
      <family val="2"/>
    </font>
    <font>
      <b/>
      <sz val="14"/>
      <color theme="1"/>
      <name val="Tw Cen MT"/>
      <family val="2"/>
    </font>
    <font>
      <b/>
      <sz val="12"/>
      <color theme="0"/>
      <name val="Tw Cen MT"/>
      <family val="2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Tw Cen MT"/>
      <family val="2"/>
    </font>
    <font>
      <b/>
      <sz val="18"/>
      <color theme="1"/>
      <name val="Tw Cen MT"/>
      <family val="2"/>
    </font>
    <font>
      <sz val="18"/>
      <color theme="1"/>
      <name val="Tw Cen MT"/>
      <family val="2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83220"/>
        <bgColor indexed="64"/>
      </patternFill>
    </fill>
    <fill>
      <patternFill patternType="solid">
        <fgColor rgb="FF463E2A"/>
        <bgColor indexed="64"/>
      </patternFill>
    </fill>
    <fill>
      <patternFill patternType="solid">
        <fgColor rgb="FF463E2A"/>
        <bgColor theme="4"/>
      </patternFill>
    </fill>
  </fills>
  <borders count="27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ck">
        <color theme="0" tint="-0.14999847407452621"/>
      </left>
      <right style="thick">
        <color theme="0" tint="-0.14999847407452621"/>
      </right>
      <top style="thick">
        <color theme="0" tint="-0.14999847407452621"/>
      </top>
      <bottom style="thick">
        <color theme="0" tint="-0.1499984740745262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A78159"/>
      </left>
      <right/>
      <top style="thin">
        <color rgb="FFA78159"/>
      </top>
      <bottom/>
      <diagonal/>
    </border>
    <border>
      <left style="thin">
        <color rgb="FFA78159"/>
      </left>
      <right/>
      <top style="thin">
        <color theme="4" tint="0.39997558519241921"/>
      </top>
      <bottom/>
      <diagonal/>
    </border>
    <border>
      <left style="thin">
        <color rgb="FFA78159"/>
      </left>
      <right style="thin">
        <color rgb="FFA78159"/>
      </right>
      <top style="thin">
        <color theme="4" tint="0.39997558519241921"/>
      </top>
      <bottom/>
      <diagonal/>
    </border>
    <border>
      <left/>
      <right/>
      <top style="thin">
        <color rgb="FFA78159"/>
      </top>
      <bottom/>
      <diagonal/>
    </border>
    <border>
      <left/>
      <right/>
      <top style="thin">
        <color rgb="FFA78159"/>
      </top>
      <bottom style="thin">
        <color rgb="FFA78159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98">
    <xf numFmtId="0" fontId="0" fillId="0" borderId="0" xfId="0"/>
    <xf numFmtId="165" fontId="0" fillId="0" borderId="0" xfId="0" applyNumberFormat="1"/>
    <xf numFmtId="0" fontId="4" fillId="0" borderId="0" xfId="0" applyFont="1"/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2" fontId="5" fillId="5" borderId="0" xfId="0" applyNumberFormat="1" applyFont="1" applyFill="1" applyAlignment="1">
      <alignment horizontal="left" vertical="center"/>
    </xf>
    <xf numFmtId="0" fontId="5" fillId="3" borderId="5" xfId="0" applyFont="1" applyFill="1" applyBorder="1"/>
    <xf numFmtId="0" fontId="5" fillId="3" borderId="6" xfId="0" applyFont="1" applyFill="1" applyBorder="1"/>
    <xf numFmtId="0" fontId="0" fillId="0" borderId="0" xfId="0" applyFont="1" applyFill="1" applyBorder="1"/>
    <xf numFmtId="167" fontId="0" fillId="0" borderId="0" xfId="2" applyNumberFormat="1" applyFont="1" applyFill="1" applyBorder="1"/>
    <xf numFmtId="17" fontId="5" fillId="3" borderId="6" xfId="0" applyNumberFormat="1" applyFont="1" applyFill="1" applyBorder="1"/>
    <xf numFmtId="0" fontId="5" fillId="7" borderId="8" xfId="0" applyFont="1" applyFill="1" applyBorder="1"/>
    <xf numFmtId="0" fontId="5" fillId="7" borderId="9" xfId="0" applyFont="1" applyFill="1" applyBorder="1"/>
    <xf numFmtId="0" fontId="5" fillId="7" borderId="10" xfId="0" applyFont="1" applyFill="1" applyBorder="1"/>
    <xf numFmtId="0" fontId="0" fillId="0" borderId="11" xfId="0" applyFont="1" applyBorder="1"/>
    <xf numFmtId="0" fontId="0" fillId="0" borderId="0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5" fillId="3" borderId="7" xfId="0" applyFont="1" applyFill="1" applyBorder="1"/>
    <xf numFmtId="0" fontId="0" fillId="0" borderId="5" xfId="0" applyFont="1" applyBorder="1"/>
    <xf numFmtId="0" fontId="0" fillId="0" borderId="6" xfId="0" applyFont="1" applyBorder="1"/>
    <xf numFmtId="9" fontId="0" fillId="0" borderId="6" xfId="1" applyNumberFormat="1" applyFont="1" applyBorder="1"/>
    <xf numFmtId="1" fontId="0" fillId="2" borderId="6" xfId="0" applyNumberFormat="1" applyFont="1" applyFill="1" applyBorder="1"/>
    <xf numFmtId="0" fontId="0" fillId="0" borderId="7" xfId="0" applyFont="1" applyBorder="1"/>
    <xf numFmtId="0" fontId="5" fillId="3" borderId="0" xfId="0" applyFont="1" applyFill="1" applyBorder="1"/>
    <xf numFmtId="0" fontId="5" fillId="6" borderId="0" xfId="0" applyNumberFormat="1" applyFont="1" applyFill="1" applyBorder="1"/>
    <xf numFmtId="167" fontId="5" fillId="6" borderId="0" xfId="2" applyNumberFormat="1" applyFont="1" applyFill="1" applyBorder="1"/>
    <xf numFmtId="0" fontId="9" fillId="0" borderId="0" xfId="0" applyFont="1"/>
    <xf numFmtId="0" fontId="10" fillId="6" borderId="0" xfId="0" applyFont="1" applyFill="1" applyAlignment="1">
      <alignment horizontal="center"/>
    </xf>
    <xf numFmtId="166" fontId="6" fillId="4" borderId="0" xfId="0" applyNumberFormat="1" applyFont="1" applyFill="1" applyAlignment="1">
      <alignment horizontal="left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166" fontId="3" fillId="0" borderId="6" xfId="0" applyNumberFormat="1" applyFont="1" applyBorder="1"/>
    <xf numFmtId="1" fontId="3" fillId="0" borderId="6" xfId="0" applyNumberFormat="1" applyFont="1" applyBorder="1"/>
    <xf numFmtId="166" fontId="3" fillId="4" borderId="6" xfId="0" applyNumberFormat="1" applyFont="1" applyFill="1" applyBorder="1"/>
    <xf numFmtId="1" fontId="3" fillId="4" borderId="6" xfId="0" applyNumberFormat="1" applyFont="1" applyFill="1" applyBorder="1"/>
    <xf numFmtId="9" fontId="3" fillId="0" borderId="6" xfId="1" applyNumberFormat="1" applyFont="1" applyBorder="1"/>
    <xf numFmtId="167" fontId="3" fillId="0" borderId="6" xfId="2" applyNumberFormat="1" applyFont="1" applyBorder="1"/>
    <xf numFmtId="14" fontId="3" fillId="0" borderId="7" xfId="0" applyNumberFormat="1" applyFont="1" applyBorder="1"/>
    <xf numFmtId="1" fontId="3" fillId="4" borderId="6" xfId="1" applyNumberFormat="1" applyFont="1" applyFill="1" applyBorder="1"/>
    <xf numFmtId="0" fontId="3" fillId="0" borderId="2" xfId="0" applyFont="1" applyBorder="1"/>
    <xf numFmtId="0" fontId="3" fillId="0" borderId="3" xfId="0" applyFont="1" applyBorder="1"/>
    <xf numFmtId="166" fontId="3" fillId="0" borderId="3" xfId="0" applyNumberFormat="1" applyFont="1" applyBorder="1"/>
    <xf numFmtId="1" fontId="3" fillId="0" borderId="3" xfId="0" applyNumberFormat="1" applyFont="1" applyBorder="1"/>
    <xf numFmtId="166" fontId="3" fillId="4" borderId="3" xfId="0" applyNumberFormat="1" applyFont="1" applyFill="1" applyBorder="1"/>
    <xf numFmtId="1" fontId="3" fillId="4" borderId="3" xfId="0" applyNumberFormat="1" applyFont="1" applyFill="1" applyBorder="1"/>
    <xf numFmtId="9" fontId="3" fillId="0" borderId="3" xfId="1" applyNumberFormat="1" applyFont="1" applyBorder="1"/>
    <xf numFmtId="167" fontId="3" fillId="0" borderId="3" xfId="2" applyNumberFormat="1" applyFont="1" applyBorder="1"/>
    <xf numFmtId="14" fontId="3" fillId="0" borderId="4" xfId="0" applyNumberFormat="1" applyFont="1" applyBorder="1"/>
    <xf numFmtId="0" fontId="5" fillId="3" borderId="16" xfId="0" applyFont="1" applyFill="1" applyBorder="1"/>
    <xf numFmtId="0" fontId="0" fillId="0" borderId="16" xfId="0" applyFont="1" applyFill="1" applyBorder="1"/>
    <xf numFmtId="167" fontId="0" fillId="0" borderId="16" xfId="2" applyNumberFormat="1" applyFont="1" applyFill="1" applyBorder="1"/>
    <xf numFmtId="0" fontId="11" fillId="4" borderId="16" xfId="0" applyFont="1" applyFill="1" applyBorder="1"/>
    <xf numFmtId="167" fontId="11" fillId="4" borderId="16" xfId="2" applyNumberFormat="1" applyFont="1" applyFill="1" applyBorder="1"/>
    <xf numFmtId="167" fontId="0" fillId="0" borderId="0" xfId="0" applyNumberFormat="1"/>
    <xf numFmtId="0" fontId="12" fillId="4" borderId="16" xfId="0" applyFont="1" applyFill="1" applyBorder="1"/>
    <xf numFmtId="167" fontId="12" fillId="4" borderId="16" xfId="2" applyNumberFormat="1" applyFont="1" applyFill="1" applyBorder="1"/>
    <xf numFmtId="9" fontId="0" fillId="0" borderId="0" xfId="0" applyNumberFormat="1"/>
    <xf numFmtId="0" fontId="3" fillId="0" borderId="0" xfId="0" applyFont="1"/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9" fontId="3" fillId="0" borderId="0" xfId="1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8" borderId="17" xfId="0" applyFont="1" applyFill="1" applyBorder="1" applyAlignment="1">
      <alignment vertical="center"/>
    </xf>
    <xf numFmtId="9" fontId="3" fillId="0" borderId="17" xfId="1" applyFont="1" applyBorder="1" applyAlignment="1">
      <alignment vertical="center"/>
    </xf>
    <xf numFmtId="0" fontId="10" fillId="6" borderId="17" xfId="0" applyFont="1" applyFill="1" applyBorder="1" applyAlignment="1">
      <alignment vertical="center"/>
    </xf>
    <xf numFmtId="9" fontId="10" fillId="9" borderId="17" xfId="1" applyFont="1" applyFill="1" applyBorder="1" applyAlignment="1">
      <alignment vertical="center"/>
    </xf>
    <xf numFmtId="0" fontId="6" fillId="4" borderId="0" xfId="0" applyNumberFormat="1" applyFont="1" applyFill="1" applyAlignment="1">
      <alignment horizontal="left" vertical="center"/>
    </xf>
    <xf numFmtId="9" fontId="3" fillId="10" borderId="17" xfId="1" applyFont="1" applyFill="1" applyBorder="1" applyAlignment="1">
      <alignment vertical="center"/>
    </xf>
    <xf numFmtId="9" fontId="3" fillId="2" borderId="17" xfId="1" applyFont="1" applyFill="1" applyBorder="1" applyAlignment="1">
      <alignment vertical="center"/>
    </xf>
    <xf numFmtId="9" fontId="3" fillId="11" borderId="17" xfId="1" applyFont="1" applyFill="1" applyBorder="1" applyAlignment="1">
      <alignment vertical="center"/>
    </xf>
    <xf numFmtId="0" fontId="7" fillId="3" borderId="5" xfId="0" applyFont="1" applyFill="1" applyBorder="1"/>
    <xf numFmtId="0" fontId="3" fillId="0" borderId="7" xfId="0" applyFont="1" applyBorder="1"/>
    <xf numFmtId="0" fontId="3" fillId="0" borderId="4" xfId="0" applyFont="1" applyBorder="1"/>
    <xf numFmtId="1" fontId="6" fillId="0" borderId="0" xfId="0" applyNumberFormat="1" applyFont="1"/>
    <xf numFmtId="168" fontId="11" fillId="4" borderId="16" xfId="2" applyNumberFormat="1" applyFont="1" applyFill="1" applyBorder="1"/>
    <xf numFmtId="0" fontId="16" fillId="12" borderId="16" xfId="0" applyFont="1" applyFill="1" applyBorder="1"/>
    <xf numFmtId="0" fontId="0" fillId="0" borderId="20" xfId="0" applyFont="1" applyBorder="1"/>
    <xf numFmtId="0" fontId="0" fillId="0" borderId="21" xfId="0" applyFont="1" applyBorder="1"/>
    <xf numFmtId="0" fontId="0" fillId="13" borderId="0" xfId="0" applyFill="1"/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6" fillId="13" borderId="25" xfId="0" applyFont="1" applyFill="1" applyBorder="1" applyAlignment="1">
      <alignment horizontal="center" vertical="center"/>
    </xf>
    <xf numFmtId="0" fontId="16" fillId="13" borderId="26" xfId="0" applyFont="1" applyFill="1" applyBorder="1" applyAlignment="1">
      <alignment horizontal="center" vertical="center"/>
    </xf>
    <xf numFmtId="0" fontId="16" fillId="13" borderId="22" xfId="0" applyFont="1" applyFill="1" applyBorder="1"/>
    <xf numFmtId="14" fontId="16" fillId="13" borderId="22" xfId="0" applyNumberFormat="1" applyFont="1" applyFill="1" applyBorder="1"/>
    <xf numFmtId="9" fontId="16" fillId="13" borderId="22" xfId="1" applyFont="1" applyFill="1" applyBorder="1"/>
    <xf numFmtId="0" fontId="5" fillId="13" borderId="25" xfId="0" applyFont="1" applyFill="1" applyBorder="1" applyAlignment="1">
      <alignment horizontal="left"/>
    </xf>
    <xf numFmtId="0" fontId="7" fillId="14" borderId="5" xfId="0" applyFont="1" applyFill="1" applyBorder="1" applyAlignment="1">
      <alignment horizontal="left" vertical="center"/>
    </xf>
    <xf numFmtId="0" fontId="7" fillId="14" borderId="23" xfId="0" applyFont="1" applyFill="1" applyBorder="1" applyAlignment="1">
      <alignment horizontal="left" vertical="center"/>
    </xf>
    <xf numFmtId="0" fontId="7" fillId="14" borderId="24" xfId="0" applyFont="1" applyFill="1" applyBorder="1" applyAlignment="1">
      <alignment horizontal="left" vertical="center"/>
    </xf>
  </cellXfs>
  <cellStyles count="3">
    <cellStyle name="Currency" xfId="2" builtinId="4"/>
    <cellStyle name="Normal" xfId="0" builtinId="0"/>
    <cellStyle name="Percent" xfId="1" builtinId="5"/>
  </cellStyles>
  <dxfs count="32">
    <dxf>
      <fill>
        <patternFill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w Cen MT"/>
        <family val="2"/>
        <scheme val="none"/>
      </font>
      <fill>
        <patternFill patternType="solid">
          <fgColor theme="4"/>
          <bgColor rgb="FF463E2A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A78159"/>
        </left>
        <right style="thin">
          <color rgb="FFA78159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w Cen MT"/>
        <family val="2"/>
        <scheme val="none"/>
      </font>
      <fill>
        <patternFill patternType="solid">
          <fgColor theme="4"/>
          <bgColor rgb="FF463E2A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rgb="FFA78159"/>
        </left>
        <right style="thin">
          <color rgb="FFA7815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/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 style="thin">
          <color rgb="FFA78159"/>
        </left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/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border diagonalUp="0" diagonalDown="0" outline="0">
        <left style="thin">
          <color rgb="FFA78159"/>
        </left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463E2A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A78159"/>
        </right>
        <top style="thin">
          <color rgb="FFA7815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463E2A"/>
        </patternFill>
      </fill>
    </dxf>
    <dxf>
      <border outline="0">
        <left style="thin">
          <color rgb="FFA78159"/>
        </left>
      </border>
    </dxf>
    <dxf>
      <border outline="0">
        <left style="thin">
          <color rgb="FFA78159"/>
        </left>
      </border>
    </dxf>
    <dxf>
      <fill>
        <patternFill patternType="solid">
          <fgColor theme="5" tint="0.59999389629810485"/>
          <bgColor theme="5" tint="0.59999389629810485"/>
        </patternFill>
      </fill>
    </dxf>
    <dxf>
      <fill>
        <patternFill patternType="solid">
          <fgColor theme="5" tint="0.59999389629810485"/>
          <bgColor theme="5" tint="0.59999389629810485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medium">
          <color theme="5"/>
        </top>
      </border>
    </dxf>
    <dxf>
      <font>
        <b/>
        <color theme="1"/>
      </font>
    </dxf>
    <dxf>
      <font>
        <color theme="1"/>
      </font>
      <fill>
        <patternFill patternType="solid">
          <fgColor theme="5" tint="0.79998168889431442"/>
          <bgColor theme="5" tint="0.79998168889431442"/>
        </patternFill>
      </fill>
      <border diagonalUp="1">
        <left style="thin">
          <color rgb="FFA78159"/>
        </left>
        <right style="thin">
          <color rgb="FFA78159"/>
        </right>
        <top style="thin">
          <color rgb="FFA78159"/>
        </top>
        <bottom style="thin">
          <color rgb="FFA78159"/>
        </bottom>
        <diagonal style="thin">
          <color rgb="FFA78159"/>
        </diagonal>
        <vertical style="thin">
          <color rgb="FFA78159"/>
        </vertical>
        <horizontal style="thin">
          <color rgb="FFA78159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0" formatCode="General"/>
    </dxf>
    <dxf>
      <numFmt numFmtId="165" formatCode="[$-F800]dddd\,\ mmmm\ dd\,\ 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w Cen MT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leStyleMedium24 2" pivot="0" count="7" xr9:uid="{577DF741-8FEC-4ED8-A7A1-A67A396E76E7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</tableStyles>
  <colors>
    <mruColors>
      <color rgb="FFA78159"/>
      <color rgb="FF463E2A"/>
      <color rgb="FF383220"/>
      <color rgb="FFEAA7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09992542878449E-2"/>
          <c:y val="0"/>
          <c:w val="0.91797166293810584"/>
          <c:h val="0.767358723016765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list!$D$5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A78159"/>
            </a:solidFill>
            <a:ln>
              <a:noFill/>
            </a:ln>
            <a:effectLst/>
          </c:spPr>
          <c:invertIfNegative val="0"/>
          <c:cat>
            <c:strRef>
              <c:f>list!$C$6:$C$9</c:f>
              <c:strCache>
                <c:ptCount val="4"/>
                <c:pt idx="0">
                  <c:v>Not Started</c:v>
                </c:pt>
                <c:pt idx="1">
                  <c:v>Delayed</c:v>
                </c:pt>
                <c:pt idx="2">
                  <c:v>In Progress</c:v>
                </c:pt>
                <c:pt idx="3">
                  <c:v>Done</c:v>
                </c:pt>
              </c:strCache>
            </c:strRef>
          </c:cat>
          <c:val>
            <c:numRef>
              <c:f>list!$D$6:$D$9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F-4AE0-B213-84F0F7A14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6440463"/>
        <c:axId val="726443823"/>
      </c:barChart>
      <c:catAx>
        <c:axId val="72644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443823"/>
        <c:crosses val="autoZero"/>
        <c:auto val="1"/>
        <c:lblAlgn val="ctr"/>
        <c:lblOffset val="100"/>
        <c:noMultiLvlLbl val="0"/>
      </c:catAx>
      <c:valAx>
        <c:axId val="726443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644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199674001629987E-2"/>
          <c:y val="0.11251758087201125"/>
          <c:w val="0.91035044824775879"/>
          <c:h val="0.7595058529076270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list!$AD$3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A781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list!$AC$4:$AC$6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list!$AD$4:$AD$6</c:f>
              <c:numCache>
                <c:formatCode>General</c:formatCode>
                <c:ptCount val="3"/>
                <c:pt idx="0">
                  <c:v>11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EF-4E3A-B781-46584D90A2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0150784"/>
        <c:axId val="240152224"/>
      </c:barChart>
      <c:catAx>
        <c:axId val="24015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52224"/>
        <c:crosses val="autoZero"/>
        <c:auto val="1"/>
        <c:lblAlgn val="ctr"/>
        <c:lblOffset val="100"/>
        <c:noMultiLvlLbl val="0"/>
      </c:catAx>
      <c:valAx>
        <c:axId val="240152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4015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900881114048535"/>
          <c:y val="0.15491482053678227"/>
          <c:w val="0.8153924704724409"/>
          <c:h val="0.68977892186553602"/>
        </c:manualLayout>
      </c:layout>
      <c:lineChart>
        <c:grouping val="standard"/>
        <c:varyColors val="0"/>
        <c:ser>
          <c:idx val="0"/>
          <c:order val="0"/>
          <c:tx>
            <c:strRef>
              <c:f>'Budget Plan'!$B$5</c:f>
              <c:strCache>
                <c:ptCount val="1"/>
                <c:pt idx="0">
                  <c:v>Plan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'Budget Plan'!$D$4:$J$4</c:f>
              <c:numCache>
                <c:formatCode>mmm\-yy</c:formatCode>
                <c:ptCount val="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</c:numCache>
            </c:numRef>
          </c:cat>
          <c:val>
            <c:numRef>
              <c:f>'Budget Plan'!$D$5:$J$5</c:f>
              <c:numCache>
                <c:formatCode>_("$"* #,##0_);_("$"* \(#,##0\);_("$"* "-"??_);_(@_)</c:formatCode>
                <c:ptCount val="7"/>
                <c:pt idx="0">
                  <c:v>620000</c:v>
                </c:pt>
                <c:pt idx="1">
                  <c:v>1160000</c:v>
                </c:pt>
                <c:pt idx="2">
                  <c:v>1660000</c:v>
                </c:pt>
                <c:pt idx="3">
                  <c:v>2085000</c:v>
                </c:pt>
                <c:pt idx="4">
                  <c:v>2430000</c:v>
                </c:pt>
                <c:pt idx="5">
                  <c:v>2685000</c:v>
                </c:pt>
                <c:pt idx="6">
                  <c:v>2900000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2-45AA-8852-BC06B41510CB}"/>
            </c:ext>
          </c:extLst>
        </c:ser>
        <c:ser>
          <c:idx val="1"/>
          <c:order val="1"/>
          <c:tx>
            <c:strRef>
              <c:f>'Budget Plan'!$B$6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'Budget Plan'!$D$4:$J$4</c:f>
              <c:numCache>
                <c:formatCode>mmm\-yy</c:formatCode>
                <c:ptCount val="7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</c:numCache>
            </c:numRef>
          </c:cat>
          <c:val>
            <c:numRef>
              <c:f>'Budget Plan'!$D$6:$J$6</c:f>
              <c:numCache>
                <c:formatCode>_("$"* #,##0_);_("$"* \(#,##0\);_("$"* "-"??_);_(@_)</c:formatCode>
                <c:ptCount val="7"/>
                <c:pt idx="0">
                  <c:v>640000</c:v>
                </c:pt>
                <c:pt idx="1">
                  <c:v>1165000</c:v>
                </c:pt>
                <c:pt idx="2">
                  <c:v>1690000</c:v>
                </c:pt>
                <c:pt idx="3">
                  <c:v>1855000</c:v>
                </c:pt>
                <c:pt idx="4" formatCode="00000">
                  <c:v>#N/A</c:v>
                </c:pt>
                <c:pt idx="5" formatCode="00000">
                  <c:v>#N/A</c:v>
                </c:pt>
                <c:pt idx="6" formatCode="000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2-45AA-8852-BC06B4151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002895"/>
        <c:axId val="2049999055"/>
      </c:lineChart>
      <c:dateAx>
        <c:axId val="205000289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999055"/>
        <c:crosses val="autoZero"/>
        <c:auto val="1"/>
        <c:lblOffset val="100"/>
        <c:baseTimeUnit val="months"/>
      </c:dateAx>
      <c:valAx>
        <c:axId val="2049999055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0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383220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2528274874731564E-2"/>
          <c:w val="0.97291319767824713"/>
          <c:h val="0.9870646623717488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DA7-4C83-967F-1182DCC1E2C1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DA7-4C83-967F-1182DCC1E2C1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DA7-4C83-967F-1182DCC1E2C1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DA7-4C83-967F-1182DCC1E2C1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DA7-4C83-967F-1182DCC1E2C1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DA7-4C83-967F-1182DCC1E2C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CAE3334-357B-48F7-A3AF-D641561C91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DA7-4C83-967F-1182DCC1E2C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2FCC03F-B362-4E94-BC2D-C7CA18E30C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DA7-4C83-967F-1182DCC1E2C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810928B-A33C-41D8-979B-3EDADBCA82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DA7-4C83-967F-1182DCC1E2C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4AAF8EF-3194-45F5-9177-322C4902F3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DA7-4C83-967F-1182DCC1E2C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BDBBCA6-C6AE-434E-9AF9-E289D059AC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DA7-4C83-967F-1182DCC1E2C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DA7-4C83-967F-1182DCC1E2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SpeedoMeters!$B$13:$B$17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DDA7-4C83-967F-1182DCC1E2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SpeedoMeters!$A$7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DA7-4C83-967F-1182DCC1E2C1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DA7-4C83-967F-1182DCC1E2C1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DDA7-4C83-967F-1182DCC1E2C1}"/>
              </c:ext>
            </c:extLst>
          </c:dPt>
          <c:val>
            <c:numRef>
              <c:f>SpeedoMeters!$B$8:$B$10</c:f>
              <c:numCache>
                <c:formatCode>0%</c:formatCode>
                <c:ptCount val="3"/>
                <c:pt idx="0">
                  <c:v>0.5714285714285714</c:v>
                </c:pt>
                <c:pt idx="1">
                  <c:v>0.02</c:v>
                </c:pt>
                <c:pt idx="2">
                  <c:v>1.4085714285714286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DA7-4C83-967F-1182DCC1E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000132765505479E-2"/>
          <c:y val="3.3683759960112511E-2"/>
          <c:w val="0.98899986723449451"/>
          <c:h val="0.9499332072738219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1C-4882-83DA-52F62B23534C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1C-4882-83DA-52F62B23534C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1C-4882-83DA-52F62B23534C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1C-4882-83DA-52F62B23534C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1C-4882-83DA-52F62B23534C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C1C-4882-83DA-52F62B23534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A912B86-2BEF-4D5B-BB71-4043AF12B4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C1C-4882-83DA-52F62B23534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2872CFC-A1EC-49DA-886E-F72371669F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C1C-4882-83DA-52F62B23534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74944A3-20FF-437A-A97B-7B9BCD1156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C1C-4882-83DA-52F62B23534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EBC4BAC-82EC-4F2C-B3A8-C37CE460BE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C1C-4882-83DA-52F62B23534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1520628-3223-4D08-BFCC-DA542B9F29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C1C-4882-83DA-52F62B23534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C1C-4882-83DA-52F62B2353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SpeedoMeters!$F$13:$F$17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4C1C-4882-83DA-52F62B2353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SpeedoMeters!$E$7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C1C-4882-83DA-52F62B23534C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C1C-4882-83DA-52F62B23534C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C1C-4882-83DA-52F62B23534C}"/>
              </c:ext>
            </c:extLst>
          </c:dPt>
          <c:val>
            <c:numRef>
              <c:f>SpeedoMeters!$F$8:$F$10</c:f>
              <c:numCache>
                <c:formatCode>0%</c:formatCode>
                <c:ptCount val="3"/>
                <c:pt idx="0">
                  <c:v>0.50761421319796951</c:v>
                </c:pt>
                <c:pt idx="1">
                  <c:v>0.02</c:v>
                </c:pt>
                <c:pt idx="2">
                  <c:v>1.4723857868020305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C1C-4882-83DA-52F62B235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000132765505479E-2"/>
          <c:y val="2.4812557032521474E-2"/>
          <c:w val="0.98899986723449451"/>
          <c:h val="0.9499332072738219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4F-4D11-90DF-104CF9568D10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4F-4D11-90DF-104CF9568D10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4F-4D11-90DF-104CF9568D10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4F-4D11-90DF-104CF9568D10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4F-4D11-90DF-104CF9568D10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64F-4D11-90DF-104CF9568D1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D84A2AA-3C27-4A60-987B-D64907BA0B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64F-4D11-90DF-104CF9568D1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EF82A2E-BAB3-41C5-B0AE-050681C901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64F-4D11-90DF-104CF9568D1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C408326-3CCE-469E-BCF4-3D1712DB73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4F-4D11-90DF-104CF9568D1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249571C-3526-4C55-9FE6-1C3813E31B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64F-4D11-90DF-104CF9568D1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14F3098-5E46-4440-9D93-F307F6BCFA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64F-4D11-90DF-104CF9568D1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64F-4D11-90DF-104CF9568D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SpeedoMeters!$F$13:$F$17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C64F-4D11-90DF-104CF9568D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SpeedoMeters!$E$7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64F-4D11-90DF-104CF9568D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64F-4D11-90DF-104CF9568D1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C64F-4D11-90DF-104CF9568D10}"/>
              </c:ext>
            </c:extLst>
          </c:dPt>
          <c:val>
            <c:numRef>
              <c:f>SpeedoMeters!$J$8:$J$10</c:f>
              <c:numCache>
                <c:formatCode>0%</c:formatCode>
                <c:ptCount val="3"/>
                <c:pt idx="0">
                  <c:v>0.6396551724137931</c:v>
                </c:pt>
                <c:pt idx="1">
                  <c:v>0.02</c:v>
                </c:pt>
                <c:pt idx="2">
                  <c:v>1.3403448275862069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4F-4D11-90DF-104CF9568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515491201173691E-2"/>
          <c:y val="0.23019014309007371"/>
          <c:w val="0.94490560945611513"/>
          <c:h val="0.4878625384633842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list!$D$5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A781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list!$C$6:$C$9</c:f>
              <c:strCache>
                <c:ptCount val="4"/>
                <c:pt idx="0">
                  <c:v>Not Started</c:v>
                </c:pt>
                <c:pt idx="1">
                  <c:v>Delayed</c:v>
                </c:pt>
                <c:pt idx="2">
                  <c:v>In Progress</c:v>
                </c:pt>
                <c:pt idx="3">
                  <c:v>Done</c:v>
                </c:pt>
              </c:strCache>
            </c:strRef>
          </c:cat>
          <c:val>
            <c:numRef>
              <c:f>list!$D$6:$D$9</c:f>
              <c:numCache>
                <c:formatCode>General</c:formatCode>
                <c:ptCount val="4"/>
                <c:pt idx="0">
                  <c:v>8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D-4199-8244-1E2F37F49C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726440463"/>
        <c:axId val="726443823"/>
      </c:barChart>
      <c:catAx>
        <c:axId val="72644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443823"/>
        <c:crosses val="autoZero"/>
        <c:auto val="1"/>
        <c:lblAlgn val="ctr"/>
        <c:lblOffset val="100"/>
        <c:noMultiLvlLbl val="0"/>
      </c:catAx>
      <c:valAx>
        <c:axId val="7264438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644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8662891857619"/>
          <c:y val="4.138827835756255E-2"/>
          <c:w val="0.92849229498141028"/>
          <c:h val="0.9580817012834194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Tasks!$I$2</c:f>
              <c:strCache>
                <c:ptCount val="1"/>
                <c:pt idx="0">
                  <c:v>A STRT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Tasks!$N$3:$N$23</c:f>
                <c:numCache>
                  <c:formatCode>General</c:formatCode>
                  <c:ptCount val="21"/>
                  <c:pt idx="0">
                    <c:v>14</c:v>
                  </c:pt>
                  <c:pt idx="1">
                    <c:v>22.400000000000002</c:v>
                  </c:pt>
                  <c:pt idx="2">
                    <c:v>20.7</c:v>
                  </c:pt>
                  <c:pt idx="3">
                    <c:v>21</c:v>
                  </c:pt>
                  <c:pt idx="4">
                    <c:v>9.5</c:v>
                  </c:pt>
                  <c:pt idx="5">
                    <c:v>8.1</c:v>
                  </c:pt>
                  <c:pt idx="6">
                    <c:v>17</c:v>
                  </c:pt>
                  <c:pt idx="7">
                    <c:v>13</c:v>
                  </c:pt>
                  <c:pt idx="8">
                    <c:v>17.099999999999998</c:v>
                  </c:pt>
                  <c:pt idx="9">
                    <c:v>15.3</c:v>
                  </c:pt>
                  <c:pt idx="10">
                    <c:v>35.1</c:v>
                  </c:pt>
                  <c:pt idx="11">
                    <c:v>29.4</c:v>
                  </c:pt>
                  <c:pt idx="12">
                    <c:v>17.100000000000001</c:v>
                  </c:pt>
                  <c:pt idx="13">
                    <c:v>3.6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84150" cap="flat" cmpd="sng" algn="ctr">
                <a:solidFill>
                  <a:srgbClr val="A78159"/>
                </a:solidFill>
                <a:round/>
              </a:ln>
              <a:effectLst/>
            </c:spPr>
          </c:errBars>
          <c:cat>
            <c:strRef>
              <c:f>Tasks!$B$3:$B$23</c:f>
              <c:strCache>
                <c:ptCount val="21"/>
                <c:pt idx="0">
                  <c:v>Activity 01</c:v>
                </c:pt>
                <c:pt idx="1">
                  <c:v>Activity 02</c:v>
                </c:pt>
                <c:pt idx="2">
                  <c:v>Activity 03</c:v>
                </c:pt>
                <c:pt idx="3">
                  <c:v>Activity 04</c:v>
                </c:pt>
                <c:pt idx="4">
                  <c:v>Activity 05</c:v>
                </c:pt>
                <c:pt idx="5">
                  <c:v>Activity 06</c:v>
                </c:pt>
                <c:pt idx="6">
                  <c:v>Activity 07</c:v>
                </c:pt>
                <c:pt idx="7">
                  <c:v>Activity 08</c:v>
                </c:pt>
                <c:pt idx="8">
                  <c:v>Activity 09</c:v>
                </c:pt>
                <c:pt idx="9">
                  <c:v>Activity 10</c:v>
                </c:pt>
                <c:pt idx="10">
                  <c:v>Activity 11</c:v>
                </c:pt>
                <c:pt idx="11">
                  <c:v>Activity 12</c:v>
                </c:pt>
                <c:pt idx="12">
                  <c:v>Activity 13</c:v>
                </c:pt>
                <c:pt idx="13">
                  <c:v>Activity 14</c:v>
                </c:pt>
                <c:pt idx="14">
                  <c:v>Activity 15</c:v>
                </c:pt>
                <c:pt idx="15">
                  <c:v>Activity 16</c:v>
                </c:pt>
                <c:pt idx="16">
                  <c:v>Activity 17</c:v>
                </c:pt>
                <c:pt idx="17">
                  <c:v>Activity 18</c:v>
                </c:pt>
                <c:pt idx="18">
                  <c:v>Activity 19</c:v>
                </c:pt>
                <c:pt idx="19">
                  <c:v>Activity 20</c:v>
                </c:pt>
                <c:pt idx="20">
                  <c:v>Activity 21</c:v>
                </c:pt>
              </c:strCache>
            </c:strRef>
          </c:cat>
          <c:val>
            <c:numRef>
              <c:f>Tasks!$I$3:$I$23</c:f>
              <c:numCache>
                <c:formatCode>[$-409]d\-mmm\-yyyy;@</c:formatCode>
                <c:ptCount val="21"/>
                <c:pt idx="0">
                  <c:v>43831</c:v>
                </c:pt>
                <c:pt idx="1">
                  <c:v>43846</c:v>
                </c:pt>
                <c:pt idx="2">
                  <c:v>43865</c:v>
                </c:pt>
                <c:pt idx="3">
                  <c:v>43867</c:v>
                </c:pt>
                <c:pt idx="4">
                  <c:v>43870</c:v>
                </c:pt>
                <c:pt idx="5">
                  <c:v>43871</c:v>
                </c:pt>
                <c:pt idx="6">
                  <c:v>43878</c:v>
                </c:pt>
                <c:pt idx="7">
                  <c:v>43893</c:v>
                </c:pt>
                <c:pt idx="8">
                  <c:v>43898</c:v>
                </c:pt>
                <c:pt idx="9">
                  <c:v>43905</c:v>
                </c:pt>
                <c:pt idx="10">
                  <c:v>43905</c:v>
                </c:pt>
                <c:pt idx="11">
                  <c:v>43907</c:v>
                </c:pt>
                <c:pt idx="12">
                  <c:v>43922</c:v>
                </c:pt>
                <c:pt idx="13">
                  <c:v>43935</c:v>
                </c:pt>
                <c:pt idx="14">
                  <c:v>43940</c:v>
                </c:pt>
                <c:pt idx="15">
                  <c:v>43955</c:v>
                </c:pt>
                <c:pt idx="16">
                  <c:v>43979</c:v>
                </c:pt>
                <c:pt idx="17">
                  <c:v>43994</c:v>
                </c:pt>
                <c:pt idx="18">
                  <c:v>43996</c:v>
                </c:pt>
                <c:pt idx="19">
                  <c:v>43999</c:v>
                </c:pt>
                <c:pt idx="20">
                  <c:v>44004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AF-496E-9425-03D5F4DE5BAC}"/>
            </c:ext>
          </c:extLst>
        </c:ser>
        <c:ser>
          <c:idx val="1"/>
          <c:order val="1"/>
          <c:tx>
            <c:strRef>
              <c:f>Tasks!$L$2</c:f>
              <c:strCache>
                <c:ptCount val="1"/>
                <c:pt idx="0">
                  <c:v>A (CD)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 w="31750">
              <a:solidFill>
                <a:schemeClr val="tx2">
                  <a:lumMod val="20000"/>
                  <a:lumOff val="80000"/>
                </a:schemeClr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5F6A221-1598-476E-BBDC-3ACE309094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6AF-496E-9425-03D5F4DE5BA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7802208-3BBC-420D-A864-3E1A576486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6AF-496E-9425-03D5F4DE5BA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A4CC63D-3A69-48A7-8C13-40AD3031F1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6AF-496E-9425-03D5F4DE5BA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C881738-C951-4DB0-B8E2-855289AD75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6AF-496E-9425-03D5F4DE5BA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87B67DA-AD62-4D9A-8C02-BB87241B15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6AF-496E-9425-03D5F4DE5BA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7760DAB-6293-4FA8-8269-E7003001D4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6AF-496E-9425-03D5F4DE5BA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00A10E3-72EC-425D-98A6-AF6CF5C6A7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6AF-496E-9425-03D5F4DE5BA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1E407F7-5E8A-47F3-85B9-29275B4B41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6AF-496E-9425-03D5F4DE5BA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CFCBF12-25EC-4AE6-9304-6B20E92BA4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6AF-496E-9425-03D5F4DE5BA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0C6FEB3-B18C-4947-AA54-EDC3CDC94DB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6AF-496E-9425-03D5F4DE5BA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164739D-679D-4B2C-A4F0-4EB56CB211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6AF-496E-9425-03D5F4DE5BA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05F9BB2-918C-4056-B404-11D37E2F6B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6AF-496E-9425-03D5F4DE5BA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F3B2A2D-E407-493A-B0AC-8D7A125545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6AF-496E-9425-03D5F4DE5BA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0C3DD3F-CC17-4357-9BF5-0681AB89CA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6AF-496E-9425-03D5F4DE5BA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723FBC3B-5E70-45A2-B487-ADD24109FA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6AF-496E-9425-03D5F4DE5BA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3300B9CE-8BBE-4B33-93EC-2885911D56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6AF-496E-9425-03D5F4DE5BA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511582B-7127-40F7-89D4-84C0082102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6AF-496E-9425-03D5F4DE5BA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E5E830C-CE7B-4472-87B7-AD4A041EA2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6AF-496E-9425-03D5F4DE5BA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AE8D7BF-920E-4DC9-A9F0-A65281011F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6AF-496E-9425-03D5F4DE5BAC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FBF43DA2-782B-40B6-9054-C416C1EF58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6AF-496E-9425-03D5F4DE5BAC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E46075A-9A97-427B-B485-7F3D741DBD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6AF-496E-9425-03D5F4DE5B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Tasks!$B$3:$B$23</c:f>
              <c:strCache>
                <c:ptCount val="21"/>
                <c:pt idx="0">
                  <c:v>Activity 01</c:v>
                </c:pt>
                <c:pt idx="1">
                  <c:v>Activity 02</c:v>
                </c:pt>
                <c:pt idx="2">
                  <c:v>Activity 03</c:v>
                </c:pt>
                <c:pt idx="3">
                  <c:v>Activity 04</c:v>
                </c:pt>
                <c:pt idx="4">
                  <c:v>Activity 05</c:v>
                </c:pt>
                <c:pt idx="5">
                  <c:v>Activity 06</c:v>
                </c:pt>
                <c:pt idx="6">
                  <c:v>Activity 07</c:v>
                </c:pt>
                <c:pt idx="7">
                  <c:v>Activity 08</c:v>
                </c:pt>
                <c:pt idx="8">
                  <c:v>Activity 09</c:v>
                </c:pt>
                <c:pt idx="9">
                  <c:v>Activity 10</c:v>
                </c:pt>
                <c:pt idx="10">
                  <c:v>Activity 11</c:v>
                </c:pt>
                <c:pt idx="11">
                  <c:v>Activity 12</c:v>
                </c:pt>
                <c:pt idx="12">
                  <c:v>Activity 13</c:v>
                </c:pt>
                <c:pt idx="13">
                  <c:v>Activity 14</c:v>
                </c:pt>
                <c:pt idx="14">
                  <c:v>Activity 15</c:v>
                </c:pt>
                <c:pt idx="15">
                  <c:v>Activity 16</c:v>
                </c:pt>
                <c:pt idx="16">
                  <c:v>Activity 17</c:v>
                </c:pt>
                <c:pt idx="17">
                  <c:v>Activity 18</c:v>
                </c:pt>
                <c:pt idx="18">
                  <c:v>Activity 19</c:v>
                </c:pt>
                <c:pt idx="19">
                  <c:v>Activity 20</c:v>
                </c:pt>
                <c:pt idx="20">
                  <c:v>Activity 21</c:v>
                </c:pt>
              </c:strCache>
            </c:strRef>
          </c:cat>
          <c:val>
            <c:numRef>
              <c:f>Tasks!$L$3:$L$23</c:f>
              <c:numCache>
                <c:formatCode>0</c:formatCode>
                <c:ptCount val="21"/>
                <c:pt idx="0">
                  <c:v>14</c:v>
                </c:pt>
                <c:pt idx="1">
                  <c:v>28</c:v>
                </c:pt>
                <c:pt idx="2">
                  <c:v>23</c:v>
                </c:pt>
                <c:pt idx="3">
                  <c:v>21</c:v>
                </c:pt>
                <c:pt idx="4">
                  <c:v>10</c:v>
                </c:pt>
                <c:pt idx="5">
                  <c:v>9</c:v>
                </c:pt>
                <c:pt idx="6">
                  <c:v>17</c:v>
                </c:pt>
                <c:pt idx="7">
                  <c:v>13</c:v>
                </c:pt>
                <c:pt idx="8">
                  <c:v>18</c:v>
                </c:pt>
                <c:pt idx="9">
                  <c:v>17</c:v>
                </c:pt>
                <c:pt idx="10">
                  <c:v>39</c:v>
                </c:pt>
                <c:pt idx="11">
                  <c:v>42</c:v>
                </c:pt>
                <c:pt idx="12">
                  <c:v>19</c:v>
                </c:pt>
                <c:pt idx="13">
                  <c:v>36</c:v>
                </c:pt>
                <c:pt idx="14">
                  <c:v>32</c:v>
                </c:pt>
                <c:pt idx="15">
                  <c:v>34</c:v>
                </c:pt>
                <c:pt idx="16">
                  <c:v>27</c:v>
                </c:pt>
                <c:pt idx="17">
                  <c:v>18</c:v>
                </c:pt>
                <c:pt idx="18">
                  <c:v>18</c:v>
                </c:pt>
                <c:pt idx="19">
                  <c:v>32</c:v>
                </c:pt>
                <c:pt idx="20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Tasks!$M$3:$M$23</c15:f>
                <c15:dlblRangeCache>
                  <c:ptCount val="21"/>
                  <c:pt idx="0">
                    <c:v>100%</c:v>
                  </c:pt>
                  <c:pt idx="1">
                    <c:v>80%</c:v>
                  </c:pt>
                  <c:pt idx="2">
                    <c:v>90%</c:v>
                  </c:pt>
                  <c:pt idx="3">
                    <c:v>100%</c:v>
                  </c:pt>
                  <c:pt idx="4">
                    <c:v>95%</c:v>
                  </c:pt>
                  <c:pt idx="5">
                    <c:v>90%</c:v>
                  </c:pt>
                  <c:pt idx="6">
                    <c:v>100%</c:v>
                  </c:pt>
                  <c:pt idx="7">
                    <c:v>100%</c:v>
                  </c:pt>
                  <c:pt idx="8">
                    <c:v>95%</c:v>
                  </c:pt>
                  <c:pt idx="9">
                    <c:v>90%</c:v>
                  </c:pt>
                  <c:pt idx="10">
                    <c:v>90%</c:v>
                  </c:pt>
                  <c:pt idx="11">
                    <c:v>70%</c:v>
                  </c:pt>
                  <c:pt idx="12">
                    <c:v>90%</c:v>
                  </c:pt>
                  <c:pt idx="13">
                    <c:v>10%</c:v>
                  </c:pt>
                  <c:pt idx="14">
                    <c:v>0%</c:v>
                  </c:pt>
                  <c:pt idx="15">
                    <c:v>0%</c:v>
                  </c:pt>
                  <c:pt idx="16">
                    <c:v>0%</c:v>
                  </c:pt>
                  <c:pt idx="17">
                    <c:v>0%</c:v>
                  </c:pt>
                  <c:pt idx="18">
                    <c:v>0%</c:v>
                  </c:pt>
                  <c:pt idx="19">
                    <c:v>0%</c:v>
                  </c:pt>
                  <c:pt idx="20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C6AF-496E-9425-03D5F4DE5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24198175"/>
        <c:axId val="778941487"/>
      </c:barChart>
      <c:scatterChart>
        <c:scatterStyle val="lineMarker"/>
        <c:varyColors val="0"/>
        <c:ser>
          <c:idx val="2"/>
          <c:order val="2"/>
          <c:tx>
            <c:v>P Start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Tasks!$H$3:$H$23</c:f>
                <c:numCache>
                  <c:formatCode>General</c:formatCode>
                  <c:ptCount val="21"/>
                  <c:pt idx="0">
                    <c:v>14</c:v>
                  </c:pt>
                  <c:pt idx="1">
                    <c:v>28</c:v>
                  </c:pt>
                  <c:pt idx="2">
                    <c:v>23</c:v>
                  </c:pt>
                  <c:pt idx="3">
                    <c:v>21</c:v>
                  </c:pt>
                  <c:pt idx="4">
                    <c:v>10</c:v>
                  </c:pt>
                  <c:pt idx="5">
                    <c:v>9</c:v>
                  </c:pt>
                  <c:pt idx="6">
                    <c:v>17</c:v>
                  </c:pt>
                  <c:pt idx="7">
                    <c:v>13</c:v>
                  </c:pt>
                  <c:pt idx="8">
                    <c:v>18</c:v>
                  </c:pt>
                  <c:pt idx="9">
                    <c:v>17</c:v>
                  </c:pt>
                  <c:pt idx="10">
                    <c:v>39</c:v>
                  </c:pt>
                  <c:pt idx="11">
                    <c:v>42</c:v>
                  </c:pt>
                  <c:pt idx="12">
                    <c:v>19</c:v>
                  </c:pt>
                  <c:pt idx="13">
                    <c:v>36</c:v>
                  </c:pt>
                  <c:pt idx="14">
                    <c:v>32</c:v>
                  </c:pt>
                  <c:pt idx="15">
                    <c:v>32</c:v>
                  </c:pt>
                  <c:pt idx="16">
                    <c:v>27</c:v>
                  </c:pt>
                  <c:pt idx="17">
                    <c:v>19</c:v>
                  </c:pt>
                  <c:pt idx="18">
                    <c:v>18</c:v>
                  </c:pt>
                  <c:pt idx="19">
                    <c:v>30</c:v>
                  </c:pt>
                  <c:pt idx="20">
                    <c:v>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19050" cap="flat" cmpd="sng" algn="ctr">
                <a:solidFill>
                  <a:schemeClr val="accent1">
                    <a:lumMod val="40000"/>
                    <a:lumOff val="60000"/>
                  </a:schemeClr>
                </a:solidFill>
                <a:round/>
              </a:ln>
              <a:effectLst/>
            </c:spPr>
          </c:errBars>
          <c:xVal>
            <c:numRef>
              <c:f>Tasks!$E$3:$E$23</c:f>
              <c:numCache>
                <c:formatCode>[$-409]d\-mmm\-yyyy;@</c:formatCode>
                <c:ptCount val="21"/>
                <c:pt idx="0">
                  <c:v>43831</c:v>
                </c:pt>
                <c:pt idx="1">
                  <c:v>43846</c:v>
                </c:pt>
                <c:pt idx="2">
                  <c:v>43865</c:v>
                </c:pt>
                <c:pt idx="3">
                  <c:v>43867</c:v>
                </c:pt>
                <c:pt idx="4">
                  <c:v>43870</c:v>
                </c:pt>
                <c:pt idx="5">
                  <c:v>43871</c:v>
                </c:pt>
                <c:pt idx="6">
                  <c:v>43878</c:v>
                </c:pt>
                <c:pt idx="7">
                  <c:v>43892</c:v>
                </c:pt>
                <c:pt idx="8">
                  <c:v>43897</c:v>
                </c:pt>
                <c:pt idx="9">
                  <c:v>43904</c:v>
                </c:pt>
                <c:pt idx="10">
                  <c:v>43904</c:v>
                </c:pt>
                <c:pt idx="11">
                  <c:v>43906</c:v>
                </c:pt>
                <c:pt idx="12">
                  <c:v>43921</c:v>
                </c:pt>
                <c:pt idx="13">
                  <c:v>43934</c:v>
                </c:pt>
                <c:pt idx="14">
                  <c:v>43939</c:v>
                </c:pt>
                <c:pt idx="15">
                  <c:v>43954</c:v>
                </c:pt>
                <c:pt idx="16">
                  <c:v>43978</c:v>
                </c:pt>
                <c:pt idx="17">
                  <c:v>43993</c:v>
                </c:pt>
                <c:pt idx="18">
                  <c:v>43995</c:v>
                </c:pt>
                <c:pt idx="19">
                  <c:v>43998</c:v>
                </c:pt>
                <c:pt idx="20">
                  <c:v>44003</c:v>
                </c:pt>
              </c:numCache>
            </c:numRef>
          </c:xVal>
          <c:yVal>
            <c:numRef>
              <c:f>Tasks!$V$3:$V$23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C6AF-496E-9425-03D5F4DE5BAC}"/>
            </c:ext>
          </c:extLst>
        </c:ser>
        <c:ser>
          <c:idx val="3"/>
          <c:order val="3"/>
          <c:tx>
            <c:strRef>
              <c:f>Tasks!$W$2</c:f>
              <c:strCache>
                <c:ptCount val="1"/>
                <c:pt idx="0">
                  <c:v>Today</c:v>
                </c:pt>
              </c:strCache>
            </c:strRef>
          </c:tx>
          <c:spPr>
            <a:ln w="25400" cap="rnd">
              <a:solidFill>
                <a:srgbClr val="A78159"/>
              </a:solidFill>
              <a:prstDash val="dash"/>
              <a:round/>
              <a:headEnd type="triangle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E85E3AE-E640-4394-B52B-A8BEC334E903}" type="SERIESNAME">
                      <a:rPr lang="en-US">
                        <a:solidFill>
                          <a:schemeClr val="bg1"/>
                        </a:solidFill>
                      </a:rPr>
                      <a:pPr>
                        <a:defRPr/>
                      </a:pPr>
                      <a:t>[SERIES NAME]</a:t>
                    </a:fld>
                    <a:endParaRPr lang="en-US"/>
                  </a:p>
                </c:rich>
              </c:tx>
              <c:spPr>
                <a:noFill/>
                <a:ln>
                  <a:solidFill>
                    <a:schemeClr val="accent1">
                      <a:lumMod val="40000"/>
                      <a:lumOff val="60000"/>
                    </a:schemeClr>
                  </a:solidFill>
                  <a:prstDash val="dash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8-C6AF-496E-9425-03D5F4DE5B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Tasks!$W$3:$W$23</c:f>
              <c:numCache>
                <c:formatCode>m/d/yyyy</c:formatCode>
                <c:ptCount val="21"/>
                <c:pt idx="0">
                  <c:v>43931</c:v>
                </c:pt>
                <c:pt idx="1">
                  <c:v>43931</c:v>
                </c:pt>
                <c:pt idx="2">
                  <c:v>43931</c:v>
                </c:pt>
                <c:pt idx="3">
                  <c:v>43931</c:v>
                </c:pt>
                <c:pt idx="4">
                  <c:v>43931</c:v>
                </c:pt>
                <c:pt idx="5">
                  <c:v>43931</c:v>
                </c:pt>
                <c:pt idx="6">
                  <c:v>43931</c:v>
                </c:pt>
                <c:pt idx="7">
                  <c:v>43931</c:v>
                </c:pt>
                <c:pt idx="8">
                  <c:v>43931</c:v>
                </c:pt>
                <c:pt idx="9">
                  <c:v>43931</c:v>
                </c:pt>
                <c:pt idx="10">
                  <c:v>43931</c:v>
                </c:pt>
                <c:pt idx="11">
                  <c:v>43931</c:v>
                </c:pt>
                <c:pt idx="12">
                  <c:v>43931</c:v>
                </c:pt>
                <c:pt idx="13">
                  <c:v>43931</c:v>
                </c:pt>
                <c:pt idx="14">
                  <c:v>43931</c:v>
                </c:pt>
                <c:pt idx="15">
                  <c:v>43931</c:v>
                </c:pt>
                <c:pt idx="16">
                  <c:v>43931</c:v>
                </c:pt>
                <c:pt idx="17">
                  <c:v>43931</c:v>
                </c:pt>
                <c:pt idx="18">
                  <c:v>43931</c:v>
                </c:pt>
                <c:pt idx="19">
                  <c:v>43931</c:v>
                </c:pt>
                <c:pt idx="20">
                  <c:v>43931</c:v>
                </c:pt>
              </c:numCache>
            </c:numRef>
          </c:xVal>
          <c:yVal>
            <c:numRef>
              <c:f>Tasks!$V$3:$V$23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C6AF-496E-9425-03D5F4DE5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971855"/>
        <c:axId val="778972687"/>
      </c:scatterChart>
      <c:catAx>
        <c:axId val="724198175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941487"/>
        <c:crosses val="autoZero"/>
        <c:auto val="1"/>
        <c:lblAlgn val="ctr"/>
        <c:lblOffset val="100"/>
        <c:noMultiLvlLbl val="0"/>
      </c:catAx>
      <c:valAx>
        <c:axId val="778941487"/>
        <c:scaling>
          <c:orientation val="minMax"/>
          <c:max val="44040"/>
          <c:min val="43830"/>
        </c:scaling>
        <c:delete val="0"/>
        <c:axPos val="t"/>
        <c:numFmt formatCode="m/d;@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198175"/>
        <c:crosses val="autoZero"/>
        <c:crossBetween val="between"/>
        <c:majorUnit val="15"/>
      </c:valAx>
      <c:valAx>
        <c:axId val="778972687"/>
        <c:scaling>
          <c:orientation val="minMax"/>
          <c:max val="21"/>
          <c:min val="0"/>
        </c:scaling>
        <c:delete val="1"/>
        <c:axPos val="r"/>
        <c:numFmt formatCode="General" sourceLinked="1"/>
        <c:majorTickMark val="out"/>
        <c:minorTickMark val="none"/>
        <c:tickLblPos val="nextTo"/>
        <c:crossAx val="778971855"/>
        <c:crosses val="max"/>
        <c:crossBetween val="midCat"/>
      </c:valAx>
      <c:valAx>
        <c:axId val="778971855"/>
        <c:scaling>
          <c:orientation val="minMax"/>
        </c:scaling>
        <c:delete val="1"/>
        <c:axPos val="t"/>
        <c:numFmt formatCode="[$-409]d\-mmm\-yyyy;@" sourceLinked="1"/>
        <c:majorTickMark val="out"/>
        <c:minorTickMark val="none"/>
        <c:tickLblPos val="nextTo"/>
        <c:crossAx val="778972687"/>
        <c:crosses val="max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074834338339424E-3"/>
          <c:y val="5.0387596899224806E-2"/>
          <c:w val="0.96804289165975899"/>
          <c:h val="0.788089467372252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list!$AD$3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rgbClr val="A7815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list!$AC$4:$AC$6</c:f>
              <c:strCache>
                <c:ptCount val="3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</c:strCache>
            </c:strRef>
          </c:cat>
          <c:val>
            <c:numRef>
              <c:f>list!$AD$4:$AD$6</c:f>
              <c:numCache>
                <c:formatCode>General</c:formatCode>
                <c:ptCount val="3"/>
                <c:pt idx="0">
                  <c:v>11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6-4B1D-A819-21012D1453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7"/>
        <c:axId val="240150784"/>
        <c:axId val="240152224"/>
      </c:barChart>
      <c:catAx>
        <c:axId val="24015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152224"/>
        <c:crosses val="autoZero"/>
        <c:auto val="1"/>
        <c:lblAlgn val="ctr"/>
        <c:lblOffset val="100"/>
        <c:noMultiLvlLbl val="0"/>
      </c:catAx>
      <c:valAx>
        <c:axId val="2401522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4015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1.2528274874731564E-2"/>
          <c:w val="0.97291319767824713"/>
          <c:h val="0.9870646623717488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B8-4B00-9FDF-70068C2924DA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9B8-4B00-9FDF-70068C2924DA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B8-4B00-9FDF-70068C2924DA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9B8-4B00-9FDF-70068C2924DA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9B8-4B00-9FDF-70068C2924DA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B8-4B00-9FDF-70068C2924D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5B7FF20-70AA-4C90-96C3-3325E0AE1B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9B8-4B00-9FDF-70068C2924D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0B33AD4-8398-47D7-805C-BA2D491159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9B8-4B00-9FDF-70068C2924D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FC79820-BC00-44E4-9DA9-E3C6141D51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9B8-4B00-9FDF-70068C2924D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8633772-3709-4006-9852-EA5946BE3C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9B8-4B00-9FDF-70068C2924D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A3C044D-1ABD-48E2-8F0A-C6194AC4EC9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9B8-4B00-9FDF-70068C2924D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9B8-4B00-9FDF-70068C2924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SpeedoMeters!$B$13:$B$17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9B8-4B00-9FDF-70068C2924D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SpeedoMeters!$A$7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9B8-4B00-9FDF-70068C2924DA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9B8-4B00-9FDF-70068C2924DA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9B8-4B00-9FDF-70068C2924DA}"/>
              </c:ext>
            </c:extLst>
          </c:dPt>
          <c:val>
            <c:numRef>
              <c:f>SpeedoMeters!$B$8:$B$10</c:f>
              <c:numCache>
                <c:formatCode>0%</c:formatCode>
                <c:ptCount val="3"/>
                <c:pt idx="0">
                  <c:v>0.5714285714285714</c:v>
                </c:pt>
                <c:pt idx="1">
                  <c:v>0.02</c:v>
                </c:pt>
                <c:pt idx="2">
                  <c:v>1.4085714285714286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B8-4B00-9FDF-70068C292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000132765505479E-2"/>
          <c:y val="3.3683759960112511E-2"/>
          <c:w val="0.98899986723449451"/>
          <c:h val="0.9499332072738219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7C7-4E62-8A5D-E681971F072E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C7-4E62-8A5D-E681971F072E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7C7-4E62-8A5D-E681971F072E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7C7-4E62-8A5D-E681971F072E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7C7-4E62-8A5D-E681971F072E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7C7-4E62-8A5D-E681971F072E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44786CE-6691-4C64-8B0B-561CF2265D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7C7-4E62-8A5D-E681971F072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219E6E5-D08B-4B6B-B170-D12217A5C7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7C7-4E62-8A5D-E681971F072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17F766A-37F2-43D3-83BF-941DE3894D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7C7-4E62-8A5D-E681971F072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D009C08-1DCE-4BF8-B8E1-6D57EB8BC4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7C7-4E62-8A5D-E681971F072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F54ED94-3316-408A-8BD1-9227CB0E381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7C7-4E62-8A5D-E681971F072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7C7-4E62-8A5D-E681971F072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SpeedoMeters!$F$13:$F$17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C7C7-4E62-8A5D-E681971F07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SpeedoMeters!$E$7</c:f>
              <c:strCache>
                <c:ptCount val="1"/>
                <c:pt idx="0">
                  <c:v>Pointer Settings</c:v>
                </c:pt>
              </c:strCache>
            </c:strRef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7C7-4E62-8A5D-E681971F072E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7C7-4E62-8A5D-E681971F072E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7C7-4E62-8A5D-E681971F072E}"/>
              </c:ext>
            </c:extLst>
          </c:dPt>
          <c:val>
            <c:numRef>
              <c:f>SpeedoMeters!$F$8:$F$10</c:f>
              <c:numCache>
                <c:formatCode>0%</c:formatCode>
                <c:ptCount val="3"/>
                <c:pt idx="0">
                  <c:v>0.50761421319796951</c:v>
                </c:pt>
                <c:pt idx="1">
                  <c:v>0.02</c:v>
                </c:pt>
                <c:pt idx="2">
                  <c:v>1.4723857868020305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7C7-4E62-8A5D-E681971F0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1.1000132765505479E-2"/>
          <c:y val="2.4812557032521474E-2"/>
          <c:w val="0.98899986723449451"/>
          <c:h val="0.9499332072738219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2">
                  <a:tint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079-4588-9673-3D99C8AC533D}"/>
              </c:ext>
            </c:extLst>
          </c:dPt>
          <c:dPt>
            <c:idx val="1"/>
            <c:bubble3D val="0"/>
            <c:spPr>
              <a:solidFill>
                <a:schemeClr val="accent2">
                  <a:tint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079-4588-9673-3D99C8AC533D}"/>
              </c:ext>
            </c:extLst>
          </c:dPt>
          <c:dPt>
            <c:idx val="2"/>
            <c:bubble3D val="0"/>
            <c:spPr>
              <a:solidFill>
                <a:schemeClr val="accent2">
                  <a:tint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079-4588-9673-3D99C8AC533D}"/>
              </c:ext>
            </c:extLst>
          </c:dPt>
          <c:dPt>
            <c:idx val="3"/>
            <c:bubble3D val="0"/>
            <c:spPr>
              <a:solidFill>
                <a:schemeClr val="accent2">
                  <a:shade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079-4588-9673-3D99C8AC533D}"/>
              </c:ext>
            </c:extLst>
          </c:dPt>
          <c:dPt>
            <c:idx val="4"/>
            <c:bubble3D val="0"/>
            <c:spPr>
              <a:solidFill>
                <a:schemeClr val="accent2">
                  <a:shade val="7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079-4588-9673-3D99C8AC533D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079-4588-9673-3D99C8AC533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CB56462-4EB5-4B72-A6D0-52045EA37B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079-4588-9673-3D99C8AC533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F0EF895-CC55-4FE4-9F22-B4F2B4EF4B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079-4588-9673-3D99C8AC533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20D1729-9CB7-4062-ADA4-D8E0C72149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079-4588-9673-3D99C8AC533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C989A9B-3C60-4B2A-8A3F-3B5EA71FFE6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079-4588-9673-3D99C8AC533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6452688-1C7B-497B-B8D6-82A590C02A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079-4588-9673-3D99C8AC533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079-4588-9673-3D99C8AC53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Tw Cen MT" panose="020B06020201040206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SpeedoMeters!$A$13:$A$18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SpeedoMeters!$F$13:$F$17</c15:f>
                <c15:dlblRangeCache>
                  <c:ptCount val="5"/>
                  <c:pt idx="0">
                    <c:v>10%</c:v>
                  </c:pt>
                  <c:pt idx="1">
                    <c:v>30%</c:v>
                  </c:pt>
                  <c:pt idx="2">
                    <c:v>50%</c:v>
                  </c:pt>
                  <c:pt idx="3">
                    <c:v>70%</c:v>
                  </c:pt>
                  <c:pt idx="4">
                    <c:v>90%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0079-4588-9673-3D99C8AC53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SpeedoMeters!$E$7</c:f>
              <c:strCache>
                <c:ptCount val="1"/>
                <c:pt idx="0">
                  <c:v>Pointer Settings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079-4588-9673-3D99C8AC533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079-4588-9673-3D99C8AC533D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0079-4588-9673-3D99C8AC533D}"/>
              </c:ext>
            </c:extLst>
          </c:dPt>
          <c:val>
            <c:numRef>
              <c:f>SpeedoMeters!$J$8:$J$10</c:f>
              <c:numCache>
                <c:formatCode>0%</c:formatCode>
                <c:ptCount val="3"/>
                <c:pt idx="0">
                  <c:v>0.6396551724137931</c:v>
                </c:pt>
                <c:pt idx="1">
                  <c:v>0.02</c:v>
                </c:pt>
                <c:pt idx="2">
                  <c:v>1.3403448275862069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079-4588-9673-3D99C8AC5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O$1" max="500" page="10" val="100"/>
</file>

<file path=xl/ctrlProps/ctrlProp2.xml><?xml version="1.0" encoding="utf-8"?>
<formControlPr xmlns="http://schemas.microsoft.com/office/spreadsheetml/2009/9/main" objectType="Drop" dropStyle="combo" dx="26" fmlaLink="list!$H$3" fmlaRange="list!$H$5:$H$9" sel="5" val="0"/>
</file>

<file path=xl/ctrlProps/ctrlProp3.xml><?xml version="1.0" encoding="utf-8"?>
<formControlPr xmlns="http://schemas.microsoft.com/office/spreadsheetml/2009/9/main" objectType="CheckBox" checked="Checked" fmlaLink="'Budget Plan'!$B$1" lockText="1"/>
</file>

<file path=xl/ctrlProps/ctrlProp4.xml><?xml version="1.0" encoding="utf-8"?>
<formControlPr xmlns="http://schemas.microsoft.com/office/spreadsheetml/2009/9/main" objectType="CheckBox" checked="Checked" fmlaLink="'Budget Plan'!$B$2" lockText="1"/>
</file>

<file path=xl/ctrlProps/ctrlProp5.xml><?xml version="1.0" encoding="utf-8"?>
<formControlPr xmlns="http://schemas.microsoft.com/office/spreadsheetml/2009/9/main" objectType="Radio" checked="Checked" firstButton="1" fmlaLink="list!$C$2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checked="Checked" firstButton="1" fmlaLink="list!$AD$2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Scroll" dx="26" fmlaLink="$A$31" max="48" min="1" page="4"/>
</file>

<file path=xl/ctrlProps/ctrlProp12.xml><?xml version="1.0" encoding="utf-8"?>
<formControlPr xmlns="http://schemas.microsoft.com/office/spreadsheetml/2009/9/main" objectType="Scroll" dx="26" fmlaLink="$I$31" max="50" min="1" page="3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25880</xdr:colOff>
      <xdr:row>31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538"/>
        <a:stretch/>
      </xdr:blipFill>
      <xdr:spPr>
        <a:xfrm>
          <a:off x="0" y="0"/>
          <a:ext cx="14046680" cy="58445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0</xdr:row>
      <xdr:rowOff>22860</xdr:rowOff>
    </xdr:from>
    <xdr:to>
      <xdr:col>6</xdr:col>
      <xdr:colOff>220980</xdr:colOff>
      <xdr:row>0</xdr:row>
      <xdr:rowOff>567267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7620" y="22860"/>
          <a:ext cx="4734560" cy="5444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 b="1" u="none">
              <a:solidFill>
                <a:schemeClr val="tx1">
                  <a:lumMod val="75000"/>
                  <a:lumOff val="25000"/>
                </a:schemeClr>
              </a:solidFill>
              <a:latin typeface="Tw Cen MT" panose="020B0602020104020603" pitchFamily="34" charset="0"/>
            </a:rPr>
            <a:t>Project</a:t>
          </a:r>
          <a:r>
            <a:rPr lang="en-US" sz="3600" b="1" u="none">
              <a:solidFill>
                <a:schemeClr val="tx1">
                  <a:lumMod val="75000"/>
                  <a:lumOff val="25000"/>
                </a:schemeClr>
              </a:solidFill>
              <a:latin typeface="Tw Cen MT" panose="020B0602020104020603" pitchFamily="34" charset="0"/>
            </a:rPr>
            <a:t> Tracker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845820</xdr:colOff>
          <xdr:row>0</xdr:row>
          <xdr:rowOff>15240</xdr:rowOff>
        </xdr:from>
        <xdr:to>
          <xdr:col>14</xdr:col>
          <xdr:colOff>274320</xdr:colOff>
          <xdr:row>0</xdr:row>
          <xdr:rowOff>563880</xdr:rowOff>
        </xdr:to>
        <xdr:sp macro="" textlink="">
          <xdr:nvSpPr>
            <xdr:cNvPr id="6145" name="Scroll Ba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76200</xdr:rowOff>
    </xdr:from>
    <xdr:to>
      <xdr:col>14</xdr:col>
      <xdr:colOff>487680</xdr:colOff>
      <xdr:row>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220980</xdr:colOff>
      <xdr:row>0</xdr:row>
      <xdr:rowOff>22860</xdr:rowOff>
    </xdr:from>
    <xdr:to>
      <xdr:col>35</xdr:col>
      <xdr:colOff>289560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F970CF-23CE-30D2-FD28-BA4BA20B56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380999</xdr:colOff>
      <xdr:row>2</xdr:row>
      <xdr:rowOff>88900</xdr:rowOff>
    </xdr:from>
    <xdr:to>
      <xdr:col>12</xdr:col>
      <xdr:colOff>1888067</xdr:colOff>
      <xdr:row>15</xdr:row>
      <xdr:rowOff>160867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ADCD2C69-BCA8-B149-0850-467500655076}"/>
            </a:ext>
          </a:extLst>
        </xdr:cNvPr>
        <xdr:cNvGrpSpPr/>
      </xdr:nvGrpSpPr>
      <xdr:grpSpPr>
        <a:xfrm>
          <a:off x="6146799" y="461433"/>
          <a:ext cx="4377268" cy="2493434"/>
          <a:chOff x="6299199" y="436033"/>
          <a:chExt cx="4433571" cy="2493434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SpPr/>
        </xdr:nvSpPr>
        <xdr:spPr>
          <a:xfrm>
            <a:off x="6299199" y="436033"/>
            <a:ext cx="4433571" cy="574040"/>
          </a:xfrm>
          <a:prstGeom prst="rect">
            <a:avLst/>
          </a:prstGeom>
          <a:solidFill>
            <a:srgbClr val="38322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0000000-0008-0000-0400-00002B000000}"/>
              </a:ext>
            </a:extLst>
          </xdr:cNvPr>
          <xdr:cNvGrpSpPr/>
        </xdr:nvGrpSpPr>
        <xdr:grpSpPr>
          <a:xfrm>
            <a:off x="6307667" y="465667"/>
            <a:ext cx="4419599" cy="2463800"/>
            <a:chOff x="5227316" y="243840"/>
            <a:chExt cx="3924303" cy="2979780"/>
          </a:xfrm>
        </xdr:grpSpPr>
        <mc:AlternateContent xmlns:mc="http://schemas.openxmlformats.org/markup-compatibility/2006">
          <mc:Choice xmlns:a14="http://schemas.microsoft.com/office/drawing/2010/main" Requires="a14">
            <xdr:grpSp>
              <xdr:nvGrpSpPr>
                <xdr:cNvPr id="13" name="Group 12">
                  <a:extLst>
                    <a:ext uri="{FF2B5EF4-FFF2-40B4-BE49-F238E27FC236}">
                      <a16:creationId xmlns:a16="http://schemas.microsoft.com/office/drawing/2014/main" id="{00000000-0008-0000-0400-00000D000000}"/>
                    </a:ext>
                  </a:extLst>
                </xdr:cNvPr>
                <xdr:cNvGrpSpPr/>
              </xdr:nvGrpSpPr>
              <xdr:grpSpPr>
                <a:xfrm>
                  <a:off x="5280658" y="243840"/>
                  <a:ext cx="3870961" cy="441960"/>
                  <a:chOff x="5669195" y="403860"/>
                  <a:chExt cx="2672910" cy="441960"/>
                </a:xfrm>
              </xdr:grpSpPr>
              <xdr:sp macro="" textlink="">
                <xdr:nvSpPr>
                  <xdr:cNvPr id="10241" name="Drop Down 1" hidden="1">
                    <a:extLst>
                      <a:ext uri="{63B3BB69-23CF-44E3-9099-C40C66FF867C}">
                        <a14:compatExt spid="_x0000_s10241"/>
                      </a:ext>
                      <a:ext uri="{FF2B5EF4-FFF2-40B4-BE49-F238E27FC236}">
                        <a16:creationId xmlns:a16="http://schemas.microsoft.com/office/drawing/2014/main" id="{00000000-0008-0000-0400-000001280000}"/>
                      </a:ext>
                    </a:extLst>
                  </xdr:cNvPr>
                  <xdr:cNvSpPr/>
                </xdr:nvSpPr>
                <xdr:spPr bwMode="auto">
                  <a:xfrm>
                    <a:off x="5669195" y="487680"/>
                    <a:ext cx="954504" cy="352425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1240B29-F687-4F45-9708-019B960494DF}">
                      <a14:hiddenLine w="9525">
                        <a:noFill/>
                        <a:miter lim="800000"/>
                        <a:headEnd/>
                        <a:tailEnd/>
                      </a14:hiddenLine>
                    </a:ext>
                  </a:extLst>
                </xdr:spPr>
              </xdr:sp>
              <xdr:sp macro="" textlink="">
                <xdr:nvSpPr>
                  <xdr:cNvPr id="10242" name="Check Box 2" hidden="1">
                    <a:extLst>
                      <a:ext uri="{63B3BB69-23CF-44E3-9099-C40C66FF867C}">
                        <a14:compatExt spid="_x0000_s10242"/>
                      </a:ext>
                      <a:ext uri="{FF2B5EF4-FFF2-40B4-BE49-F238E27FC236}">
                        <a16:creationId xmlns:a16="http://schemas.microsoft.com/office/drawing/2014/main" id="{00000000-0008-0000-0400-000002280000}"/>
                      </a:ext>
                    </a:extLst>
                  </xdr:cNvPr>
                  <xdr:cNvSpPr/>
                </xdr:nvSpPr>
                <xdr:spPr bwMode="auto">
                  <a:xfrm>
                    <a:off x="7656305" y="403860"/>
                    <a:ext cx="685800" cy="441960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 mc:Ignorable="a14" a14:legacySpreadsheetColorIndex="65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27432" rIns="0" bIns="27432" anchor="ctr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Segoe UI"/>
                        <a:cs typeface="Segoe UI"/>
                      </a:rPr>
                      <a:t>PLAN</a:t>
                    </a:r>
                  </a:p>
                </xdr:txBody>
              </xdr:sp>
              <xdr:sp macro="" textlink="">
                <xdr:nvSpPr>
                  <xdr:cNvPr id="10243" name="Check Box 3" hidden="1">
                    <a:extLst>
                      <a:ext uri="{63B3BB69-23CF-44E3-9099-C40C66FF867C}">
                        <a14:compatExt spid="_x0000_s10243"/>
                      </a:ext>
                      <a:ext uri="{FF2B5EF4-FFF2-40B4-BE49-F238E27FC236}">
                        <a16:creationId xmlns:a16="http://schemas.microsoft.com/office/drawing/2014/main" id="{00000000-0008-0000-0400-000003280000}"/>
                      </a:ext>
                    </a:extLst>
                  </xdr:cNvPr>
                  <xdr:cNvSpPr/>
                </xdr:nvSpPr>
                <xdr:spPr bwMode="auto">
                  <a:xfrm>
                    <a:off x="6933292" y="457648"/>
                    <a:ext cx="701040" cy="311972"/>
                  </a:xfrm>
                  <a:prstGeom prst="rect">
                    <a:avLst/>
                  </a:prstGeom>
                  <a:noFill/>
                  <a:ln>
                    <a:noFill/>
                  </a:ln>
                  <a:extLst>
                    <a:ext uri="{909E8E84-426E-40DD-AFC4-6F175D3DCCD1}">
                      <a14:hiddenFill>
                        <a:solidFill>
                          <a:srgbClr val="FFFFFF" mc:Ignorable="a14" a14:legacySpreadsheetColorIndex="65"/>
                        </a:solidFill>
                      </a14:hiddenFill>
                    </a:ext>
                    <a:ext uri="{91240B29-F687-4F45-9708-019B960494DF}">
                      <a14:hiddenLine w="9525">
                        <a:solidFill>
                          <a:srgbClr val="000000" mc:Ignorable="a14" a14:legacySpreadsheetColorIndex="64"/>
                        </a:solidFill>
                        <a:miter lim="800000"/>
                        <a:headEnd/>
                        <a:tailEnd/>
                      </a14:hiddenLine>
                    </a:ext>
                  </a:extLst>
                </xdr:spPr>
                <xdr:txBody>
                  <a:bodyPr vertOverflow="clip" wrap="square" lIns="27432" tIns="27432" rIns="0" bIns="27432" anchor="ctr" upright="1"/>
                  <a:lstStyle/>
                  <a:p>
                    <a:pPr algn="l" rtl="0">
                      <a:defRPr sz="1000"/>
                    </a:pPr>
                    <a:r>
                      <a:rPr lang="en-US" sz="800" b="0" i="0" u="none" strike="noStrike" baseline="0">
                        <a:solidFill>
                          <a:srgbClr val="000000"/>
                        </a:solidFill>
                        <a:latin typeface="Segoe UI"/>
                        <a:cs typeface="Segoe UI"/>
                      </a:rPr>
                      <a:t>Actual</a:t>
                    </a:r>
                  </a:p>
                </xdr:txBody>
              </xdr:sp>
            </xdr:grpSp>
          </mc:Choice>
          <mc:Fallback/>
        </mc:AlternateContent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GraphicFramePr>
              <a:graphicFrameLocks/>
            </xdr:cNvGraphicFramePr>
          </xdr:nvGraphicFramePr>
          <xdr:xfrm>
            <a:off x="5227317" y="1440540"/>
            <a:ext cx="3924044" cy="178308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list!H4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/>
          </xdr:nvSpPr>
          <xdr:spPr>
            <a:xfrm>
              <a:off x="5227316" y="926046"/>
              <a:ext cx="3924044" cy="54864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395D913C-4AB2-4027-BDC8-A5320943BB7B}" type="TxLink">
                <a:rPr lang="en-US" sz="2400" b="1" i="0" u="none" strike="noStrike">
                  <a:solidFill>
                    <a:schemeClr val="bg1"/>
                  </a:solidFill>
                  <a:latin typeface="Tw Cen MT" panose="020B0602020104020603" pitchFamily="34" charset="0"/>
                  <a:ea typeface="Calibri"/>
                  <a:cs typeface="Calibri"/>
                </a:rPr>
                <a:pPr algn="ctr"/>
                <a:t>Total</a:t>
              </a:fld>
              <a:endParaRPr lang="en-US" sz="2400" b="1">
                <a:solidFill>
                  <a:schemeClr val="bg1"/>
                </a:solidFill>
                <a:latin typeface="Tw Cen MT" panose="020B0602020104020603" pitchFamily="34" charset="0"/>
              </a:endParaRPr>
            </a:p>
          </xdr:txBody>
        </xdr:sp>
      </xdr:grpSp>
    </xdr:grpSp>
    <xdr:clientData/>
  </xdr:twoCellAnchor>
  <xdr:twoCellAnchor editAs="absolute">
    <xdr:from>
      <xdr:col>0</xdr:col>
      <xdr:colOff>19050</xdr:colOff>
      <xdr:row>2</xdr:row>
      <xdr:rowOff>60960</xdr:rowOff>
    </xdr:from>
    <xdr:to>
      <xdr:col>7</xdr:col>
      <xdr:colOff>248708</xdr:colOff>
      <xdr:row>6</xdr:row>
      <xdr:rowOff>38100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19050" y="433493"/>
          <a:ext cx="5995458" cy="722207"/>
          <a:chOff x="281940" y="548640"/>
          <a:chExt cx="3771900" cy="731520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GrpSpPr/>
        </xdr:nvGrpSpPr>
        <xdr:grpSpPr>
          <a:xfrm>
            <a:off x="281940" y="548640"/>
            <a:ext cx="1219200" cy="723900"/>
            <a:chOff x="1219200" y="556260"/>
            <a:chExt cx="1219200" cy="723900"/>
          </a:xfrm>
        </xdr:grpSpPr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1219200" y="55626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atin typeface="Tw Cen MT" panose="020B0602020104020603" pitchFamily="34" charset="0"/>
                </a:rPr>
                <a:t>Budget</a:t>
              </a:r>
            </a:p>
          </xdr:txBody>
        </xdr:sp>
        <xdr:sp macro="" textlink="'Budget Plan'!C10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/>
          </xdr:nvSpPr>
          <xdr:spPr>
            <a:xfrm>
              <a:off x="1219200" y="91440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D49B92E8-C046-497B-A623-46B41B7FD2CD}" type="TxLink">
                <a:rPr lang="en-US" sz="1100" b="1" i="0" u="none" strike="noStrike">
                  <a:solidFill>
                    <a:schemeClr val="bg1">
                      <a:lumMod val="95000"/>
                    </a:schemeClr>
                  </a:solidFill>
                  <a:latin typeface="Calibri"/>
                  <a:ea typeface="Calibri"/>
                  <a:cs typeface="Calibri"/>
                </a:rPr>
                <a:pPr algn="ctr"/>
                <a:t> $2,900,000 </a:t>
              </a:fld>
              <a:endParaRPr lang="en-US" sz="2400" b="1">
                <a:solidFill>
                  <a:schemeClr val="bg1">
                    <a:lumMod val="95000"/>
                  </a:schemeClr>
                </a:solidFill>
                <a:latin typeface="Tw Cen MT" panose="020B0602020104020603" pitchFamily="34" charset="0"/>
              </a:endParaRPr>
            </a:p>
          </xdr:txBody>
        </xdr:sp>
      </xdr:grp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GrpSpPr/>
        </xdr:nvGrpSpPr>
        <xdr:grpSpPr>
          <a:xfrm>
            <a:off x="1546860" y="548640"/>
            <a:ext cx="1219200" cy="731520"/>
            <a:chOff x="3048000" y="853440"/>
            <a:chExt cx="1219200" cy="731520"/>
          </a:xfrm>
        </xdr:grpSpPr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/>
          </xdr:nvSpPr>
          <xdr:spPr>
            <a:xfrm>
              <a:off x="3048000" y="85344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atin typeface="Tw Cen MT" panose="020B0602020104020603" pitchFamily="34" charset="0"/>
                </a:rPr>
                <a:t>Plan</a:t>
              </a:r>
            </a:p>
          </xdr:txBody>
        </xdr:sp>
        <xdr:sp macro="" textlink="'Budget Plan'!H1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400-000014000000}"/>
                </a:ext>
              </a:extLst>
            </xdr:cNvPr>
            <xdr:cNvSpPr/>
          </xdr:nvSpPr>
          <xdr:spPr>
            <a:xfrm>
              <a:off x="3048000" y="121920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ACADBE2F-ECBE-44CD-86C0-6C8A32288CFC}" type="TxLink">
                <a:rPr lang="en-US" sz="1100" b="1" i="0" u="none" strike="noStrike">
                  <a:solidFill>
                    <a:schemeClr val="bg1">
                      <a:lumMod val="95000"/>
                    </a:schemeClr>
                  </a:solidFill>
                  <a:latin typeface="Tw Cen MT" panose="020B0602020104020603" pitchFamily="34" charset="0"/>
                  <a:ea typeface="Calibri"/>
                  <a:cs typeface="Calibri"/>
                </a:rPr>
                <a:pPr algn="ctr"/>
                <a:t> $2,085,000 </a:t>
              </a:fld>
              <a:endParaRPr lang="en-US" sz="2400" b="1">
                <a:solidFill>
                  <a:schemeClr val="bg1">
                    <a:lumMod val="95000"/>
                  </a:schemeClr>
                </a:solidFill>
                <a:latin typeface="Tw Cen MT" panose="020B0602020104020603" pitchFamily="34" charset="0"/>
              </a:endParaRPr>
            </a:p>
          </xdr:txBody>
        </xdr:sp>
      </xdr:grp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GrpSpPr/>
        </xdr:nvGrpSpPr>
        <xdr:grpSpPr>
          <a:xfrm>
            <a:off x="2834640" y="548640"/>
            <a:ext cx="1219200" cy="731520"/>
            <a:chOff x="3048000" y="853440"/>
            <a:chExt cx="1219200" cy="731520"/>
          </a:xfrm>
        </xdr:grpSpPr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400-000016000000}"/>
                </a:ext>
              </a:extLst>
            </xdr:cNvPr>
            <xdr:cNvSpPr/>
          </xdr:nvSpPr>
          <xdr:spPr>
            <a:xfrm>
              <a:off x="3048000" y="85344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2400" b="1">
                  <a:latin typeface="Tw Cen MT" panose="020B0602020104020603" pitchFamily="34" charset="0"/>
                </a:rPr>
                <a:t>Actual</a:t>
              </a:r>
            </a:p>
          </xdr:txBody>
        </xdr:sp>
        <xdr:sp macro="" textlink="'Budget Plan'!H2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400-000017000000}"/>
                </a:ext>
              </a:extLst>
            </xdr:cNvPr>
            <xdr:cNvSpPr/>
          </xdr:nvSpPr>
          <xdr:spPr>
            <a:xfrm>
              <a:off x="3048000" y="1219200"/>
              <a:ext cx="1219200" cy="365760"/>
            </a:xfrm>
            <a:prstGeom prst="rect">
              <a:avLst/>
            </a:prstGeom>
            <a:solidFill>
              <a:srgbClr val="38322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1C59C254-45E6-4EB9-BCC4-DB99676BD492}" type="TxLink">
                <a:rPr lang="en-US" sz="1100" b="1" i="0" u="none" strike="noStrike">
                  <a:solidFill>
                    <a:schemeClr val="bg1">
                      <a:lumMod val="95000"/>
                    </a:schemeClr>
                  </a:solidFill>
                  <a:latin typeface="Tw Cen MT" panose="020B0602020104020603" pitchFamily="34" charset="0"/>
                  <a:ea typeface="Calibri"/>
                  <a:cs typeface="Calibri"/>
                </a:rPr>
                <a:pPr algn="ctr"/>
                <a:t> $1,855,000 </a:t>
              </a:fld>
              <a:endParaRPr lang="en-US" sz="2400" b="1">
                <a:solidFill>
                  <a:schemeClr val="bg1">
                    <a:lumMod val="95000"/>
                  </a:schemeClr>
                </a:solidFill>
                <a:latin typeface="Tw Cen MT" panose="020B0602020104020603" pitchFamily="34" charset="0"/>
              </a:endParaRPr>
            </a:p>
          </xdr:txBody>
        </xdr:sp>
      </xdr:grpSp>
    </xdr:grpSp>
    <xdr:clientData/>
  </xdr:twoCellAnchor>
  <xdr:twoCellAnchor editAs="absolute">
    <xdr:from>
      <xdr:col>0</xdr:col>
      <xdr:colOff>0</xdr:colOff>
      <xdr:row>0</xdr:row>
      <xdr:rowOff>0</xdr:rowOff>
    </xdr:from>
    <xdr:to>
      <xdr:col>12</xdr:col>
      <xdr:colOff>1879600</xdr:colOff>
      <xdr:row>2</xdr:row>
      <xdr:rowOff>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0" y="0"/>
          <a:ext cx="10515600" cy="372533"/>
        </a:xfrm>
        <a:prstGeom prst="rect">
          <a:avLst/>
        </a:prstGeom>
        <a:solidFill>
          <a:srgbClr val="38322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latin typeface="Tw Cen MT" panose="020B0602020104020603" pitchFamily="34" charset="0"/>
            </a:rPr>
            <a:t>Project Activity Tracker</a:t>
          </a:r>
          <a:r>
            <a:rPr lang="en-US" sz="2400" b="1" baseline="0">
              <a:latin typeface="Tw Cen MT" panose="020B0602020104020603" pitchFamily="34" charset="0"/>
            </a:rPr>
            <a:t> </a:t>
          </a:r>
          <a:endParaRPr lang="en-US" sz="2400" b="1">
            <a:latin typeface="Tw Cen MT" panose="020B0602020104020603" pitchFamily="34" charset="0"/>
          </a:endParaRPr>
        </a:p>
      </xdr:txBody>
    </xdr:sp>
    <xdr:clientData/>
  </xdr:twoCellAnchor>
  <xdr:twoCellAnchor editAs="absolute">
    <xdr:from>
      <xdr:col>0</xdr:col>
      <xdr:colOff>242146</xdr:colOff>
      <xdr:row>3</xdr:row>
      <xdr:rowOff>110067</xdr:rowOff>
    </xdr:from>
    <xdr:to>
      <xdr:col>7</xdr:col>
      <xdr:colOff>193674</xdr:colOff>
      <xdr:row>21</xdr:row>
      <xdr:rowOff>59267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242146" y="668867"/>
          <a:ext cx="5717328" cy="3302000"/>
          <a:chOff x="9189720" y="50440"/>
          <a:chExt cx="4832586" cy="2258420"/>
        </a:xfrm>
        <a:solidFill>
          <a:srgbClr val="383220"/>
        </a:solidFill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GraphicFramePr/>
        </xdr:nvGraphicFramePr>
        <xdr:xfrm>
          <a:off x="9189720" y="106679"/>
          <a:ext cx="1577340" cy="21945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6" name="Chart 25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GraphicFramePr>
            <a:graphicFrameLocks/>
          </xdr:cNvGraphicFramePr>
        </xdr:nvGraphicFramePr>
        <xdr:xfrm>
          <a:off x="10817102" y="99732"/>
          <a:ext cx="1531485" cy="22091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7" name="Chart 26"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GraphicFramePr>
            <a:graphicFrameLocks/>
          </xdr:cNvGraphicFramePr>
        </xdr:nvGraphicFramePr>
        <xdr:xfrm>
          <a:off x="12435704" y="50440"/>
          <a:ext cx="1586602" cy="22469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1</xdr:col>
      <xdr:colOff>108374</xdr:colOff>
      <xdr:row>13</xdr:row>
      <xdr:rowOff>103294</xdr:rowOff>
    </xdr:from>
    <xdr:to>
      <xdr:col>2</xdr:col>
      <xdr:colOff>319116</xdr:colOff>
      <xdr:row>15</xdr:row>
      <xdr:rowOff>65195</xdr:rowOff>
    </xdr:to>
    <xdr:sp macro="" textlink="SpeedoMeters!$B$3">
      <xdr:nvSpPr>
        <xdr:cNvPr id="31" name="TextBox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717974" y="2524761"/>
          <a:ext cx="930409" cy="334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91F0977-A6E2-439D-B188-683D10ACC6F8}" type="TxLink">
            <a:rPr lang="en-US" sz="2400" b="1" i="0" u="none" strike="noStrike">
              <a:solidFill>
                <a:schemeClr val="bg1">
                  <a:lumMod val="95000"/>
                </a:schemeClr>
              </a:solidFill>
              <a:latin typeface="Tw Cen MT"/>
            </a:rPr>
            <a:pPr algn="ctr"/>
            <a:t>57%</a:t>
          </a:fld>
          <a:endParaRPr lang="en-US" sz="2400" b="1">
            <a:solidFill>
              <a:schemeClr val="bg1">
                <a:lumMod val="95000"/>
              </a:schemeClr>
            </a:solidFill>
            <a:latin typeface="Tw Cen MT" panose="020B0602020104020603" pitchFamily="34" charset="0"/>
          </a:endParaRPr>
        </a:p>
      </xdr:txBody>
    </xdr:sp>
    <xdr:clientData/>
  </xdr:twoCellAnchor>
  <xdr:twoCellAnchor>
    <xdr:from>
      <xdr:col>3</xdr:col>
      <xdr:colOff>75602</xdr:colOff>
      <xdr:row>13</xdr:row>
      <xdr:rowOff>76200</xdr:rowOff>
    </xdr:from>
    <xdr:to>
      <xdr:col>4</xdr:col>
      <xdr:colOff>384188</xdr:colOff>
      <xdr:row>15</xdr:row>
      <xdr:rowOff>38101</xdr:rowOff>
    </xdr:to>
    <xdr:sp macro="" textlink="SpeedoMeters!$F$3">
      <xdr:nvSpPr>
        <xdr:cNvPr id="32" name="TextBox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2573269" y="2497667"/>
          <a:ext cx="1028252" cy="334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0FEAF2A-3DFA-4D7D-A642-FE04CBCDB0A8}" type="TxLink">
            <a:rPr lang="en-US" sz="2400" b="1" i="0" u="none" strike="noStrike">
              <a:solidFill>
                <a:schemeClr val="bg1">
                  <a:lumMod val="95000"/>
                </a:schemeClr>
              </a:solidFill>
              <a:latin typeface="Tw Cen MT"/>
              <a:ea typeface="Calibri"/>
              <a:cs typeface="Calibri"/>
            </a:rPr>
            <a:pPr algn="ctr"/>
            <a:t>51%</a:t>
          </a:fld>
          <a:endParaRPr lang="en-US" sz="2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5</xdr:col>
      <xdr:colOff>319195</xdr:colOff>
      <xdr:row>13</xdr:row>
      <xdr:rowOff>58419</xdr:rowOff>
    </xdr:from>
    <xdr:to>
      <xdr:col>7</xdr:col>
      <xdr:colOff>334434</xdr:colOff>
      <xdr:row>15</xdr:row>
      <xdr:rowOff>50800</xdr:rowOff>
    </xdr:to>
    <xdr:sp macro="" textlink="SpeedoMeters!$J$3">
      <xdr:nvSpPr>
        <xdr:cNvPr id="33" name="TextBox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4256195" y="2479886"/>
          <a:ext cx="1708572" cy="364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43FE564-5339-4893-A54F-918939C10CFB}" type="TxLink">
            <a:rPr lang="en-US" sz="2400" b="1" i="0" u="none" strike="noStrike">
              <a:solidFill>
                <a:schemeClr val="bg1">
                  <a:lumMod val="95000"/>
                </a:schemeClr>
              </a:solidFill>
              <a:latin typeface="Tw Cen MT"/>
              <a:ea typeface="Calibri"/>
              <a:cs typeface="Calibri"/>
            </a:rPr>
            <a:pPr algn="ctr"/>
            <a:t>64%</a:t>
          </a:fld>
          <a:endParaRPr lang="en-US" sz="24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481752</xdr:colOff>
          <xdr:row>27</xdr:row>
          <xdr:rowOff>79587</xdr:rowOff>
        </xdr:from>
        <xdr:to>
          <xdr:col>4</xdr:col>
          <xdr:colOff>21166</xdr:colOff>
          <xdr:row>28</xdr:row>
          <xdr:rowOff>92286</xdr:rowOff>
        </xdr:to>
        <xdr:sp macro="" textlink="">
          <xdr:nvSpPr>
            <xdr:cNvPr id="10257" name="Option Button 17" hidden="1">
              <a:extLst>
                <a:ext uri="{63B3BB69-23CF-44E3-9099-C40C66FF867C}">
                  <a14:compatExt spid="_x0000_s10257"/>
                </a:ext>
                <a:ext uri="{FF2B5EF4-FFF2-40B4-BE49-F238E27FC236}">
                  <a16:creationId xmlns:a16="http://schemas.microsoft.com/office/drawing/2014/main" id="{00000000-0008-0000-0400-00001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557106</xdr:colOff>
          <xdr:row>27</xdr:row>
          <xdr:rowOff>82126</xdr:rowOff>
        </xdr:from>
        <xdr:to>
          <xdr:col>4</xdr:col>
          <xdr:colOff>816186</xdr:colOff>
          <xdr:row>28</xdr:row>
          <xdr:rowOff>94825</xdr:rowOff>
        </xdr:to>
        <xdr:sp macro="" textlink="">
          <xdr:nvSpPr>
            <xdr:cNvPr id="10258" name="Option Button 18" hidden="1">
              <a:extLst>
                <a:ext uri="{63B3BB69-23CF-44E3-9099-C40C66FF867C}">
                  <a14:compatExt spid="_x0000_s10258"/>
                </a:ext>
                <a:ext uri="{FF2B5EF4-FFF2-40B4-BE49-F238E27FC236}">
                  <a16:creationId xmlns:a16="http://schemas.microsoft.com/office/drawing/2014/main" id="{00000000-0008-0000-0400-00001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662939</xdr:colOff>
          <xdr:row>27</xdr:row>
          <xdr:rowOff>61807</xdr:rowOff>
        </xdr:from>
        <xdr:to>
          <xdr:col>6</xdr:col>
          <xdr:colOff>66886</xdr:colOff>
          <xdr:row>28</xdr:row>
          <xdr:rowOff>74506</xdr:rowOff>
        </xdr:to>
        <xdr:sp macro="" textlink="">
          <xdr:nvSpPr>
            <xdr:cNvPr id="10259" name="Option Button 19" hidden="1">
              <a:extLst>
                <a:ext uri="{63B3BB69-23CF-44E3-9099-C40C66FF867C}">
                  <a14:compatExt spid="_x0000_s10259"/>
                </a:ext>
                <a:ext uri="{FF2B5EF4-FFF2-40B4-BE49-F238E27FC236}">
                  <a16:creationId xmlns:a16="http://schemas.microsoft.com/office/drawing/2014/main" id="{00000000-0008-0000-0400-00001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661246</xdr:colOff>
          <xdr:row>27</xdr:row>
          <xdr:rowOff>73660</xdr:rowOff>
        </xdr:from>
        <xdr:to>
          <xdr:col>7</xdr:col>
          <xdr:colOff>82126</xdr:colOff>
          <xdr:row>28</xdr:row>
          <xdr:rowOff>86359</xdr:rowOff>
        </xdr:to>
        <xdr:sp macro="" textlink="">
          <xdr:nvSpPr>
            <xdr:cNvPr id="10260" name="Option Button 20" hidden="1">
              <a:extLst>
                <a:ext uri="{63B3BB69-23CF-44E3-9099-C40C66FF867C}">
                  <a14:compatExt spid="_x0000_s10260"/>
                </a:ext>
                <a:ext uri="{FF2B5EF4-FFF2-40B4-BE49-F238E27FC236}">
                  <a16:creationId xmlns:a16="http://schemas.microsoft.com/office/drawing/2014/main" id="{00000000-0008-0000-0400-00001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absolute">
    <xdr:from>
      <xdr:col>0</xdr:col>
      <xdr:colOff>50800</xdr:colOff>
      <xdr:row>18</xdr:row>
      <xdr:rowOff>152400</xdr:rowOff>
    </xdr:from>
    <xdr:to>
      <xdr:col>7</xdr:col>
      <xdr:colOff>228600</xdr:colOff>
      <xdr:row>28</xdr:row>
      <xdr:rowOff>143933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475A5F5-DEAF-1096-956F-2C7657E202F3}"/>
            </a:ext>
          </a:extLst>
        </xdr:cNvPr>
        <xdr:cNvGrpSpPr/>
      </xdr:nvGrpSpPr>
      <xdr:grpSpPr>
        <a:xfrm>
          <a:off x="50800" y="3505200"/>
          <a:ext cx="5943600" cy="1854200"/>
          <a:chOff x="333375" y="3711956"/>
          <a:chExt cx="5725720" cy="1779113"/>
        </a:xfrm>
      </xdr:grpSpPr>
      <xdr:graphicFrame macro="">
        <xdr:nvGraphicFramePr>
          <xdr:cNvPr id="46" name="Chart 45">
            <a:extLst>
              <a:ext uri="{FF2B5EF4-FFF2-40B4-BE49-F238E27FC236}">
                <a16:creationId xmlns:a16="http://schemas.microsoft.com/office/drawing/2014/main" id="{00000000-0008-0000-0400-00002E000000}"/>
              </a:ext>
            </a:extLst>
          </xdr:cNvPr>
          <xdr:cNvGraphicFramePr>
            <a:graphicFrameLocks/>
          </xdr:cNvGraphicFramePr>
        </xdr:nvGraphicFramePr>
        <xdr:xfrm>
          <a:off x="2808742" y="3730264"/>
          <a:ext cx="3250353" cy="167184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list!D3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SpPr/>
        </xdr:nvSpPr>
        <xdr:spPr>
          <a:xfrm>
            <a:off x="333375" y="3711956"/>
            <a:ext cx="2390987" cy="703622"/>
          </a:xfrm>
          <a:prstGeom prst="rect">
            <a:avLst/>
          </a:prstGeom>
          <a:solidFill>
            <a:srgbClr val="38322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FB0C090E-9B1C-46CA-965A-74B10A3C8304}" type="TxLink">
              <a:rPr lang="en-US" sz="2000" b="1" i="0" u="none" strike="noStrike">
                <a:solidFill>
                  <a:schemeClr val="bg1"/>
                </a:solidFill>
                <a:latin typeface="Impact" panose="020B0806030902050204" pitchFamily="34" charset="0"/>
                <a:ea typeface="Calibri"/>
                <a:cs typeface="Calibri"/>
              </a:rPr>
              <a:t>Not Started 
Tasks</a:t>
            </a:fld>
            <a:endParaRPr lang="en-US" sz="2000" b="1">
              <a:solidFill>
                <a:schemeClr val="bg1"/>
              </a:solidFill>
              <a:latin typeface="Impact" panose="020B0806030902050204" pitchFamily="34" charset="0"/>
            </a:endParaRPr>
          </a:p>
        </xdr:txBody>
      </xdr:sp>
      <xdr:sp macro="" textlink="list!C4">
        <xdr:nvSpPr>
          <xdr:cNvPr id="51" name="Rectangle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401955" y="4455582"/>
            <a:ext cx="2375747" cy="103548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71BF9DA6-B207-4B86-B89D-E3C222402C95}" type="TxLink">
              <a:rPr lang="en-US" sz="4400" b="1" i="0" u="none" strike="noStrike">
                <a:solidFill>
                  <a:schemeClr val="bg1">
                    <a:lumMod val="95000"/>
                  </a:schemeClr>
                </a:solidFill>
                <a:latin typeface="Impact" panose="020B0806030902050204" pitchFamily="34" charset="0"/>
                <a:ea typeface="Calibri"/>
                <a:cs typeface="Calibri"/>
              </a:rPr>
              <a:pPr algn="ctr"/>
              <a:t>8</a:t>
            </a:fld>
            <a:endParaRPr lang="en-US" sz="4400" b="1">
              <a:solidFill>
                <a:schemeClr val="bg1">
                  <a:lumMod val="95000"/>
                </a:schemeClr>
              </a:solidFill>
              <a:latin typeface="Impact" panose="020B0806030902050204" pitchFamily="34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82126</xdr:colOff>
          <xdr:row>28</xdr:row>
          <xdr:rowOff>185419</xdr:rowOff>
        </xdr:from>
        <xdr:to>
          <xdr:col>7</xdr:col>
          <xdr:colOff>348826</xdr:colOff>
          <xdr:row>34</xdr:row>
          <xdr:rowOff>177799</xdr:rowOff>
        </xdr:to>
        <xdr:sp macro="" textlink="">
          <xdr:nvSpPr>
            <xdr:cNvPr id="10274" name="Scroll Bar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4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9737</xdr:colOff>
          <xdr:row>29</xdr:row>
          <xdr:rowOff>2117</xdr:rowOff>
        </xdr:from>
        <xdr:to>
          <xdr:col>13</xdr:col>
          <xdr:colOff>207857</xdr:colOff>
          <xdr:row>35</xdr:row>
          <xdr:rowOff>22648</xdr:rowOff>
        </xdr:to>
        <xdr:sp macro="" textlink="">
          <xdr:nvSpPr>
            <xdr:cNvPr id="10277" name="Scroll Bar 37" hidden="1">
              <a:extLst>
                <a:ext uri="{63B3BB69-23CF-44E3-9099-C40C66FF867C}">
                  <a14:compatExt spid="_x0000_s10277"/>
                </a:ext>
                <a:ext uri="{FF2B5EF4-FFF2-40B4-BE49-F238E27FC236}">
                  <a16:creationId xmlns:a16="http://schemas.microsoft.com/office/drawing/2014/main" id="{00000000-0008-0000-0400-00002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13</xdr:col>
      <xdr:colOff>287867</xdr:colOff>
      <xdr:row>0</xdr:row>
      <xdr:rowOff>30480</xdr:rowOff>
    </xdr:from>
    <xdr:to>
      <xdr:col>24</xdr:col>
      <xdr:colOff>84667</xdr:colOff>
      <xdr:row>34</xdr:row>
      <xdr:rowOff>137159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7DCCC0-5A22-4CC0-ADFC-07054CF06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129540</xdr:colOff>
          <xdr:row>26</xdr:row>
          <xdr:rowOff>175260</xdr:rowOff>
        </xdr:from>
        <xdr:to>
          <xdr:col>7</xdr:col>
          <xdr:colOff>192193</xdr:colOff>
          <xdr:row>28</xdr:row>
          <xdr:rowOff>101600</xdr:rowOff>
        </xdr:to>
        <xdr:sp macro="" textlink="">
          <xdr:nvSpPr>
            <xdr:cNvPr id="10282" name="Group Box 42" hidden="1">
              <a:extLst>
                <a:ext uri="{63B3BB69-23CF-44E3-9099-C40C66FF867C}">
                  <a14:compatExt spid="_x0000_s10282"/>
                </a:ext>
                <a:ext uri="{FF2B5EF4-FFF2-40B4-BE49-F238E27FC236}">
                  <a16:creationId xmlns:a16="http://schemas.microsoft.com/office/drawing/2014/main" id="{00000000-0008-0000-0400-00002A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xdr:twoCellAnchor editAs="absolute">
    <xdr:from>
      <xdr:col>7</xdr:col>
      <xdr:colOff>389468</xdr:colOff>
      <xdr:row>16</xdr:row>
      <xdr:rowOff>3387</xdr:rowOff>
    </xdr:from>
    <xdr:to>
      <xdr:col>12</xdr:col>
      <xdr:colOff>1862667</xdr:colOff>
      <xdr:row>28</xdr:row>
      <xdr:rowOff>50800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2625A1BA-5BEE-A821-5872-C5DB5B639D25}"/>
            </a:ext>
          </a:extLst>
        </xdr:cNvPr>
        <xdr:cNvGrpSpPr/>
      </xdr:nvGrpSpPr>
      <xdr:grpSpPr>
        <a:xfrm>
          <a:off x="6155268" y="2983654"/>
          <a:ext cx="4343399" cy="2282613"/>
          <a:chOff x="6121401" y="2983654"/>
          <a:chExt cx="4436534" cy="2282613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83" name="Group Box 43" hidden="1">
                <a:extLst>
                  <a:ext uri="{63B3BB69-23CF-44E3-9099-C40C66FF867C}">
                    <a14:compatExt spid="_x0000_s10283"/>
                  </a:ext>
                  <a:ext uri="{FF2B5EF4-FFF2-40B4-BE49-F238E27FC236}">
                    <a16:creationId xmlns:a16="http://schemas.microsoft.com/office/drawing/2014/main" id="{00000000-0008-0000-0400-00002B280000}"/>
                  </a:ext>
                </a:extLst>
              </xdr:cNvPr>
              <xdr:cNvSpPr/>
            </xdr:nvSpPr>
            <xdr:spPr bwMode="auto">
              <a:xfrm>
                <a:off x="7841826" y="4865793"/>
                <a:ext cx="2619587" cy="262467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</xdr:sp>
        </mc:Choice>
        <mc:Fallback/>
      </mc:AlternateContent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CA12B40A-BC3F-B613-2CD1-D59D62A8A54D}"/>
              </a:ext>
            </a:extLst>
          </xdr:cNvPr>
          <xdr:cNvGrpSpPr/>
        </xdr:nvGrpSpPr>
        <xdr:grpSpPr>
          <a:xfrm>
            <a:off x="6121401" y="2983654"/>
            <a:ext cx="4436534" cy="2282613"/>
            <a:chOff x="6163733" y="3025987"/>
            <a:chExt cx="4278207" cy="2206412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63" name="Option Button 23" hidden="1">
                  <a:extLst>
                    <a:ext uri="{63B3BB69-23CF-44E3-9099-C40C66FF867C}">
                      <a14:compatExt spid="_x0000_s10263"/>
                    </a:ext>
                    <a:ext uri="{FF2B5EF4-FFF2-40B4-BE49-F238E27FC236}">
                      <a16:creationId xmlns:a16="http://schemas.microsoft.com/office/drawing/2014/main" id="{00000000-0008-0000-0400-000017280000}"/>
                    </a:ext>
                  </a:extLst>
                </xdr:cNvPr>
                <xdr:cNvSpPr/>
              </xdr:nvSpPr>
              <xdr:spPr bwMode="auto">
                <a:xfrm>
                  <a:off x="8248226" y="4868333"/>
                  <a:ext cx="276013" cy="15917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69" name="Option Button 29" hidden="1">
                  <a:extLst>
                    <a:ext uri="{63B3BB69-23CF-44E3-9099-C40C66FF867C}">
                      <a14:compatExt spid="_x0000_s10269"/>
                    </a:ext>
                    <a:ext uri="{FF2B5EF4-FFF2-40B4-BE49-F238E27FC236}">
                      <a16:creationId xmlns:a16="http://schemas.microsoft.com/office/drawing/2014/main" id="{00000000-0008-0000-0400-000017280000}"/>
                    </a:ext>
                  </a:extLst>
                </xdr:cNvPr>
                <xdr:cNvSpPr/>
              </xdr:nvSpPr>
              <xdr:spPr bwMode="auto">
                <a:xfrm>
                  <a:off x="9110133" y="4868333"/>
                  <a:ext cx="276013" cy="15917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  <xdr:grpSp>
          <xdr:nvGrpSpPr>
            <xdr:cNvPr id="41" name="Group 40">
              <a:extLst>
                <a:ext uri="{FF2B5EF4-FFF2-40B4-BE49-F238E27FC236}">
                  <a16:creationId xmlns:a16="http://schemas.microsoft.com/office/drawing/2014/main" id="{86126AED-C517-502F-E707-682B51064198}"/>
                </a:ext>
              </a:extLst>
            </xdr:cNvPr>
            <xdr:cNvGrpSpPr/>
          </xdr:nvGrpSpPr>
          <xdr:grpSpPr>
            <a:xfrm>
              <a:off x="6163733" y="3025987"/>
              <a:ext cx="4278207" cy="2206412"/>
              <a:chOff x="6163733" y="3025987"/>
              <a:chExt cx="4278207" cy="2206412"/>
            </a:xfrm>
          </xdr:grpSpPr>
          <xdr:sp macro="" textlink="">
            <xdr:nvSpPr>
              <xdr:cNvPr id="4" name="Rectangle 3">
                <a:extLst>
                  <a:ext uri="{FF2B5EF4-FFF2-40B4-BE49-F238E27FC236}">
                    <a16:creationId xmlns:a16="http://schemas.microsoft.com/office/drawing/2014/main" id="{3255D0FB-D807-AA36-A5AD-DFA58BA44E7E}"/>
                  </a:ext>
                </a:extLst>
              </xdr:cNvPr>
              <xdr:cNvSpPr/>
            </xdr:nvSpPr>
            <xdr:spPr>
              <a:xfrm>
                <a:off x="7858760" y="3025987"/>
                <a:ext cx="2583180" cy="326813"/>
              </a:xfrm>
              <a:prstGeom prst="rect">
                <a:avLst/>
              </a:prstGeom>
              <a:solidFill>
                <a:srgbClr val="38322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2000" b="1">
                    <a:latin typeface="Impact" panose="020B0806030902050204" pitchFamily="34" charset="0"/>
                  </a:rPr>
                  <a:t>Periorty</a:t>
                </a:r>
              </a:p>
            </xdr:txBody>
          </xdr:sp>
          <xdr:sp macro="" textlink="list!AA2">
            <xdr:nvSpPr>
              <xdr:cNvPr id="7" name="Rectangle 6">
                <a:extLst>
                  <a:ext uri="{FF2B5EF4-FFF2-40B4-BE49-F238E27FC236}">
                    <a16:creationId xmlns:a16="http://schemas.microsoft.com/office/drawing/2014/main" id="{D73D753B-F21A-40F4-88F9-3B281593DC59}"/>
                  </a:ext>
                </a:extLst>
              </xdr:cNvPr>
              <xdr:cNvSpPr/>
            </xdr:nvSpPr>
            <xdr:spPr>
              <a:xfrm>
                <a:off x="6163733" y="3033608"/>
                <a:ext cx="1650999" cy="877992"/>
              </a:xfrm>
              <a:prstGeom prst="rect">
                <a:avLst/>
              </a:prstGeom>
              <a:solidFill>
                <a:srgbClr val="383220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fld id="{760871B3-E785-415A-97A4-771EEF03C60E}" type="TxLink">
                  <a:rPr lang="en-US" sz="2000" b="1" i="0" u="none" strike="noStrike">
                    <a:solidFill>
                      <a:schemeClr val="bg1"/>
                    </a:solidFill>
                    <a:latin typeface="Impact" panose="020B0806030902050204" pitchFamily="34" charset="0"/>
                    <a:ea typeface="Calibri"/>
                    <a:cs typeface="Calibri"/>
                  </a:rPr>
                  <a:t>Low Tasks</a:t>
                </a:fld>
                <a:endParaRPr lang="en-US" sz="2000" b="1">
                  <a:solidFill>
                    <a:schemeClr val="bg1"/>
                  </a:solidFill>
                  <a:latin typeface="Impact" panose="020B0806030902050204" pitchFamily="34" charset="0"/>
                </a:endParaRPr>
              </a:p>
            </xdr:txBody>
          </xdr:sp>
          <xdr:sp macro="" textlink="list!AD1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0F3EAA2E-269A-AF2B-381C-6600082C6B39}"/>
                  </a:ext>
                </a:extLst>
              </xdr:cNvPr>
              <xdr:cNvSpPr txBox="1"/>
            </xdr:nvSpPr>
            <xdr:spPr>
              <a:xfrm>
                <a:off x="6163733" y="3920067"/>
                <a:ext cx="1761067" cy="131233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fld id="{DDBC6889-7CB2-4BB7-B96C-24C6713BE326}" type="TxLink">
                  <a:rPr lang="en-US" sz="4000" b="1" i="0" u="none" strike="noStrike">
                    <a:solidFill>
                      <a:schemeClr val="bg1"/>
                    </a:solidFill>
                    <a:latin typeface="Impact" panose="020B0806030902050204" pitchFamily="34" charset="0"/>
                    <a:ea typeface="Calibri"/>
                    <a:cs typeface="Calibri"/>
                  </a:rPr>
                  <a:t>11</a:t>
                </a:fld>
                <a:endParaRPr lang="en-US" sz="4000" b="1">
                  <a:solidFill>
                    <a:schemeClr val="bg1"/>
                  </a:solidFill>
                  <a:latin typeface="Impact" panose="020B0806030902050204" pitchFamily="34" charset="0"/>
                </a:endParaRPr>
              </a:p>
            </xdr:txBody>
          </xdr:sp>
          <xdr:graphicFrame macro="">
            <xdr:nvGraphicFramePr>
              <xdr:cNvPr id="39" name="Chart 38">
                <a:extLst>
                  <a:ext uri="{FF2B5EF4-FFF2-40B4-BE49-F238E27FC236}">
                    <a16:creationId xmlns:a16="http://schemas.microsoft.com/office/drawing/2014/main" id="{01AECB8D-9D10-43D4-A5E1-2E9D7FFCA4D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7907867" y="3352799"/>
              <a:ext cx="2514599" cy="149860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7"/>
              </a:graphicData>
            </a:graphic>
          </xdr:graphicFrame>
        </xdr:grp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85" name="Option Button 45" hidden="1">
                  <a:extLst>
                    <a:ext uri="{63B3BB69-23CF-44E3-9099-C40C66FF867C}">
                      <a14:compatExt spid="_x0000_s10285"/>
                    </a:ext>
                    <a:ext uri="{FF2B5EF4-FFF2-40B4-BE49-F238E27FC236}">
                      <a16:creationId xmlns:a16="http://schemas.microsoft.com/office/drawing/2014/main" id="{00000000-0008-0000-0400-000017280000}"/>
                    </a:ext>
                  </a:extLst>
                </xdr:cNvPr>
                <xdr:cNvSpPr/>
              </xdr:nvSpPr>
              <xdr:spPr bwMode="auto">
                <a:xfrm>
                  <a:off x="9838266" y="4893733"/>
                  <a:ext cx="276013" cy="15917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</xdr:grpSp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0.05376</cdr:x>
      <cdr:y>0.67241</cdr:y>
    </cdr:from>
    <cdr:to>
      <cdr:x>0.91039</cdr:x>
      <cdr:y>0.816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80226" y="1284544"/>
          <a:ext cx="1278336" cy="274320"/>
        </a:xfrm>
        <a:prstGeom xmlns:a="http://schemas.openxmlformats.org/drawingml/2006/main" prst="rect">
          <a:avLst/>
        </a:prstGeom>
        <a:solidFill xmlns:a="http://schemas.openxmlformats.org/drawingml/2006/main">
          <a:srgbClr val="38322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SCOPE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0.66319</cdr:y>
    </cdr:from>
    <cdr:to>
      <cdr:x>1</cdr:x>
      <cdr:y>0.82169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0" y="1275351"/>
          <a:ext cx="1563305" cy="304800"/>
        </a:xfrm>
        <a:prstGeom xmlns:a="http://schemas.openxmlformats.org/drawingml/2006/main" prst="rect">
          <a:avLst/>
        </a:prstGeom>
        <a:solidFill xmlns:a="http://schemas.openxmlformats.org/drawingml/2006/main">
          <a:srgbClr val="38322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SCHEDULE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0.03502</cdr:x>
      <cdr:y>0.67395</cdr:y>
    </cdr:from>
    <cdr:to>
      <cdr:x>1</cdr:x>
      <cdr:y>0.82589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52566" y="1318260"/>
          <a:ext cx="1448482" cy="297180"/>
        </a:xfrm>
        <a:prstGeom xmlns:a="http://schemas.openxmlformats.org/drawingml/2006/main" prst="rect">
          <a:avLst/>
        </a:prstGeom>
        <a:solidFill xmlns:a="http://schemas.openxmlformats.org/drawingml/2006/main">
          <a:srgbClr val="38322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COST</a:t>
          </a:r>
        </a:p>
      </cdr:txBody>
    </cdr:sp>
  </cdr:relSizeAnchor>
  <cdr:relSizeAnchor xmlns:cdr="http://schemas.openxmlformats.org/drawingml/2006/chartDrawing">
    <cdr:from>
      <cdr:x>0.21012</cdr:x>
      <cdr:y>0.59857</cdr:y>
    </cdr:from>
    <cdr:to>
      <cdr:x>0.76654</cdr:x>
      <cdr:y>0.74194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AD571DE-A245-D59C-803C-490961525C73}"/>
            </a:ext>
          </a:extLst>
        </cdr:cNvPr>
        <cdr:cNvSpPr txBox="1"/>
      </cdr:nvSpPr>
      <cdr:spPr>
        <a:xfrm xmlns:a="http://schemas.openxmlformats.org/drawingml/2006/main">
          <a:off x="411480" y="1272540"/>
          <a:ext cx="108966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0.20188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83B3DDB-EC50-1E8E-EA6C-B5F6B8801E2F}"/>
            </a:ext>
          </a:extLst>
        </cdr:cNvPr>
        <cdr:cNvSpPr/>
      </cdr:nvSpPr>
      <cdr:spPr>
        <a:xfrm xmlns:a="http://schemas.openxmlformats.org/drawingml/2006/main">
          <a:off x="0" y="0"/>
          <a:ext cx="3364426" cy="353366"/>
        </a:xfrm>
        <a:prstGeom xmlns:a="http://schemas.openxmlformats.org/drawingml/2006/main" prst="rect">
          <a:avLst/>
        </a:prstGeom>
        <a:solidFill xmlns:a="http://schemas.openxmlformats.org/drawingml/2006/main">
          <a:srgbClr val="383220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000" b="1">
              <a:latin typeface="Impact" panose="020B0806030902050204" pitchFamily="34" charset="0"/>
            </a:rPr>
            <a:t>TASK</a:t>
          </a:r>
          <a:r>
            <a:rPr lang="en-US" sz="2000" b="1" baseline="0">
              <a:latin typeface="Impact" panose="020B0806030902050204" pitchFamily="34" charset="0"/>
            </a:rPr>
            <a:t> STATUS</a:t>
          </a:r>
          <a:endParaRPr lang="en-US" sz="2000" b="1">
            <a:latin typeface="Impact" panose="020B0806030902050204" pitchFamily="34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601980</xdr:colOff>
      <xdr:row>0</xdr:row>
      <xdr:rowOff>106679</xdr:rowOff>
    </xdr:from>
    <xdr:to>
      <xdr:col>18</xdr:col>
      <xdr:colOff>557766</xdr:colOff>
      <xdr:row>8</xdr:row>
      <xdr:rowOff>106680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9189720" y="106679"/>
          <a:ext cx="4832586" cy="2202181"/>
          <a:chOff x="9189720" y="106679"/>
          <a:chExt cx="4832586" cy="2202181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600-000002000000}"/>
              </a:ext>
            </a:extLst>
          </xdr:cNvPr>
          <xdr:cNvGraphicFramePr/>
        </xdr:nvGraphicFramePr>
        <xdr:xfrm>
          <a:off x="9189720" y="106679"/>
          <a:ext cx="1577340" cy="21945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GraphicFramePr>
            <a:graphicFrameLocks/>
          </xdr:cNvGraphicFramePr>
        </xdr:nvGraphicFramePr>
        <xdr:xfrm>
          <a:off x="10793730" y="152400"/>
          <a:ext cx="1634490" cy="21564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GraphicFramePr>
            <a:graphicFrameLocks/>
          </xdr:cNvGraphicFramePr>
        </xdr:nvGraphicFramePr>
        <xdr:xfrm>
          <a:off x="12451080" y="171450"/>
          <a:ext cx="1571226" cy="21259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  <xdr:twoCellAnchor>
    <xdr:from>
      <xdr:col>11</xdr:col>
      <xdr:colOff>152400</xdr:colOff>
      <xdr:row>4</xdr:row>
      <xdr:rowOff>274320</xdr:rowOff>
    </xdr:from>
    <xdr:to>
      <xdr:col>13</xdr:col>
      <xdr:colOff>106680</xdr:colOff>
      <xdr:row>6</xdr:row>
      <xdr:rowOff>106680</xdr:rowOff>
    </xdr:to>
    <xdr:sp macro="" textlink="$B$3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9349740" y="1318260"/>
          <a:ext cx="117348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3F19875-2B66-4522-A62E-6B104FB8C67B}" type="TxLink">
            <a:rPr lang="en-US" sz="2400" b="1" i="0" u="none" strike="noStrike">
              <a:solidFill>
                <a:schemeClr val="tx1">
                  <a:lumMod val="95000"/>
                  <a:lumOff val="5000"/>
                </a:schemeClr>
              </a:solidFill>
              <a:latin typeface="Tw Cen MT"/>
            </a:rPr>
            <a:pPr algn="ctr"/>
            <a:t>57%</a:t>
          </a:fld>
          <a:endParaRPr lang="en-US" sz="2400" b="1">
            <a:solidFill>
              <a:schemeClr val="tx1">
                <a:lumMod val="95000"/>
                <a:lumOff val="5000"/>
              </a:schemeClr>
            </a:solidFill>
            <a:latin typeface="Tw Cen MT" panose="020B0602020104020603" pitchFamily="34" charset="0"/>
          </a:endParaRPr>
        </a:p>
      </xdr:txBody>
    </xdr:sp>
    <xdr:clientData/>
  </xdr:twoCellAnchor>
  <xdr:twoCellAnchor>
    <xdr:from>
      <xdr:col>13</xdr:col>
      <xdr:colOff>510540</xdr:colOff>
      <xdr:row>5</xdr:row>
      <xdr:rowOff>0</xdr:rowOff>
    </xdr:from>
    <xdr:to>
      <xdr:col>15</xdr:col>
      <xdr:colOff>579120</xdr:colOff>
      <xdr:row>6</xdr:row>
      <xdr:rowOff>30480</xdr:rowOff>
    </xdr:to>
    <xdr:sp macro="" textlink="$F$3">
      <xdr:nvSpPr>
        <xdr:cNvPr id="7" name="TextBox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10927080" y="1333500"/>
          <a:ext cx="128778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2B7DE34-9D52-4BE9-A9F3-F7208CB8BE37}" type="TxLink">
            <a:rPr lang="en-US" sz="2400" b="1" i="0" u="none" strike="noStrike">
              <a:solidFill>
                <a:srgbClr val="000000"/>
              </a:solidFill>
              <a:latin typeface="Tw Cen MT"/>
            </a:rPr>
            <a:pPr algn="ctr"/>
            <a:t>51%</a:t>
          </a:fld>
          <a:endParaRPr lang="en-US" sz="2400" b="1"/>
        </a:p>
      </xdr:txBody>
    </xdr:sp>
    <xdr:clientData/>
  </xdr:twoCellAnchor>
  <xdr:twoCellAnchor>
    <xdr:from>
      <xdr:col>16</xdr:col>
      <xdr:colOff>487680</xdr:colOff>
      <xdr:row>4</xdr:row>
      <xdr:rowOff>243840</xdr:rowOff>
    </xdr:from>
    <xdr:to>
      <xdr:col>18</xdr:col>
      <xdr:colOff>441960</xdr:colOff>
      <xdr:row>5</xdr:row>
      <xdr:rowOff>274320</xdr:rowOff>
    </xdr:to>
    <xdr:sp macro="" textlink="$J$3">
      <xdr:nvSpPr>
        <xdr:cNvPr id="8" name="TextBox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12733020" y="1287780"/>
          <a:ext cx="1173480" cy="3200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7D5EA4E-31B4-456B-AC07-6226C8226FFD}" type="TxLink">
            <a:rPr lang="en-US" sz="2400" b="1" i="0" u="none" strike="noStrike">
              <a:solidFill>
                <a:srgbClr val="000000"/>
              </a:solidFill>
              <a:latin typeface="Tw Cen MT"/>
            </a:rPr>
            <a:pPr algn="ctr"/>
            <a:t>64%</a:t>
          </a:fld>
          <a:endParaRPr lang="en-US" sz="2400" b="1"/>
        </a:p>
      </xdr:txBody>
    </xdr:sp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0.05376</cdr:x>
      <cdr:y>0.75844</cdr:y>
    </cdr:from>
    <cdr:to>
      <cdr:x>0.91039</cdr:x>
      <cdr:y>0.8997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114300" y="1589303"/>
          <a:ext cx="1821179" cy="296011"/>
        </a:xfrm>
        <a:prstGeom xmlns:a="http://schemas.openxmlformats.org/drawingml/2006/main" prst="rect">
          <a:avLst/>
        </a:prstGeom>
        <a:solidFill xmlns:a="http://schemas.openxmlformats.org/drawingml/2006/main">
          <a:srgbClr val="463E2A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SCOPE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0.04607</cdr:x>
      <cdr:y>0.76678</cdr:y>
    </cdr:from>
    <cdr:to>
      <cdr:x>1</cdr:x>
      <cdr:y>0.92961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72390" y="1653540"/>
          <a:ext cx="1498836" cy="351123"/>
        </a:xfrm>
        <a:prstGeom xmlns:a="http://schemas.openxmlformats.org/drawingml/2006/main" prst="rect">
          <a:avLst/>
        </a:prstGeom>
        <a:solidFill xmlns:a="http://schemas.openxmlformats.org/drawingml/2006/main">
          <a:srgbClr val="463E2A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SCHEDULE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0.03502</cdr:x>
      <cdr:y>0.78476</cdr:y>
    </cdr:from>
    <cdr:to>
      <cdr:x>1</cdr:x>
      <cdr:y>0.92602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F7AF2B9-E596-C108-D3A6-4EEA940667DE}"/>
            </a:ext>
          </a:extLst>
        </cdr:cNvPr>
        <cdr:cNvSpPr/>
      </cdr:nvSpPr>
      <cdr:spPr>
        <a:xfrm xmlns:a="http://schemas.openxmlformats.org/drawingml/2006/main">
          <a:off x="68580" y="1668393"/>
          <a:ext cx="1889760" cy="300316"/>
        </a:xfrm>
        <a:prstGeom xmlns:a="http://schemas.openxmlformats.org/drawingml/2006/main" prst="rect">
          <a:avLst/>
        </a:prstGeom>
        <a:solidFill xmlns:a="http://schemas.openxmlformats.org/drawingml/2006/main">
          <a:srgbClr val="463E2A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2400" b="1">
              <a:latin typeface="Tw Cen MT" panose="020B0602020104020603" pitchFamily="34" charset="0"/>
            </a:rPr>
            <a:t>COST</a:t>
          </a:r>
        </a:p>
      </cdr:txBody>
    </cdr:sp>
  </cdr:relSizeAnchor>
  <cdr:relSizeAnchor xmlns:cdr="http://schemas.openxmlformats.org/drawingml/2006/chartDrawing">
    <cdr:from>
      <cdr:x>0.21012</cdr:x>
      <cdr:y>0.59857</cdr:y>
    </cdr:from>
    <cdr:to>
      <cdr:x>0.76654</cdr:x>
      <cdr:y>0.74194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AAD571DE-A245-D59C-803C-490961525C73}"/>
            </a:ext>
          </a:extLst>
        </cdr:cNvPr>
        <cdr:cNvSpPr txBox="1"/>
      </cdr:nvSpPr>
      <cdr:spPr>
        <a:xfrm xmlns:a="http://schemas.openxmlformats.org/drawingml/2006/main">
          <a:off x="411480" y="1272540"/>
          <a:ext cx="1089660" cy="304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9EECA7-1C58-4417-A93D-648F8682C93A}" name="Table4" displayName="Table4" ref="AC2:AC4" totalsRowShown="0" headerRowDxfId="31" headerRowBorderDxfId="30" tableBorderDxfId="29">
  <autoFilter ref="AC2:AC4" xr:uid="{3426F9D3-637D-4A29-86F7-612F8AB34F6F}"/>
  <tableColumns count="1">
    <tableColumn id="1" xr3:uid="{C15E0E20-661C-45F7-A50A-14ECE250AC64}" name="Holidays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6201F-093E-4B9F-9213-5CFEBFAEF1C6}" name="Table2" displayName="Table2" ref="C5:D10" totalsRowShown="0">
  <autoFilter ref="C5:D10" xr:uid="{2C56201F-093E-4B9F-9213-5CFEBFAEF1C6}"/>
  <tableColumns count="2">
    <tableColumn id="1" xr3:uid="{D014656B-F56D-4ACF-B082-CEFB5641EFEA}" name="Schedual Status"/>
    <tableColumn id="2" xr3:uid="{2B5344C0-075A-4F74-9FFF-AA91E0FC2CC4}" name="COUNT" dataDxfId="27">
      <calculatedColumnFormula>COUNTIFS(Tasks!P3:P23,Table2[[#This Row],[Schedual Status]])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362D6-2D75-4347-97D3-F0A8DBDFEA50}" name="Table1" displayName="Table1" ref="AC3:AD6" totalsRowShown="0">
  <autoFilter ref="AC3:AD6" xr:uid="{BE3362D6-2D75-4347-97D3-F0A8DBDFEA50}"/>
  <tableColumns count="2">
    <tableColumn id="1" xr3:uid="{9FF2B39F-B9E5-48B1-8BAE-B3EFE71C3FCC}" name="Priority" dataDxfId="26"/>
    <tableColumn id="2" xr3:uid="{DBA5467A-1B90-453B-8CDA-0D1A9397106E}" name="count" dataDxfId="25">
      <calculatedColumnFormula>COUNTIF(Issues!$F$4:$F$19,Table1[[#This Row],[Priority]])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D3063A-EE21-49F1-AACA-9B9648D4323B}" name="Table6" displayName="Table6" ref="A30:G35" totalsRowShown="0" headerRowDxfId="2" tableBorderDxfId="17">
  <autoFilter ref="A30:G35" xr:uid="{E3D3063A-EE21-49F1-AACA-9B9648D4323B}"/>
  <tableColumns count="7">
    <tableColumn id="1" xr3:uid="{01647AB2-39BD-407E-818A-CE0933356F19}" name="srl" dataDxfId="14">
      <calculatedColumnFormula>A30+1</calculatedColumnFormula>
    </tableColumn>
    <tableColumn id="2" xr3:uid="{3519CC0C-4EC0-412F-B0AB-37A8CCA581E9}" name="Task Description" dataDxfId="13">
      <calculatedColumnFormula>IFERROR(VLOOKUP(DashBoard!$A31,list!$A$14:$W$25,MATCH(B$30,Tasks!$A$2:$W$2,0),0),"")</calculatedColumnFormula>
    </tableColumn>
    <tableColumn id="3" xr3:uid="{AF51B4A7-69E6-4E95-B6D7-C547AFBFD2AE}" name="Sec" dataDxfId="12">
      <calculatedColumnFormula>IFERROR(VLOOKUP(DashBoard!$A31,list!$A$14:$W$25,MATCH(C$30,Tasks!$A$2:$W$2,0),0),"")</calculatedColumnFormula>
    </tableColumn>
    <tableColumn id="4" xr3:uid="{09032EAC-6723-4C4D-BE9A-268DE1804557}" name="Dept" dataDxfId="11">
      <calculatedColumnFormula>IFERROR(VLOOKUP(DashBoard!$A31,list!$A$14:$W$25,MATCH(D$30,Tasks!$A$2:$W$2,0),0),"")</calculatedColumnFormula>
    </tableColumn>
    <tableColumn id="5" xr3:uid="{3A5C6641-9A90-4A19-A2FD-28BF11D20AA7}" name="A STRT" dataDxfId="10">
      <calculatedColumnFormula>IFERROR(VLOOKUP(DashBoard!$A31,list!$A$14:$W$25,MATCH(E$30,Tasks!$A$2:$W$2,0),0),"")</calculatedColumnFormula>
    </tableColumn>
    <tableColumn id="6" xr3:uid="{10EAC473-56F4-4C48-8B73-6E811D0EDEC6}" name="A END" dataDxfId="9">
      <calculatedColumnFormula>IFERROR(VLOOKUP(DashBoard!$A31,list!$A$14:$W$25,MATCH(F$30,Tasks!$A$2:$W$2,0),0),"")</calculatedColumnFormula>
    </tableColumn>
    <tableColumn id="7" xr3:uid="{5EA957AC-BE35-4CB2-A193-DCF46D679126}" name="%" dataDxfId="8" dataCellStyle="Percent">
      <calculatedColumnFormula>IFERROR(VLOOKUP(DashBoard!$A31,list!$A$14:$W$25,MATCH(G$30,Tasks!$A$2:$W$2,0),0),"")</calculatedColumnFormula>
    </tableColumn>
  </tableColumns>
  <tableStyleInfo name="TableStyleMedium24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02FD5B-0A89-45FD-8355-35B8F327625C}" name="Table10" displayName="Table10" ref="I30:M35" totalsRowShown="0" headerRowDxfId="1" dataDxfId="15" tableBorderDxfId="16">
  <autoFilter ref="I30:M35" xr:uid="{D802FD5B-0A89-45FD-8355-35B8F327625C}"/>
  <tableColumns count="5">
    <tableColumn id="1" xr3:uid="{FDA4A00D-57BB-459C-B488-264ED77DC1C1}" name="srl" dataDxfId="7"/>
    <tableColumn id="2" xr3:uid="{16C882C8-DE3C-4328-8436-FBB3B4FD38FD}" name="Issue" dataDxfId="6">
      <calculatedColumnFormula>IFERROR(VLOOKUP($I31,list!$Y$13:$AJ$27,MATCH(J$30,list!$Y$13:$AJ$13,0),0),"")</calculatedColumnFormula>
    </tableColumn>
    <tableColumn id="3" xr3:uid="{4BEA8E34-55B6-4909-B448-B33E72158CAE}" name="Score" dataDxfId="5">
      <calculatedColumnFormula>IFERROR(VLOOKUP($I31,list!$Y$13:$AJ$27,MATCH(K$30,list!$Y$13:$AJ$13,0),0),"")</calculatedColumnFormula>
    </tableColumn>
    <tableColumn id="4" xr3:uid="{77778474-D1C5-448C-82A7-CA7AD40A7CDE}" name="Owner" dataDxfId="4">
      <calculatedColumnFormula>IFERROR(VLOOKUP($I31,list!$Y$13:$AJ$27,MATCH(L$30,list!$Y$13:$AJ$13,0),0),"")</calculatedColumnFormula>
    </tableColumn>
    <tableColumn id="5" xr3:uid="{CFD59385-E1A1-4E86-9980-1BE4E3F560DC}" name="Comments" dataDxfId="3">
      <calculatedColumnFormula>IFERROR(VLOOKUP($I31,list!$Y$13:$AJ$27,MATCH(M$30,list!$Y$13:$AJ$13,0),0),"")</calculatedColumnFormula>
    </tableColumn>
  </tableColumns>
  <tableStyleInfo name="TableStyleMedium24 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13" Type="http://schemas.openxmlformats.org/officeDocument/2006/relationships/ctrlProp" Target="../ctrlProps/ctrlProp12.xml"/><Relationship Id="rId18" Type="http://schemas.openxmlformats.org/officeDocument/2006/relationships/table" Target="../tables/table5.xml"/><Relationship Id="rId3" Type="http://schemas.openxmlformats.org/officeDocument/2006/relationships/ctrlProp" Target="../ctrlProps/ctrlProp2.xml"/><Relationship Id="rId7" Type="http://schemas.openxmlformats.org/officeDocument/2006/relationships/ctrlProp" Target="../ctrlProps/ctrlProp6.xml"/><Relationship Id="rId12" Type="http://schemas.openxmlformats.org/officeDocument/2006/relationships/ctrlProp" Target="../ctrlProps/ctrlProp11.xml"/><Relationship Id="rId17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6" Type="http://schemas.openxmlformats.org/officeDocument/2006/relationships/ctrlProp" Target="../ctrlProps/ctrlProp15.x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5.xml"/><Relationship Id="rId11" Type="http://schemas.openxmlformats.org/officeDocument/2006/relationships/ctrlProp" Target="../ctrlProps/ctrlProp10.xml"/><Relationship Id="rId5" Type="http://schemas.openxmlformats.org/officeDocument/2006/relationships/ctrlProp" Target="../ctrlProps/ctrlProp4.xml"/><Relationship Id="rId15" Type="http://schemas.openxmlformats.org/officeDocument/2006/relationships/ctrlProp" Target="../ctrlProps/ctrlProp14.xml"/><Relationship Id="rId10" Type="http://schemas.openxmlformats.org/officeDocument/2006/relationships/ctrlProp" Target="../ctrlProps/ctrlProp9.xml"/><Relationship Id="rId4" Type="http://schemas.openxmlformats.org/officeDocument/2006/relationships/ctrlProp" Target="../ctrlProps/ctrlProp3.xml"/><Relationship Id="rId9" Type="http://schemas.openxmlformats.org/officeDocument/2006/relationships/ctrlProp" Target="../ctrlProps/ctrlProp8.xml"/><Relationship Id="rId14" Type="http://schemas.openxmlformats.org/officeDocument/2006/relationships/ctrlProp" Target="../ctrlProps/ctrlProp1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7409-60B7-4B8E-94ED-8412925C08BC}">
  <dimension ref="A1"/>
  <sheetViews>
    <sheetView showGridLines="0" topLeftCell="A7" workbookViewId="0">
      <selection activeCell="C34" sqref="C3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DFE5-50C4-48BE-944D-7983963CD667}">
  <dimension ref="B1:AF24"/>
  <sheetViews>
    <sheetView showGridLines="0" zoomScale="90" zoomScaleNormal="90" workbookViewId="0">
      <selection activeCell="B3" sqref="B3"/>
    </sheetView>
  </sheetViews>
  <sheetFormatPr defaultRowHeight="14.4" x14ac:dyDescent="0.3"/>
  <cols>
    <col min="2" max="2" width="19.6640625" bestFit="1" customWidth="1"/>
    <col min="3" max="3" width="8.21875" bestFit="1" customWidth="1"/>
    <col min="4" max="4" width="13.21875" bestFit="1" customWidth="1"/>
    <col min="5" max="5" width="13.109375" bestFit="1" customWidth="1"/>
    <col min="6" max="6" width="12.109375" customWidth="1"/>
    <col min="7" max="7" width="14.109375" customWidth="1"/>
    <col min="8" max="8" width="10.88671875" customWidth="1"/>
    <col min="9" max="9" width="13" bestFit="1" customWidth="1"/>
    <col min="10" max="10" width="11.5546875" customWidth="1"/>
    <col min="11" max="11" width="13.77734375" customWidth="1"/>
    <col min="12" max="12" width="11.109375" bestFit="1" customWidth="1"/>
    <col min="13" max="13" width="10" customWidth="1"/>
    <col min="14" max="14" width="12.44140625" bestFit="1" customWidth="1"/>
    <col min="15" max="15" width="12.44140625" customWidth="1"/>
    <col min="16" max="16" width="19.109375" bestFit="1" customWidth="1"/>
    <col min="17" max="17" width="19.109375" customWidth="1"/>
    <col min="18" max="18" width="11.88671875" bestFit="1" customWidth="1"/>
    <col min="19" max="19" width="12.21875" customWidth="1"/>
    <col min="20" max="20" width="20.109375" bestFit="1" customWidth="1"/>
    <col min="21" max="21" width="18.33203125" bestFit="1" customWidth="1"/>
    <col min="22" max="22" width="9.5546875" customWidth="1"/>
    <col min="23" max="23" width="12.109375" bestFit="1" customWidth="1"/>
    <col min="29" max="29" width="24.21875" bestFit="1" customWidth="1"/>
  </cols>
  <sheetData>
    <row r="1" spans="2:32" ht="45" x14ac:dyDescent="0.75">
      <c r="B1" s="2"/>
      <c r="G1" s="4" t="s">
        <v>87</v>
      </c>
      <c r="H1" s="31">
        <v>43831</v>
      </c>
      <c r="I1" s="4" t="s">
        <v>123</v>
      </c>
      <c r="J1" s="31">
        <f>MAX(G3:G23)</f>
        <v>44028</v>
      </c>
      <c r="K1" s="4" t="s">
        <v>124</v>
      </c>
      <c r="L1" s="74">
        <f>J1-H1</f>
        <v>197</v>
      </c>
      <c r="M1" s="4" t="s">
        <v>59</v>
      </c>
      <c r="N1" s="31">
        <f>DATE(2020,1,1)+O1</f>
        <v>43931</v>
      </c>
      <c r="O1" s="5">
        <v>100</v>
      </c>
      <c r="P1" s="4" t="s">
        <v>125</v>
      </c>
      <c r="Q1" s="74">
        <f>N1-H1</f>
        <v>100</v>
      </c>
    </row>
    <row r="2" spans="2:32" ht="31.8" customHeight="1" x14ac:dyDescent="0.3">
      <c r="B2" s="32" t="s">
        <v>0</v>
      </c>
      <c r="C2" s="33" t="s">
        <v>35</v>
      </c>
      <c r="D2" s="33" t="s">
        <v>34</v>
      </c>
      <c r="E2" s="33" t="s">
        <v>36</v>
      </c>
      <c r="F2" s="34" t="s">
        <v>51</v>
      </c>
      <c r="G2" s="33" t="s">
        <v>37</v>
      </c>
      <c r="H2" s="33" t="s">
        <v>53</v>
      </c>
      <c r="I2" s="33" t="s">
        <v>38</v>
      </c>
      <c r="J2" s="34" t="s">
        <v>52</v>
      </c>
      <c r="K2" s="33" t="s">
        <v>39</v>
      </c>
      <c r="L2" s="33" t="s">
        <v>54</v>
      </c>
      <c r="M2" s="33" t="s">
        <v>65</v>
      </c>
      <c r="N2" s="33" t="s">
        <v>55</v>
      </c>
      <c r="O2" s="34" t="s">
        <v>60</v>
      </c>
      <c r="P2" s="33" t="s">
        <v>32</v>
      </c>
      <c r="Q2" s="33" t="s">
        <v>66</v>
      </c>
      <c r="R2" s="33" t="s">
        <v>49</v>
      </c>
      <c r="S2" s="33" t="s">
        <v>50</v>
      </c>
      <c r="T2" s="33" t="s">
        <v>61</v>
      </c>
      <c r="U2" s="33" t="s">
        <v>33</v>
      </c>
      <c r="V2" s="33" t="s">
        <v>56</v>
      </c>
      <c r="W2" s="35" t="s">
        <v>57</v>
      </c>
      <c r="AC2" s="3" t="s">
        <v>58</v>
      </c>
      <c r="AE2" s="78" t="s">
        <v>128</v>
      </c>
      <c r="AF2" s="78" t="s">
        <v>129</v>
      </c>
    </row>
    <row r="3" spans="2:32" x14ac:dyDescent="0.3">
      <c r="B3" s="36" t="s">
        <v>40</v>
      </c>
      <c r="C3" s="37" t="s">
        <v>111</v>
      </c>
      <c r="D3" s="38" t="str">
        <f t="shared" ref="D3:D23" si="0">VLOOKUP(C3,$AE$3:$AF$8,2,0)</f>
        <v>Civil</v>
      </c>
      <c r="E3" s="38">
        <f>H1</f>
        <v>43831</v>
      </c>
      <c r="F3" s="39">
        <v>10</v>
      </c>
      <c r="G3" s="40">
        <f>IF(OR(ISBLANK(Tasks!$E3),ISBLANK(Tasks!$F3)),"",WORKDAY.INTL(Tasks!$E3,Tasks!$F3,7,Table4[Holidays]))</f>
        <v>43845</v>
      </c>
      <c r="H3" s="41">
        <f>Tasks!$G3-Tasks!$E3</f>
        <v>14</v>
      </c>
      <c r="I3" s="38">
        <v>43831</v>
      </c>
      <c r="J3" s="39">
        <v>10</v>
      </c>
      <c r="K3" s="40">
        <f>IF(OR(ISBLANK(Tasks!$I3),ISBLANK(Tasks!$J3)),"",WORKDAY.INTL(Tasks!$I3,Tasks!$J3,7,Table4[Holidays]))</f>
        <v>43845</v>
      </c>
      <c r="L3" s="41">
        <f>Tasks!$K3-Tasks!$I3</f>
        <v>14</v>
      </c>
      <c r="M3" s="42">
        <v>1</v>
      </c>
      <c r="N3" s="41">
        <f>Tasks!$M3*Tasks!$L3</f>
        <v>14</v>
      </c>
      <c r="O3" s="41">
        <f>$N$1-Tasks!$I3</f>
        <v>100</v>
      </c>
      <c r="P3" s="37" t="str">
        <f>IF(Tasks!$M3=1,"Done",IF(Tasks!$O3&gt;Tasks!$N3,"Delayed",IF(Tasks!$I3&gt;$N$1,"Not Started","In Progress")))</f>
        <v>Done</v>
      </c>
      <c r="Q3" s="37"/>
      <c r="R3" s="43">
        <v>4308</v>
      </c>
      <c r="S3" s="43">
        <v>4308</v>
      </c>
      <c r="T3" s="43">
        <f>Tasks!$S3*Tasks!$M3</f>
        <v>4308</v>
      </c>
      <c r="U3" s="37"/>
      <c r="V3" s="37">
        <f t="shared" ref="V3:V21" si="1">V4+1</f>
        <v>20</v>
      </c>
      <c r="W3" s="44">
        <f>$N$1</f>
        <v>43931</v>
      </c>
      <c r="X3">
        <f>IF($P3=list!$C$3,ROW(),1000)</f>
        <v>1000</v>
      </c>
      <c r="AC3" s="1">
        <v>43501</v>
      </c>
      <c r="AE3" s="36" t="s">
        <v>111</v>
      </c>
      <c r="AF3" s="36" t="s">
        <v>130</v>
      </c>
    </row>
    <row r="4" spans="2:32" x14ac:dyDescent="0.3">
      <c r="B4" s="36" t="s">
        <v>41</v>
      </c>
      <c r="C4" s="37" t="s">
        <v>111</v>
      </c>
      <c r="D4" s="38" t="str">
        <f t="shared" si="0"/>
        <v>Civil</v>
      </c>
      <c r="E4" s="38">
        <f>E3+15</f>
        <v>43846</v>
      </c>
      <c r="F4" s="39">
        <v>20</v>
      </c>
      <c r="G4" s="40">
        <f>IF(OR(ISBLANK(Tasks!$E4),ISBLANK(Tasks!$F4)),"",WORKDAY.INTL(Tasks!$E4,Tasks!$F4,7,Table4[Holidays]))</f>
        <v>43874</v>
      </c>
      <c r="H4" s="41">
        <f>Tasks!$G4-Tasks!$E4</f>
        <v>28</v>
      </c>
      <c r="I4" s="38">
        <v>43846</v>
      </c>
      <c r="J4" s="39">
        <v>20</v>
      </c>
      <c r="K4" s="40">
        <f>IF(OR(ISBLANK(Tasks!$I4),ISBLANK(Tasks!$J4)),"",WORKDAY.INTL(Tasks!$I4,Tasks!$J4,7,Table4[Holidays]))</f>
        <v>43874</v>
      </c>
      <c r="L4" s="41">
        <f>Tasks!$K4-Tasks!$I4</f>
        <v>28</v>
      </c>
      <c r="M4" s="42">
        <v>0.8</v>
      </c>
      <c r="N4" s="41">
        <f>Tasks!$M4*Tasks!$L4</f>
        <v>22.400000000000002</v>
      </c>
      <c r="O4" s="41">
        <f>$N$1-Tasks!$I4</f>
        <v>85</v>
      </c>
      <c r="P4" s="37" t="str">
        <f>IF(Tasks!$M4=1,"Done",IF(Tasks!$O4&gt;Tasks!$N4,"Delayed",IF(Tasks!$I4&gt;$N$1,"Not Started","In Progress")))</f>
        <v>Delayed</v>
      </c>
      <c r="Q4" s="37"/>
      <c r="R4" s="43">
        <v>1336</v>
      </c>
      <c r="S4" s="43">
        <v>1336</v>
      </c>
      <c r="T4" s="43">
        <f>Tasks!$S4*Tasks!$M4</f>
        <v>1068.8</v>
      </c>
      <c r="U4" s="37"/>
      <c r="V4" s="37">
        <f t="shared" si="1"/>
        <v>19</v>
      </c>
      <c r="W4" s="44">
        <f>$N$1</f>
        <v>43931</v>
      </c>
      <c r="X4">
        <f>IF($P4=list!$C$3,ROW(),1000)</f>
        <v>1000</v>
      </c>
      <c r="AC4" s="1">
        <v>43549</v>
      </c>
      <c r="AE4" s="36" t="s">
        <v>108</v>
      </c>
      <c r="AF4" s="79" t="s">
        <v>131</v>
      </c>
    </row>
    <row r="5" spans="2:32" x14ac:dyDescent="0.3">
      <c r="B5" s="36" t="s">
        <v>42</v>
      </c>
      <c r="C5" s="37" t="s">
        <v>108</v>
      </c>
      <c r="D5" s="38" t="str">
        <f t="shared" si="0"/>
        <v>Acrhitict</v>
      </c>
      <c r="E5" s="38">
        <f>E4+19</f>
        <v>43865</v>
      </c>
      <c r="F5" s="39">
        <v>17</v>
      </c>
      <c r="G5" s="40">
        <f>IF(OR(ISBLANK(Tasks!$E5),ISBLANK(Tasks!$F5)),"",WORKDAY.INTL(Tasks!$E5,Tasks!$F5,7,Table4[Holidays]))</f>
        <v>43888</v>
      </c>
      <c r="H5" s="41">
        <f>Tasks!$G5-Tasks!$E5</f>
        <v>23</v>
      </c>
      <c r="I5" s="38">
        <v>43865</v>
      </c>
      <c r="J5" s="39">
        <v>17</v>
      </c>
      <c r="K5" s="40">
        <f>IF(OR(ISBLANK(Tasks!$I5),ISBLANK(Tasks!$J5)),"",WORKDAY.INTL(Tasks!$I5,Tasks!$J5,7,Table4[Holidays]))</f>
        <v>43888</v>
      </c>
      <c r="L5" s="41">
        <f>Tasks!$K5-Tasks!$I5</f>
        <v>23</v>
      </c>
      <c r="M5" s="42">
        <v>0.9</v>
      </c>
      <c r="N5" s="41">
        <f>Tasks!$M5*Tasks!$L5</f>
        <v>20.7</v>
      </c>
      <c r="O5" s="41">
        <f>$N$1-Tasks!$I5</f>
        <v>66</v>
      </c>
      <c r="P5" s="37" t="str">
        <f>IF(Tasks!$M5=1,"Done",IF(Tasks!$O5&gt;Tasks!$N5,"Delayed",IF(Tasks!$I5&gt;$N$1,"Not Started","In Progress")))</f>
        <v>Delayed</v>
      </c>
      <c r="Q5" s="37"/>
      <c r="R5" s="43">
        <v>3278</v>
      </c>
      <c r="S5" s="43">
        <v>3278</v>
      </c>
      <c r="T5" s="43">
        <f>Tasks!$S5*Tasks!$M5</f>
        <v>2950.2000000000003</v>
      </c>
      <c r="U5" s="37"/>
      <c r="V5" s="37">
        <f t="shared" si="1"/>
        <v>18</v>
      </c>
      <c r="W5" s="44">
        <f>$N$1</f>
        <v>43931</v>
      </c>
      <c r="X5">
        <f>IF($P5=list!$C$3,ROW(),1000)</f>
        <v>1000</v>
      </c>
      <c r="AE5" s="36" t="s">
        <v>109</v>
      </c>
      <c r="AF5" s="79" t="s">
        <v>131</v>
      </c>
    </row>
    <row r="6" spans="2:32" x14ac:dyDescent="0.3">
      <c r="B6" s="36" t="s">
        <v>43</v>
      </c>
      <c r="C6" s="37" t="s">
        <v>109</v>
      </c>
      <c r="D6" s="38" t="str">
        <f t="shared" si="0"/>
        <v>Acrhitict</v>
      </c>
      <c r="E6" s="38">
        <f>E5+2</f>
        <v>43867</v>
      </c>
      <c r="F6" s="39">
        <v>15</v>
      </c>
      <c r="G6" s="40">
        <f>IF(OR(ISBLANK(Tasks!$E6),ISBLANK(Tasks!$F6)),"",WORKDAY.INTL(Tasks!$E6,Tasks!$F6,7,Table4[Holidays]))</f>
        <v>43888</v>
      </c>
      <c r="H6" s="41">
        <f>Tasks!$G6-Tasks!$E6</f>
        <v>21</v>
      </c>
      <c r="I6" s="38">
        <v>43867</v>
      </c>
      <c r="J6" s="39">
        <v>15</v>
      </c>
      <c r="K6" s="40">
        <f>IF(OR(ISBLANK(Tasks!$I6),ISBLANK(Tasks!$J6)),"",WORKDAY.INTL(Tasks!$I6,Tasks!$J6,7,Table4[Holidays]))</f>
        <v>43888</v>
      </c>
      <c r="L6" s="41">
        <f>Tasks!$K6-Tasks!$I6</f>
        <v>21</v>
      </c>
      <c r="M6" s="42">
        <v>1</v>
      </c>
      <c r="N6" s="41">
        <f>Tasks!$M6*Tasks!$L6</f>
        <v>21</v>
      </c>
      <c r="O6" s="41">
        <f>$N$1-Tasks!$I6</f>
        <v>64</v>
      </c>
      <c r="P6" s="37" t="str">
        <f>IF(Tasks!$M6=1,"Done",IF(Tasks!$O6&gt;Tasks!$N6,"Delayed",IF(Tasks!$I6&gt;$N$1,"Not Started","In Progress")))</f>
        <v>Done</v>
      </c>
      <c r="Q6" s="37"/>
      <c r="R6" s="43">
        <v>2758</v>
      </c>
      <c r="S6" s="43">
        <v>2758</v>
      </c>
      <c r="T6" s="43">
        <f>Tasks!$S6*Tasks!$M6</f>
        <v>2758</v>
      </c>
      <c r="U6" s="37"/>
      <c r="V6" s="37">
        <f t="shared" si="1"/>
        <v>17</v>
      </c>
      <c r="W6" s="44">
        <f>$N$1</f>
        <v>43931</v>
      </c>
      <c r="X6">
        <f>IF($P6=list!$C$3,ROW(),1000)</f>
        <v>1000</v>
      </c>
      <c r="AE6" s="46" t="s">
        <v>110</v>
      </c>
      <c r="AF6" s="80" t="s">
        <v>132</v>
      </c>
    </row>
    <row r="7" spans="2:32" x14ac:dyDescent="0.3">
      <c r="B7" s="36" t="s">
        <v>44</v>
      </c>
      <c r="C7" s="37" t="s">
        <v>108</v>
      </c>
      <c r="D7" s="38" t="str">
        <f t="shared" si="0"/>
        <v>Acrhitict</v>
      </c>
      <c r="E7" s="38">
        <f>E6+3</f>
        <v>43870</v>
      </c>
      <c r="F7" s="39">
        <v>8</v>
      </c>
      <c r="G7" s="40">
        <f>IF(OR(ISBLANK(Tasks!$E7),ISBLANK(Tasks!$F7)),"",WORKDAY.INTL(Tasks!$E7,Tasks!$F7,7,Table4[Holidays]))</f>
        <v>43880</v>
      </c>
      <c r="H7" s="41">
        <f>Tasks!$G7-Tasks!$E7</f>
        <v>10</v>
      </c>
      <c r="I7" s="38">
        <v>43870</v>
      </c>
      <c r="J7" s="39">
        <v>8</v>
      </c>
      <c r="K7" s="40">
        <f>IF(OR(ISBLANK(Tasks!$I7),ISBLANK(Tasks!$J7)),"",WORKDAY.INTL(Tasks!$I7,Tasks!$J7,7,Table4[Holidays]))</f>
        <v>43880</v>
      </c>
      <c r="L7" s="41">
        <f>Tasks!$K7-Tasks!$I7</f>
        <v>10</v>
      </c>
      <c r="M7" s="42">
        <v>0.95</v>
      </c>
      <c r="N7" s="41">
        <f>Tasks!$M7*Tasks!$L7</f>
        <v>9.5</v>
      </c>
      <c r="O7" s="41">
        <f>$N$1-Tasks!$I7</f>
        <v>61</v>
      </c>
      <c r="P7" s="37" t="str">
        <f>IF(Tasks!$M7=1,"Done",IF(Tasks!$O7&gt;Tasks!$N7,"Delayed",IF(Tasks!$I7&gt;$N$1,"Not Started","In Progress")))</f>
        <v>Delayed</v>
      </c>
      <c r="Q7" s="37"/>
      <c r="R7" s="43">
        <v>2547</v>
      </c>
      <c r="S7" s="43">
        <v>2547</v>
      </c>
      <c r="T7" s="43">
        <f>Tasks!$S7*Tasks!$M7</f>
        <v>2419.65</v>
      </c>
      <c r="U7" s="37"/>
      <c r="V7" s="37">
        <f t="shared" si="1"/>
        <v>16</v>
      </c>
      <c r="W7" s="44">
        <f>$N$1</f>
        <v>43931</v>
      </c>
      <c r="X7">
        <f>IF($P7=list!$C$3,ROW(),1000)</f>
        <v>1000</v>
      </c>
      <c r="AE7" s="46" t="s">
        <v>107</v>
      </c>
      <c r="AF7" s="80" t="s">
        <v>132</v>
      </c>
    </row>
    <row r="8" spans="2:32" x14ac:dyDescent="0.3">
      <c r="B8" s="36" t="s">
        <v>45</v>
      </c>
      <c r="C8" s="37" t="s">
        <v>110</v>
      </c>
      <c r="D8" s="38" t="str">
        <f t="shared" si="0"/>
        <v>Electrical</v>
      </c>
      <c r="E8" s="38">
        <f>E7+1</f>
        <v>43871</v>
      </c>
      <c r="F8" s="39">
        <v>7</v>
      </c>
      <c r="G8" s="40">
        <f>IF(OR(ISBLANK(Tasks!$E8),ISBLANK(Tasks!$F8)),"",WORKDAY.INTL(Tasks!$E8,Tasks!$F8,7,Table4[Holidays]))</f>
        <v>43880</v>
      </c>
      <c r="H8" s="41">
        <f>Tasks!$G8-Tasks!$E8</f>
        <v>9</v>
      </c>
      <c r="I8" s="38">
        <v>43871</v>
      </c>
      <c r="J8" s="39">
        <v>7</v>
      </c>
      <c r="K8" s="40">
        <f>IF(OR(ISBLANK(Tasks!$I8),ISBLANK(Tasks!$J8)),"",WORKDAY.INTL(Tasks!$I8,Tasks!$J8,7,Table4[Holidays]))</f>
        <v>43880</v>
      </c>
      <c r="L8" s="41">
        <f>Tasks!$K8-Tasks!$I8</f>
        <v>9</v>
      </c>
      <c r="M8" s="42">
        <v>0.9</v>
      </c>
      <c r="N8" s="41">
        <f>Tasks!$M8*Tasks!$L8</f>
        <v>8.1</v>
      </c>
      <c r="O8" s="41">
        <f>$N$1-Tasks!$I8</f>
        <v>60</v>
      </c>
      <c r="P8" s="37" t="str">
        <f>IF(Tasks!$M8=1,"Done",IF(Tasks!$O8&gt;Tasks!$N8,"Delayed",IF(Tasks!$I8&gt;$N$1,"Not Started","In Progress")))</f>
        <v>Delayed</v>
      </c>
      <c r="Q8" s="37"/>
      <c r="R8" s="43">
        <v>2183</v>
      </c>
      <c r="S8" s="43">
        <v>2183</v>
      </c>
      <c r="T8" s="43">
        <f>Tasks!$S8*Tasks!$M8</f>
        <v>1964.7</v>
      </c>
      <c r="U8" s="37"/>
      <c r="V8" s="37">
        <f t="shared" si="1"/>
        <v>15</v>
      </c>
      <c r="W8" s="44">
        <f>$N$1</f>
        <v>43931</v>
      </c>
      <c r="X8">
        <f>IF($P8=list!$C$3,ROW(),1000)</f>
        <v>1000</v>
      </c>
      <c r="AE8" s="46" t="s">
        <v>106</v>
      </c>
      <c r="AF8" s="80" t="s">
        <v>130</v>
      </c>
    </row>
    <row r="9" spans="2:32" x14ac:dyDescent="0.3">
      <c r="B9" s="36" t="s">
        <v>46</v>
      </c>
      <c r="C9" s="37" t="s">
        <v>111</v>
      </c>
      <c r="D9" s="38" t="str">
        <f t="shared" si="0"/>
        <v>Civil</v>
      </c>
      <c r="E9" s="38">
        <f>E8+7</f>
        <v>43878</v>
      </c>
      <c r="F9" s="39">
        <v>13</v>
      </c>
      <c r="G9" s="40">
        <f>IF(OR(ISBLANK(Tasks!$E9),ISBLANK(Tasks!$F9)),"",WORKDAY.INTL(Tasks!$E9,Tasks!$F9,7,Table4[Holidays]))</f>
        <v>43895</v>
      </c>
      <c r="H9" s="41">
        <f>Tasks!$G9-Tasks!$E9</f>
        <v>17</v>
      </c>
      <c r="I9" s="38">
        <v>43878</v>
      </c>
      <c r="J9" s="39">
        <v>13</v>
      </c>
      <c r="K9" s="40">
        <f>IF(OR(ISBLANK(Tasks!$I9),ISBLANK(Tasks!$J9)),"",WORKDAY.INTL(Tasks!$I9,Tasks!$J9,7,Table4[Holidays]))</f>
        <v>43895</v>
      </c>
      <c r="L9" s="41">
        <f>Tasks!$K9-Tasks!$I9</f>
        <v>17</v>
      </c>
      <c r="M9" s="42">
        <v>1</v>
      </c>
      <c r="N9" s="41">
        <f>Tasks!$M9*Tasks!$L9</f>
        <v>17</v>
      </c>
      <c r="O9" s="41">
        <f>$N$1-Tasks!$I9</f>
        <v>53</v>
      </c>
      <c r="P9" s="37" t="str">
        <f>IF(Tasks!$M9=1,"Done",IF(Tasks!$O9&gt;Tasks!$N9,"Delayed",IF(Tasks!$I9&gt;$N$1,"Not Started","In Progress")))</f>
        <v>Done</v>
      </c>
      <c r="Q9" s="37"/>
      <c r="R9" s="43">
        <v>4662</v>
      </c>
      <c r="S9" s="43">
        <v>4662</v>
      </c>
      <c r="T9" s="43">
        <f>Tasks!$S9*Tasks!$M9</f>
        <v>4662</v>
      </c>
      <c r="U9" s="37"/>
      <c r="V9" s="37">
        <f t="shared" si="1"/>
        <v>14</v>
      </c>
      <c r="W9" s="44">
        <f>$N$1</f>
        <v>43931</v>
      </c>
      <c r="X9">
        <f>IF($P9=list!$C$3,ROW(),1000)</f>
        <v>1000</v>
      </c>
    </row>
    <row r="10" spans="2:32" x14ac:dyDescent="0.3">
      <c r="B10" s="36" t="s">
        <v>47</v>
      </c>
      <c r="C10" s="37" t="s">
        <v>107</v>
      </c>
      <c r="D10" s="38" t="str">
        <f t="shared" si="0"/>
        <v>Electrical</v>
      </c>
      <c r="E10" s="38">
        <f>E9+14</f>
        <v>43892</v>
      </c>
      <c r="F10" s="39">
        <v>9</v>
      </c>
      <c r="G10" s="40">
        <f>IF(OR(ISBLANK(Tasks!$E10),ISBLANK(Tasks!$F10)),"",WORKDAY.INTL(Tasks!$E10,Tasks!$F10,7,Table4[Holidays]))</f>
        <v>43905</v>
      </c>
      <c r="H10" s="41">
        <f>Tasks!$G10-Tasks!$E10</f>
        <v>13</v>
      </c>
      <c r="I10" s="38">
        <v>43893</v>
      </c>
      <c r="J10" s="39">
        <v>9</v>
      </c>
      <c r="K10" s="40">
        <f>IF(OR(ISBLANK(Tasks!$I10),ISBLANK(Tasks!$J10)),"",WORKDAY.INTL(Tasks!$I10,Tasks!$J10,7,Table4[Holidays]))</f>
        <v>43906</v>
      </c>
      <c r="L10" s="41">
        <f>Tasks!$K10-Tasks!$I10</f>
        <v>13</v>
      </c>
      <c r="M10" s="42">
        <v>1</v>
      </c>
      <c r="N10" s="41">
        <f>Tasks!$M10*Tasks!$L10</f>
        <v>13</v>
      </c>
      <c r="O10" s="41">
        <f>$N$1-Tasks!$I10</f>
        <v>38</v>
      </c>
      <c r="P10" s="37" t="str">
        <f>IF(Tasks!$M10=1,"Done",IF(Tasks!$O10&gt;Tasks!$N10,"Delayed",IF(Tasks!$I10&gt;$N$1,"Not Started","In Progress")))</f>
        <v>Done</v>
      </c>
      <c r="Q10" s="37"/>
      <c r="R10" s="43">
        <v>2010</v>
      </c>
      <c r="S10" s="43">
        <v>2010</v>
      </c>
      <c r="T10" s="43">
        <f>Tasks!$S10*Tasks!$M10</f>
        <v>2010</v>
      </c>
      <c r="U10" s="37"/>
      <c r="V10" s="37">
        <f t="shared" si="1"/>
        <v>13</v>
      </c>
      <c r="W10" s="44">
        <f>$N$1</f>
        <v>43931</v>
      </c>
      <c r="X10">
        <f>IF($P10=list!$C$3,ROW(),1000)</f>
        <v>1000</v>
      </c>
    </row>
    <row r="11" spans="2:32" x14ac:dyDescent="0.3">
      <c r="B11" s="36" t="s">
        <v>48</v>
      </c>
      <c r="C11" s="37" t="s">
        <v>106</v>
      </c>
      <c r="D11" s="38" t="str">
        <f t="shared" si="0"/>
        <v>Civil</v>
      </c>
      <c r="E11" s="38">
        <f>E10+5</f>
        <v>43897</v>
      </c>
      <c r="F11" s="39">
        <v>14</v>
      </c>
      <c r="G11" s="40">
        <f>IF(OR(ISBLANK(Tasks!$E11),ISBLANK(Tasks!$F11)),"",WORKDAY.INTL(Tasks!$E11,Tasks!$F11,7,Table4[Holidays]))</f>
        <v>43915</v>
      </c>
      <c r="H11" s="41">
        <f>Tasks!$G11-Tasks!$E11</f>
        <v>18</v>
      </c>
      <c r="I11" s="38">
        <v>43898</v>
      </c>
      <c r="J11" s="39">
        <v>14</v>
      </c>
      <c r="K11" s="40">
        <f>IF(OR(ISBLANK(Tasks!$I11),ISBLANK(Tasks!$J11)),"",WORKDAY.INTL(Tasks!$I11,Tasks!$J11,7,Table4[Holidays]))</f>
        <v>43916</v>
      </c>
      <c r="L11" s="41">
        <f>Tasks!$K11-Tasks!$I11</f>
        <v>18</v>
      </c>
      <c r="M11" s="42">
        <v>0.95</v>
      </c>
      <c r="N11" s="45">
        <f>Tasks!$M11*Tasks!$L11</f>
        <v>17.099999999999998</v>
      </c>
      <c r="O11" s="41">
        <f>$N$1-Tasks!$I11</f>
        <v>33</v>
      </c>
      <c r="P11" s="37" t="str">
        <f>IF(Tasks!$M11=1,"Done",IF(Tasks!$O11&gt;Tasks!$N11,"Delayed",IF(Tasks!$I11&gt;$N$1,"Not Started","In Progress")))</f>
        <v>Delayed</v>
      </c>
      <c r="Q11" s="37"/>
      <c r="R11" s="43"/>
      <c r="S11" s="43"/>
      <c r="T11" s="43">
        <f>Tasks!$S11*Tasks!$M11</f>
        <v>0</v>
      </c>
      <c r="U11" s="37"/>
      <c r="V11" s="37">
        <f t="shared" si="1"/>
        <v>12</v>
      </c>
      <c r="W11" s="44">
        <f>$N$1</f>
        <v>43931</v>
      </c>
      <c r="X11">
        <f>IF($P11=list!$C$3,ROW(),1000)</f>
        <v>1000</v>
      </c>
    </row>
    <row r="12" spans="2:32" x14ac:dyDescent="0.3">
      <c r="B12" s="36" t="s">
        <v>75</v>
      </c>
      <c r="C12" s="37" t="s">
        <v>107</v>
      </c>
      <c r="D12" s="38" t="str">
        <f t="shared" si="0"/>
        <v>Electrical</v>
      </c>
      <c r="E12" s="38">
        <f>E11+7</f>
        <v>43904</v>
      </c>
      <c r="F12" s="39">
        <v>13</v>
      </c>
      <c r="G12" s="40">
        <f>IF(OR(ISBLANK(Tasks!$E12),ISBLANK(Tasks!$F12)),"",WORKDAY.INTL(Tasks!$E12,Tasks!$F12,7,Table4[Holidays]))</f>
        <v>43921</v>
      </c>
      <c r="H12" s="41">
        <f>Tasks!$G12-Tasks!$E12</f>
        <v>17</v>
      </c>
      <c r="I12" s="38">
        <v>43905</v>
      </c>
      <c r="J12" s="39">
        <v>13</v>
      </c>
      <c r="K12" s="40">
        <f>IF(OR(ISBLANK(Tasks!$I12),ISBLANK(Tasks!$J12)),"",WORKDAY.INTL(Tasks!$I12,Tasks!$J12,7,Table4[Holidays]))</f>
        <v>43922</v>
      </c>
      <c r="L12" s="41">
        <f>Tasks!$K12-Tasks!$I12</f>
        <v>17</v>
      </c>
      <c r="M12" s="42">
        <v>0.9</v>
      </c>
      <c r="N12" s="45">
        <f>Tasks!$M12*Tasks!$L12</f>
        <v>15.3</v>
      </c>
      <c r="O12" s="41">
        <f>$N$1-Tasks!$I12</f>
        <v>26</v>
      </c>
      <c r="P12" s="37" t="str">
        <f>IF(Tasks!$M12=1,"Done",IF(Tasks!$O12&gt;Tasks!$N12,"Delayed",IF(Tasks!$I12&gt;$N$1,"Not Started","In Progress")))</f>
        <v>Delayed</v>
      </c>
      <c r="Q12" s="37"/>
      <c r="R12" s="43"/>
      <c r="S12" s="43"/>
      <c r="T12" s="43">
        <f>Tasks!$S12*Tasks!$M12</f>
        <v>0</v>
      </c>
      <c r="U12" s="37"/>
      <c r="V12" s="37">
        <f t="shared" si="1"/>
        <v>11</v>
      </c>
      <c r="W12" s="44">
        <f>$N$1</f>
        <v>43931</v>
      </c>
      <c r="X12">
        <f>IF($P12=list!$C$3,ROW(),1000)</f>
        <v>1000</v>
      </c>
    </row>
    <row r="13" spans="2:32" x14ac:dyDescent="0.3">
      <c r="B13" s="36" t="s">
        <v>76</v>
      </c>
      <c r="C13" s="37" t="s">
        <v>106</v>
      </c>
      <c r="D13" s="38" t="str">
        <f t="shared" si="0"/>
        <v>Civil</v>
      </c>
      <c r="E13" s="38">
        <f>E12+0</f>
        <v>43904</v>
      </c>
      <c r="F13" s="39">
        <v>29</v>
      </c>
      <c r="G13" s="40">
        <f>IF(OR(ISBLANK(Tasks!$E13),ISBLANK(Tasks!$F13)),"",WORKDAY.INTL(Tasks!$E13,Tasks!$F13,7,Table4[Holidays]))</f>
        <v>43943</v>
      </c>
      <c r="H13" s="41">
        <f>Tasks!$G13-Tasks!$E13</f>
        <v>39</v>
      </c>
      <c r="I13" s="38">
        <v>43905</v>
      </c>
      <c r="J13" s="39">
        <v>29</v>
      </c>
      <c r="K13" s="40">
        <f>IF(OR(ISBLANK(Tasks!$I13),ISBLANK(Tasks!$J13)),"",WORKDAY.INTL(Tasks!$I13,Tasks!$J13,7,Table4[Holidays]))</f>
        <v>43944</v>
      </c>
      <c r="L13" s="41">
        <f>Tasks!$K13-Tasks!$I13</f>
        <v>39</v>
      </c>
      <c r="M13" s="42">
        <v>0.9</v>
      </c>
      <c r="N13" s="45">
        <f>Tasks!$M13*Tasks!$L13</f>
        <v>35.1</v>
      </c>
      <c r="O13" s="41">
        <f>$N$1-Tasks!$I13</f>
        <v>26</v>
      </c>
      <c r="P13" s="37" t="str">
        <f>IF(Tasks!$M13=1,"Done",IF(Tasks!$O13&gt;Tasks!$N13,"Delayed",IF(Tasks!$I13&gt;$N$1,"Not Started","In Progress")))</f>
        <v>In Progress</v>
      </c>
      <c r="Q13" s="37"/>
      <c r="R13" s="43"/>
      <c r="S13" s="43"/>
      <c r="T13" s="43">
        <f>Tasks!$S13*Tasks!$M13</f>
        <v>0</v>
      </c>
      <c r="U13" s="37"/>
      <c r="V13" s="37">
        <f t="shared" si="1"/>
        <v>10</v>
      </c>
      <c r="W13" s="44">
        <f>$N$1</f>
        <v>43931</v>
      </c>
      <c r="X13">
        <f>IF($P13=list!$C$3,ROW(),1000)</f>
        <v>1000</v>
      </c>
    </row>
    <row r="14" spans="2:32" x14ac:dyDescent="0.3">
      <c r="B14" s="36" t="s">
        <v>77</v>
      </c>
      <c r="C14" s="37" t="s">
        <v>106</v>
      </c>
      <c r="D14" s="38" t="str">
        <f t="shared" si="0"/>
        <v>Civil</v>
      </c>
      <c r="E14" s="38">
        <f>E13+2</f>
        <v>43906</v>
      </c>
      <c r="F14" s="39">
        <v>30</v>
      </c>
      <c r="G14" s="40">
        <f>IF(OR(ISBLANK(Tasks!$E14),ISBLANK(Tasks!$F14)),"",WORKDAY.INTL(Tasks!$E14,Tasks!$F14,7,Table4[Holidays]))</f>
        <v>43948</v>
      </c>
      <c r="H14" s="41">
        <f>Tasks!$G14-Tasks!$E14</f>
        <v>42</v>
      </c>
      <c r="I14" s="38">
        <v>43907</v>
      </c>
      <c r="J14" s="39">
        <v>30</v>
      </c>
      <c r="K14" s="40">
        <f>IF(OR(ISBLANK(Tasks!$I14),ISBLANK(Tasks!$J14)),"",WORKDAY.INTL(Tasks!$I14,Tasks!$J14,7,Table4[Holidays]))</f>
        <v>43949</v>
      </c>
      <c r="L14" s="41">
        <f>Tasks!$K14-Tasks!$I14</f>
        <v>42</v>
      </c>
      <c r="M14" s="42">
        <v>0.7</v>
      </c>
      <c r="N14" s="45">
        <f>Tasks!$M14*Tasks!$L14</f>
        <v>29.4</v>
      </c>
      <c r="O14" s="41">
        <f>$N$1-Tasks!$I14</f>
        <v>24</v>
      </c>
      <c r="P14" s="37" t="str">
        <f>IF(Tasks!$M14=1,"Done",IF(Tasks!$O14&gt;Tasks!$N14,"Delayed",IF(Tasks!$I14&gt;$N$1,"Not Started","In Progress")))</f>
        <v>In Progress</v>
      </c>
      <c r="Q14" s="37"/>
      <c r="R14" s="43"/>
      <c r="S14" s="43"/>
      <c r="T14" s="43">
        <f>Tasks!$S14*Tasks!$M14</f>
        <v>0</v>
      </c>
      <c r="U14" s="37"/>
      <c r="V14" s="37">
        <f t="shared" si="1"/>
        <v>9</v>
      </c>
      <c r="W14" s="44">
        <f>$N$1</f>
        <v>43931</v>
      </c>
      <c r="X14">
        <f>IF($P14=list!$C$3,ROW(),1000)</f>
        <v>1000</v>
      </c>
    </row>
    <row r="15" spans="2:32" x14ac:dyDescent="0.3">
      <c r="B15" s="36" t="s">
        <v>78</v>
      </c>
      <c r="C15" s="37" t="s">
        <v>109</v>
      </c>
      <c r="D15" s="38" t="str">
        <f t="shared" si="0"/>
        <v>Acrhitict</v>
      </c>
      <c r="E15" s="38">
        <f>E14+15</f>
        <v>43921</v>
      </c>
      <c r="F15" s="39">
        <v>13</v>
      </c>
      <c r="G15" s="40">
        <f>IF(OR(ISBLANK(Tasks!$E15),ISBLANK(Tasks!$F15)),"",WORKDAY.INTL(Tasks!$E15,Tasks!$F15,7,Table4[Holidays]))</f>
        <v>43940</v>
      </c>
      <c r="H15" s="41">
        <f>Tasks!$G15-Tasks!$E15</f>
        <v>19</v>
      </c>
      <c r="I15" s="38">
        <v>43922</v>
      </c>
      <c r="J15" s="39">
        <v>13</v>
      </c>
      <c r="K15" s="40">
        <f>IF(OR(ISBLANK(Tasks!$I15),ISBLANK(Tasks!$J15)),"",WORKDAY.INTL(Tasks!$I15,Tasks!$J15,7,Table4[Holidays]))</f>
        <v>43941</v>
      </c>
      <c r="L15" s="41">
        <f>Tasks!$K15-Tasks!$I15</f>
        <v>19</v>
      </c>
      <c r="M15" s="42">
        <v>0.9</v>
      </c>
      <c r="N15" s="45">
        <f>Tasks!$M15*Tasks!$L15</f>
        <v>17.100000000000001</v>
      </c>
      <c r="O15" s="41">
        <f>$N$1-Tasks!$I15</f>
        <v>9</v>
      </c>
      <c r="P15" s="37" t="str">
        <f>IF(Tasks!$M15=1,"Done",IF(Tasks!$O15&gt;Tasks!$N15,"Delayed",IF(Tasks!$I15&gt;$N$1,"Not Started","In Progress")))</f>
        <v>In Progress</v>
      </c>
      <c r="Q15" s="37"/>
      <c r="R15" s="43"/>
      <c r="S15" s="43"/>
      <c r="T15" s="43">
        <f>Tasks!$S15*Tasks!$M15</f>
        <v>0</v>
      </c>
      <c r="U15" s="37"/>
      <c r="V15" s="37">
        <f t="shared" si="1"/>
        <v>8</v>
      </c>
      <c r="W15" s="44">
        <f>$N$1</f>
        <v>43931</v>
      </c>
      <c r="X15">
        <f>IF($P15=list!$C$3,ROW(),1000)</f>
        <v>1000</v>
      </c>
    </row>
    <row r="16" spans="2:32" x14ac:dyDescent="0.3">
      <c r="B16" s="36" t="s">
        <v>79</v>
      </c>
      <c r="C16" s="37" t="s">
        <v>111</v>
      </c>
      <c r="D16" s="38" t="str">
        <f t="shared" si="0"/>
        <v>Civil</v>
      </c>
      <c r="E16" s="38">
        <f>E15+13</f>
        <v>43934</v>
      </c>
      <c r="F16" s="39">
        <v>26</v>
      </c>
      <c r="G16" s="40">
        <f>IF(OR(ISBLANK(Tasks!$E16),ISBLANK(Tasks!$F16)),"",WORKDAY.INTL(Tasks!$E16,Tasks!$F16,7,Table4[Holidays]))</f>
        <v>43970</v>
      </c>
      <c r="H16" s="41">
        <f>Tasks!$G16-Tasks!$E16</f>
        <v>36</v>
      </c>
      <c r="I16" s="38">
        <v>43935</v>
      </c>
      <c r="J16" s="39">
        <v>26</v>
      </c>
      <c r="K16" s="40">
        <f>IF(OR(ISBLANK(Tasks!$I16),ISBLANK(Tasks!$J16)),"",WORKDAY.INTL(Tasks!$I16,Tasks!$J16,7,Table4[Holidays]))</f>
        <v>43971</v>
      </c>
      <c r="L16" s="41">
        <f>Tasks!$K16-Tasks!$I16</f>
        <v>36</v>
      </c>
      <c r="M16" s="42">
        <v>0.1</v>
      </c>
      <c r="N16" s="45">
        <f>Tasks!$M16*Tasks!$L16</f>
        <v>3.6</v>
      </c>
      <c r="O16" s="41">
        <f>$N$1-Tasks!$I16</f>
        <v>-4</v>
      </c>
      <c r="P16" s="37" t="str">
        <f>IF(Tasks!$M16=1,"Done",IF(Tasks!$O16&gt;Tasks!$N16,"Delayed",IF(Tasks!$I16&gt;$N$1,"Not Started","In Progress")))</f>
        <v>Not Started</v>
      </c>
      <c r="Q16" s="37"/>
      <c r="R16" s="43"/>
      <c r="S16" s="43"/>
      <c r="T16" s="43">
        <f>Tasks!$S16*Tasks!$M16</f>
        <v>0</v>
      </c>
      <c r="U16" s="37"/>
      <c r="V16" s="37">
        <f t="shared" si="1"/>
        <v>7</v>
      </c>
      <c r="W16" s="44">
        <f>$N$1</f>
        <v>43931</v>
      </c>
      <c r="X16">
        <f>IF($P16=list!$C$3,ROW(),1000)</f>
        <v>16</v>
      </c>
    </row>
    <row r="17" spans="2:24" x14ac:dyDescent="0.3">
      <c r="B17" s="36" t="s">
        <v>80</v>
      </c>
      <c r="C17" s="37" t="s">
        <v>106</v>
      </c>
      <c r="D17" s="38" t="str">
        <f t="shared" si="0"/>
        <v>Civil</v>
      </c>
      <c r="E17" s="38">
        <f>E16+5</f>
        <v>43939</v>
      </c>
      <c r="F17" s="39">
        <v>24</v>
      </c>
      <c r="G17" s="40">
        <f>IF(OR(ISBLANK(Tasks!$E17),ISBLANK(Tasks!$F17)),"",WORKDAY.INTL(Tasks!$E17,Tasks!$F17,7,Table4[Holidays]))</f>
        <v>43971</v>
      </c>
      <c r="H17" s="41">
        <f>Tasks!$G17-Tasks!$E17</f>
        <v>32</v>
      </c>
      <c r="I17" s="38">
        <v>43940</v>
      </c>
      <c r="J17" s="39">
        <v>24</v>
      </c>
      <c r="K17" s="40">
        <f>IF(OR(ISBLANK(Tasks!$I17),ISBLANK(Tasks!$J17)),"",WORKDAY.INTL(Tasks!$I17,Tasks!$J17,7,Table4[Holidays]))</f>
        <v>43972</v>
      </c>
      <c r="L17" s="41">
        <f>Tasks!$K17-Tasks!$I17</f>
        <v>32</v>
      </c>
      <c r="M17" s="42">
        <v>0</v>
      </c>
      <c r="N17" s="45">
        <f>Tasks!$M17*Tasks!$L17</f>
        <v>0</v>
      </c>
      <c r="O17" s="41">
        <f>$N$1-Tasks!$I17</f>
        <v>-9</v>
      </c>
      <c r="P17" s="37" t="str">
        <f>IF(Tasks!$M17=1,"Done",IF(Tasks!$O17&gt;Tasks!$N17,"Delayed",IF(Tasks!$I17&gt;$N$1,"Not Started","In Progress")))</f>
        <v>Not Started</v>
      </c>
      <c r="Q17" s="37"/>
      <c r="R17" s="43"/>
      <c r="S17" s="43"/>
      <c r="T17" s="43">
        <f>Tasks!$S17*Tasks!$M17</f>
        <v>0</v>
      </c>
      <c r="U17" s="37"/>
      <c r="V17" s="37">
        <f t="shared" si="1"/>
        <v>6</v>
      </c>
      <c r="W17" s="44">
        <f>$N$1</f>
        <v>43931</v>
      </c>
      <c r="X17">
        <f>IF($P17=list!$C$3,ROW(),1000)</f>
        <v>17</v>
      </c>
    </row>
    <row r="18" spans="2:24" x14ac:dyDescent="0.3">
      <c r="B18" s="36" t="s">
        <v>81</v>
      </c>
      <c r="C18" s="37" t="s">
        <v>111</v>
      </c>
      <c r="D18" s="38" t="str">
        <f t="shared" si="0"/>
        <v>Civil</v>
      </c>
      <c r="E18" s="38">
        <f>E17+15</f>
        <v>43954</v>
      </c>
      <c r="F18" s="39">
        <v>24</v>
      </c>
      <c r="G18" s="40">
        <f>IF(OR(ISBLANK(Tasks!$E18),ISBLANK(Tasks!$F18)),"",WORKDAY.INTL(Tasks!$E18,Tasks!$F18,7,Table4[Holidays]))</f>
        <v>43986</v>
      </c>
      <c r="H18" s="41">
        <f>Tasks!$G18-Tasks!$E18</f>
        <v>32</v>
      </c>
      <c r="I18" s="38">
        <v>43955</v>
      </c>
      <c r="J18" s="39">
        <v>24</v>
      </c>
      <c r="K18" s="40">
        <f>IF(OR(ISBLANK(Tasks!$I18),ISBLANK(Tasks!$J18)),"",WORKDAY.INTL(Tasks!$I18,Tasks!$J18,7,Table4[Holidays]))</f>
        <v>43989</v>
      </c>
      <c r="L18" s="41">
        <f>Tasks!$K18-Tasks!$I18</f>
        <v>34</v>
      </c>
      <c r="M18" s="42">
        <v>0</v>
      </c>
      <c r="N18" s="45">
        <f>Tasks!$M18*Tasks!$L18</f>
        <v>0</v>
      </c>
      <c r="O18" s="41">
        <f>$N$1-Tasks!$I18</f>
        <v>-24</v>
      </c>
      <c r="P18" s="37" t="str">
        <f>IF(Tasks!$M18=1,"Done",IF(Tasks!$O18&gt;Tasks!$N18,"Delayed",IF(Tasks!$I18&gt;$N$1,"Not Started","In Progress")))</f>
        <v>Not Started</v>
      </c>
      <c r="Q18" s="37"/>
      <c r="R18" s="43"/>
      <c r="S18" s="43"/>
      <c r="T18" s="43">
        <f>Tasks!$S18*Tasks!$M18</f>
        <v>0</v>
      </c>
      <c r="U18" s="37"/>
      <c r="V18" s="37">
        <f t="shared" si="1"/>
        <v>5</v>
      </c>
      <c r="W18" s="44">
        <f>$N$1</f>
        <v>43931</v>
      </c>
      <c r="X18">
        <f>IF($P18=list!$C$3,ROW(),1000)</f>
        <v>18</v>
      </c>
    </row>
    <row r="19" spans="2:24" x14ac:dyDescent="0.3">
      <c r="B19" s="36" t="s">
        <v>82</v>
      </c>
      <c r="C19" s="37" t="s">
        <v>108</v>
      </c>
      <c r="D19" s="38" t="str">
        <f t="shared" si="0"/>
        <v>Acrhitict</v>
      </c>
      <c r="E19" s="38">
        <f>E18+24</f>
        <v>43978</v>
      </c>
      <c r="F19" s="39">
        <v>19</v>
      </c>
      <c r="G19" s="40">
        <f>IF(OR(ISBLANK(Tasks!$E19),ISBLANK(Tasks!$F19)),"",WORKDAY.INTL(Tasks!$E19,Tasks!$F19,7,Table4[Holidays]))</f>
        <v>44005</v>
      </c>
      <c r="H19" s="41">
        <f>Tasks!$G19-Tasks!$E19</f>
        <v>27</v>
      </c>
      <c r="I19" s="38">
        <v>43979</v>
      </c>
      <c r="J19" s="39">
        <v>19</v>
      </c>
      <c r="K19" s="40">
        <f>IF(OR(ISBLANK(Tasks!$I19),ISBLANK(Tasks!$J19)),"",WORKDAY.INTL(Tasks!$I19,Tasks!$J19,7,Table4[Holidays]))</f>
        <v>44006</v>
      </c>
      <c r="L19" s="41">
        <f>Tasks!$K19-Tasks!$I19</f>
        <v>27</v>
      </c>
      <c r="M19" s="42">
        <v>0</v>
      </c>
      <c r="N19" s="45">
        <f>Tasks!$M19*Tasks!$L19</f>
        <v>0</v>
      </c>
      <c r="O19" s="41">
        <f>$N$1-Tasks!$I19</f>
        <v>-48</v>
      </c>
      <c r="P19" s="37" t="str">
        <f>IF(Tasks!$M19=1,"Done",IF(Tasks!$O19&gt;Tasks!$N19,"Delayed",IF(Tasks!$I19&gt;$N$1,"Not Started","In Progress")))</f>
        <v>Not Started</v>
      </c>
      <c r="Q19" s="37"/>
      <c r="R19" s="43"/>
      <c r="S19" s="43"/>
      <c r="T19" s="43">
        <f>Tasks!$S19*Tasks!$M19</f>
        <v>0</v>
      </c>
      <c r="U19" s="37"/>
      <c r="V19" s="37">
        <f t="shared" si="1"/>
        <v>4</v>
      </c>
      <c r="W19" s="44">
        <f>$N$1</f>
        <v>43931</v>
      </c>
      <c r="X19">
        <f>IF($P19=list!$C$3,ROW(),1000)</f>
        <v>19</v>
      </c>
    </row>
    <row r="20" spans="2:24" x14ac:dyDescent="0.3">
      <c r="B20" s="36" t="s">
        <v>83</v>
      </c>
      <c r="C20" s="37" t="s">
        <v>111</v>
      </c>
      <c r="D20" s="38" t="str">
        <f t="shared" si="0"/>
        <v>Civil</v>
      </c>
      <c r="E20" s="38">
        <f>E19+15</f>
        <v>43993</v>
      </c>
      <c r="F20" s="39">
        <v>13</v>
      </c>
      <c r="G20" s="40">
        <f>IF(OR(ISBLANK(Tasks!$E20),ISBLANK(Tasks!$F20)),"",WORKDAY.INTL(Tasks!$E20,Tasks!$F20,7,Table4[Holidays]))</f>
        <v>44012</v>
      </c>
      <c r="H20" s="41">
        <f>Tasks!$G20-Tasks!$E20</f>
        <v>19</v>
      </c>
      <c r="I20" s="38">
        <v>43994</v>
      </c>
      <c r="J20" s="39">
        <v>13</v>
      </c>
      <c r="K20" s="40">
        <f>IF(OR(ISBLANK(Tasks!$I20),ISBLANK(Tasks!$J20)),"",WORKDAY.INTL(Tasks!$I20,Tasks!$J20,7,Table4[Holidays]))</f>
        <v>44012</v>
      </c>
      <c r="L20" s="41">
        <f>Tasks!$K20-Tasks!$I20</f>
        <v>18</v>
      </c>
      <c r="M20" s="42">
        <v>0</v>
      </c>
      <c r="N20" s="45">
        <f>Tasks!$M20*Tasks!$L20</f>
        <v>0</v>
      </c>
      <c r="O20" s="41">
        <f>$N$1-Tasks!$I20</f>
        <v>-63</v>
      </c>
      <c r="P20" s="37" t="str">
        <f>IF(Tasks!$M20=1,"Done",IF(Tasks!$O20&gt;Tasks!$N20,"Delayed",IF(Tasks!$I20&gt;$N$1,"Not Started","In Progress")))</f>
        <v>Not Started</v>
      </c>
      <c r="Q20" s="37"/>
      <c r="R20" s="43"/>
      <c r="S20" s="43"/>
      <c r="T20" s="43">
        <f>Tasks!$S20*Tasks!$M20</f>
        <v>0</v>
      </c>
      <c r="U20" s="37"/>
      <c r="V20" s="37">
        <f t="shared" si="1"/>
        <v>3</v>
      </c>
      <c r="W20" s="44">
        <f>$N$1</f>
        <v>43931</v>
      </c>
      <c r="X20">
        <f>IF($P20=list!$C$3,ROW(),1000)</f>
        <v>20</v>
      </c>
    </row>
    <row r="21" spans="2:24" x14ac:dyDescent="0.3">
      <c r="B21" s="36" t="s">
        <v>84</v>
      </c>
      <c r="C21" s="37" t="s">
        <v>108</v>
      </c>
      <c r="D21" s="38" t="str">
        <f t="shared" si="0"/>
        <v>Acrhitict</v>
      </c>
      <c r="E21" s="38">
        <f>E20+2</f>
        <v>43995</v>
      </c>
      <c r="F21" s="39">
        <v>14</v>
      </c>
      <c r="G21" s="40">
        <f>IF(OR(ISBLANK(Tasks!$E21),ISBLANK(Tasks!$F21)),"",WORKDAY.INTL(Tasks!$E21,Tasks!$F21,7,Table4[Holidays]))</f>
        <v>44013</v>
      </c>
      <c r="H21" s="41">
        <f>Tasks!$G21-Tasks!$E21</f>
        <v>18</v>
      </c>
      <c r="I21" s="38">
        <v>43996</v>
      </c>
      <c r="J21" s="39">
        <v>14</v>
      </c>
      <c r="K21" s="40">
        <f>IF(OR(ISBLANK(Tasks!$I21),ISBLANK(Tasks!$J21)),"",WORKDAY.INTL(Tasks!$I21,Tasks!$J21,7,Table4[Holidays]))</f>
        <v>44014</v>
      </c>
      <c r="L21" s="41">
        <f>Tasks!$K21-Tasks!$I21</f>
        <v>18</v>
      </c>
      <c r="M21" s="42">
        <v>0</v>
      </c>
      <c r="N21" s="45">
        <f>Tasks!$M21*Tasks!$L21</f>
        <v>0</v>
      </c>
      <c r="O21" s="41">
        <f>$N$1-Tasks!$I21</f>
        <v>-65</v>
      </c>
      <c r="P21" s="37" t="str">
        <f>IF(Tasks!$M21=1,"Done",IF(Tasks!$O21&gt;Tasks!$N21,"Delayed",IF(Tasks!$I21&gt;$N$1,"Not Started","In Progress")))</f>
        <v>Not Started</v>
      </c>
      <c r="Q21" s="37"/>
      <c r="R21" s="43"/>
      <c r="S21" s="43"/>
      <c r="T21" s="43">
        <f>Tasks!$S21*Tasks!$M21</f>
        <v>0</v>
      </c>
      <c r="U21" s="37"/>
      <c r="V21" s="37">
        <f t="shared" si="1"/>
        <v>2</v>
      </c>
      <c r="W21" s="44">
        <f>$N$1</f>
        <v>43931</v>
      </c>
      <c r="X21">
        <f>IF($P21=list!$C$3,ROW(),1000)</f>
        <v>21</v>
      </c>
    </row>
    <row r="22" spans="2:24" x14ac:dyDescent="0.3">
      <c r="B22" s="36" t="s">
        <v>85</v>
      </c>
      <c r="C22" s="37" t="s">
        <v>107</v>
      </c>
      <c r="D22" s="38" t="str">
        <f t="shared" si="0"/>
        <v>Electrical</v>
      </c>
      <c r="E22" s="38">
        <f>E21+3</f>
        <v>43998</v>
      </c>
      <c r="F22" s="39">
        <v>22</v>
      </c>
      <c r="G22" s="40">
        <f>IF(OR(ISBLANK(Tasks!$E22),ISBLANK(Tasks!$F22)),"",WORKDAY.INTL(Tasks!$E22,Tasks!$F22,7,Table4[Holidays]))</f>
        <v>44028</v>
      </c>
      <c r="H22" s="41">
        <f>Tasks!$G22-Tasks!$E22</f>
        <v>30</v>
      </c>
      <c r="I22" s="38">
        <v>43999</v>
      </c>
      <c r="J22" s="39">
        <v>22</v>
      </c>
      <c r="K22" s="40">
        <f>IF(OR(ISBLANK(Tasks!$I22),ISBLANK(Tasks!$J22)),"",WORKDAY.INTL(Tasks!$I22,Tasks!$J22,7,Table4[Holidays]))</f>
        <v>44031</v>
      </c>
      <c r="L22" s="41">
        <f>Tasks!$K22-Tasks!$I22</f>
        <v>32</v>
      </c>
      <c r="M22" s="42">
        <v>0</v>
      </c>
      <c r="N22" s="45">
        <f>Tasks!$M22*Tasks!$L22</f>
        <v>0</v>
      </c>
      <c r="O22" s="41">
        <f>$N$1-Tasks!$I22</f>
        <v>-68</v>
      </c>
      <c r="P22" s="37" t="str">
        <f>IF(Tasks!$M22=1,"Done",IF(Tasks!$O22&gt;Tasks!$N22,"Delayed",IF(Tasks!$I22&gt;$N$1,"Not Started","In Progress")))</f>
        <v>Not Started</v>
      </c>
      <c r="Q22" s="37"/>
      <c r="R22" s="43"/>
      <c r="S22" s="43"/>
      <c r="T22" s="43">
        <f>Tasks!$S22*Tasks!$M22</f>
        <v>0</v>
      </c>
      <c r="U22" s="37"/>
      <c r="V22" s="37">
        <f>V23+1</f>
        <v>1</v>
      </c>
      <c r="W22" s="44">
        <f>$N$1</f>
        <v>43931</v>
      </c>
      <c r="X22">
        <f>IF($P22=list!$C$3,ROW(),1000)</f>
        <v>22</v>
      </c>
    </row>
    <row r="23" spans="2:24" x14ac:dyDescent="0.3">
      <c r="B23" s="46" t="s">
        <v>86</v>
      </c>
      <c r="C23" s="47" t="s">
        <v>107</v>
      </c>
      <c r="D23" s="47" t="str">
        <f t="shared" si="0"/>
        <v>Electrical</v>
      </c>
      <c r="E23" s="48">
        <f>E22+5</f>
        <v>44003</v>
      </c>
      <c r="F23" s="49">
        <v>6</v>
      </c>
      <c r="G23" s="50">
        <f>IF(OR(ISBLANK(Tasks!$E23),ISBLANK(Tasks!$F23)),"",WORKDAY.INTL(Tasks!$E23,Tasks!$F23,7,Table4[Holidays]))</f>
        <v>44011</v>
      </c>
      <c r="H23" s="51">
        <f>Tasks!$G23-Tasks!$E23</f>
        <v>8</v>
      </c>
      <c r="I23" s="48">
        <v>44004</v>
      </c>
      <c r="J23" s="49">
        <v>6</v>
      </c>
      <c r="K23" s="50">
        <f>IF(OR(ISBLANK(Tasks!$I23),ISBLANK(Tasks!$J23)),"",WORKDAY.INTL(Tasks!$I23,Tasks!$J23,7,Table4[Holidays]))</f>
        <v>44012</v>
      </c>
      <c r="L23" s="51">
        <f>Tasks!$K23-Tasks!$I23</f>
        <v>8</v>
      </c>
      <c r="M23" s="52">
        <v>0</v>
      </c>
      <c r="N23" s="51">
        <f>Tasks!$M23*Tasks!$L23</f>
        <v>0</v>
      </c>
      <c r="O23" s="51">
        <f>$N$1-Tasks!$I23</f>
        <v>-73</v>
      </c>
      <c r="P23" s="47" t="str">
        <f>IF(Tasks!$M23=1,"Done",IF(Tasks!$O23&gt;Tasks!$N23,"Delayed",IF(Tasks!$I23&gt;$N$1,"Not Started","In Progress")))</f>
        <v>Not Started</v>
      </c>
      <c r="Q23" s="47"/>
      <c r="R23" s="53">
        <v>3213</v>
      </c>
      <c r="S23" s="53">
        <v>3213</v>
      </c>
      <c r="T23" s="53">
        <f>Tasks!$S23*Tasks!$M23</f>
        <v>0</v>
      </c>
      <c r="U23" s="47"/>
      <c r="V23" s="47">
        <v>0</v>
      </c>
      <c r="W23" s="54">
        <f>$N$1</f>
        <v>43931</v>
      </c>
      <c r="X23">
        <f>IF($P23=list!$C$3,ROW(),1000)</f>
        <v>23</v>
      </c>
    </row>
    <row r="24" spans="2:24" x14ac:dyDescent="0.3">
      <c r="M24" s="63">
        <f>AVERAGE(M3:M23)</f>
        <v>0.5714285714285714</v>
      </c>
    </row>
  </sheetData>
  <phoneticPr fontId="1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Scroll Bar 1">
              <controlPr defaultSize="0" autoPict="0">
                <anchor moveWithCells="1">
                  <from>
                    <xdr:col>13</xdr:col>
                    <xdr:colOff>845820</xdr:colOff>
                    <xdr:row>0</xdr:row>
                    <xdr:rowOff>15240</xdr:rowOff>
                  </from>
                  <to>
                    <xdr:col>14</xdr:col>
                    <xdr:colOff>274320</xdr:colOff>
                    <xdr:row>0</xdr:row>
                    <xdr:rowOff>563880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2959-3A9C-4D05-9C2C-C33E06202CAB}">
  <dimension ref="A1:Q23"/>
  <sheetViews>
    <sheetView showGridLines="0" workbookViewId="0">
      <selection activeCell="G7" sqref="G7"/>
    </sheetView>
  </sheetViews>
  <sheetFormatPr defaultColWidth="14.77734375" defaultRowHeight="14.4" x14ac:dyDescent="0.3"/>
  <cols>
    <col min="1" max="1" width="10.5546875" bestFit="1" customWidth="1"/>
    <col min="2" max="2" width="10.88671875" bestFit="1" customWidth="1"/>
    <col min="3" max="3" width="14.44140625" bestFit="1" customWidth="1"/>
    <col min="4" max="4" width="14.21875" bestFit="1" customWidth="1"/>
    <col min="5" max="6" width="11.44140625" bestFit="1" customWidth="1"/>
    <col min="7" max="7" width="12" bestFit="1" customWidth="1"/>
    <col min="8" max="10" width="11.44140625" bestFit="1" customWidth="1"/>
    <col min="20" max="20" width="9.88671875" bestFit="1" customWidth="1"/>
  </cols>
  <sheetData>
    <row r="1" spans="1:17" x14ac:dyDescent="0.3">
      <c r="A1" t="s">
        <v>63</v>
      </c>
      <c r="B1" s="8" t="b">
        <v>1</v>
      </c>
      <c r="C1" s="9"/>
      <c r="D1" s="9" t="s">
        <v>114</v>
      </c>
      <c r="E1" s="10">
        <f>G4</f>
        <v>43922</v>
      </c>
      <c r="F1" s="9"/>
      <c r="G1" s="7" t="s">
        <v>113</v>
      </c>
      <c r="H1" s="9">
        <f>INDEX(D8:J8,MATCH($E$1,$D$4:$J$4,0))</f>
        <v>2085000</v>
      </c>
      <c r="I1" s="9"/>
      <c r="J1" s="9"/>
    </row>
    <row r="2" spans="1:17" x14ac:dyDescent="0.3">
      <c r="A2" t="s">
        <v>64</v>
      </c>
      <c r="B2" s="8" t="b">
        <v>1</v>
      </c>
      <c r="G2" s="7" t="s">
        <v>116</v>
      </c>
      <c r="H2" s="9">
        <f>INDEX(D9:J9,MATCH(E1,D4:J4,0))</f>
        <v>1855000</v>
      </c>
    </row>
    <row r="3" spans="1:17" x14ac:dyDescent="0.3">
      <c r="B3" s="8"/>
      <c r="H3" s="9"/>
    </row>
    <row r="4" spans="1:17" x14ac:dyDescent="0.3">
      <c r="A4" s="6" t="s">
        <v>72</v>
      </c>
      <c r="B4" s="7" t="s">
        <v>70</v>
      </c>
      <c r="C4" s="7" t="s">
        <v>62</v>
      </c>
      <c r="D4" s="10">
        <v>43831</v>
      </c>
      <c r="E4" s="10">
        <v>43862</v>
      </c>
      <c r="F4" s="10">
        <v>43891</v>
      </c>
      <c r="G4" s="10">
        <v>43922</v>
      </c>
      <c r="H4" s="10">
        <v>43952</v>
      </c>
      <c r="I4" s="10">
        <v>43983</v>
      </c>
      <c r="J4" s="10">
        <v>44013</v>
      </c>
    </row>
    <row r="5" spans="1:17" x14ac:dyDescent="0.3">
      <c r="A5" s="87" t="str">
        <f>list!H4</f>
        <v>Total</v>
      </c>
      <c r="B5" s="58" t="s">
        <v>63</v>
      </c>
      <c r="C5" s="59">
        <f>SUMIFS(C$10:C$20,$A$10:$A$20,$A5,$B$10:$B$20,$B$5)</f>
        <v>2900000</v>
      </c>
      <c r="D5" s="59">
        <f>IF($B1,SUMIFS(D$10:D$20,$A$10:$A$20,$A$5,$B$10:$B$20,$B$5),NA())</f>
        <v>620000</v>
      </c>
      <c r="E5" s="59">
        <f t="shared" ref="E5:J5" si="0">D5+IF($B1,SUMIFS(E$10:E$20,$A$10:$A$20,$A$5,$B$10:$B$20,$B$5),NA())</f>
        <v>1160000</v>
      </c>
      <c r="F5" s="59">
        <f t="shared" si="0"/>
        <v>1660000</v>
      </c>
      <c r="G5" s="59">
        <f t="shared" si="0"/>
        <v>2085000</v>
      </c>
      <c r="H5" s="59">
        <f t="shared" si="0"/>
        <v>2430000</v>
      </c>
      <c r="I5" s="59">
        <f t="shared" si="0"/>
        <v>2685000</v>
      </c>
      <c r="J5" s="59">
        <f t="shared" si="0"/>
        <v>2900000</v>
      </c>
    </row>
    <row r="6" spans="1:17" x14ac:dyDescent="0.3">
      <c r="A6" s="88"/>
      <c r="B6" s="58" t="s">
        <v>64</v>
      </c>
      <c r="C6" s="59">
        <f>SUMIFS(C$10:C$20,$A$10:$A$20,$A$5,$B$10:$B$20,$B6)</f>
        <v>0</v>
      </c>
      <c r="D6" s="59">
        <f>IF($B2, SUMIFS(D$10:D$20, $A$10:$A$20, $A$5, $B$10:$B$20, $B$6), NA())</f>
        <v>640000</v>
      </c>
      <c r="E6" s="59">
        <f>D6+IF($B2, SUMIFS(E$10:E$20, $A$10:$A$20, $A$5, $B$10:$B$20, $B$6), NA())</f>
        <v>1165000</v>
      </c>
      <c r="F6" s="59">
        <f>E6+IF($B2, SUMIFS(F$10:F$20, $A$10:$A$20, $A$5, $B$10:$B$20, $B$6), NA())</f>
        <v>1690000</v>
      </c>
      <c r="G6" s="59">
        <f>F6+IF($B2, SUMIFS(G$10:G$20, $A$10:$A$20, $A$5, $B$10:$B$20, $B$6), NA())</f>
        <v>1855000</v>
      </c>
      <c r="H6" s="82" t="e">
        <f>NA()</f>
        <v>#N/A</v>
      </c>
      <c r="I6" s="82" t="e">
        <f>NA()</f>
        <v>#N/A</v>
      </c>
      <c r="J6" s="82" t="e">
        <f>NA()</f>
        <v>#N/A</v>
      </c>
      <c r="K6" s="81"/>
      <c r="L6" s="81"/>
      <c r="M6" s="81"/>
      <c r="N6" s="81"/>
      <c r="O6" s="81"/>
      <c r="P6" s="81"/>
      <c r="Q6" s="81"/>
    </row>
    <row r="7" spans="1:17" x14ac:dyDescent="0.3">
      <c r="A7" s="8"/>
      <c r="B7" s="8"/>
      <c r="C7" s="9"/>
      <c r="D7" s="9"/>
      <c r="E7" s="9"/>
      <c r="F7" s="9"/>
      <c r="G7" s="9"/>
      <c r="H7" s="9"/>
      <c r="I7" s="9"/>
      <c r="J7" s="9"/>
    </row>
    <row r="8" spans="1:17" x14ac:dyDescent="0.3">
      <c r="A8" s="61" t="s">
        <v>115</v>
      </c>
      <c r="B8" s="61" t="s">
        <v>63</v>
      </c>
      <c r="C8" s="62">
        <f>C10</f>
        <v>2900000</v>
      </c>
      <c r="D8" s="62">
        <f>D10</f>
        <v>620000</v>
      </c>
      <c r="E8" s="62">
        <f t="shared" ref="E8:J8" si="1">E10+D8</f>
        <v>1160000</v>
      </c>
      <c r="F8" s="62">
        <f t="shared" si="1"/>
        <v>1660000</v>
      </c>
      <c r="G8" s="62">
        <f t="shared" si="1"/>
        <v>2085000</v>
      </c>
      <c r="H8" s="62">
        <f t="shared" si="1"/>
        <v>2430000</v>
      </c>
      <c r="I8" s="62">
        <f t="shared" si="1"/>
        <v>2685000</v>
      </c>
      <c r="J8" s="62">
        <f t="shared" si="1"/>
        <v>2900000</v>
      </c>
    </row>
    <row r="9" spans="1:17" x14ac:dyDescent="0.3">
      <c r="A9" s="61" t="s">
        <v>115</v>
      </c>
      <c r="B9" s="61" t="s">
        <v>64</v>
      </c>
      <c r="C9" s="62">
        <f>C11</f>
        <v>0</v>
      </c>
      <c r="D9" s="62">
        <f>D11</f>
        <v>640000</v>
      </c>
      <c r="E9" s="62">
        <f>E11+D9</f>
        <v>1165000</v>
      </c>
      <c r="F9" s="62">
        <f t="shared" ref="F9:J9" si="2">F11+E9</f>
        <v>1690000</v>
      </c>
      <c r="G9" s="62">
        <f t="shared" si="2"/>
        <v>1855000</v>
      </c>
      <c r="H9" s="62">
        <f t="shared" si="2"/>
        <v>1855000</v>
      </c>
      <c r="I9" s="62">
        <f t="shared" si="2"/>
        <v>1855000</v>
      </c>
      <c r="J9" s="62">
        <f t="shared" si="2"/>
        <v>1855000</v>
      </c>
    </row>
    <row r="10" spans="1:17" x14ac:dyDescent="0.3">
      <c r="A10" s="58" t="s">
        <v>73</v>
      </c>
      <c r="B10" s="58" t="s">
        <v>63</v>
      </c>
      <c r="C10" s="59">
        <f>C13+C15+C17+C19</f>
        <v>2900000</v>
      </c>
      <c r="D10" s="59">
        <f t="shared" ref="D10:J11" si="3">D13+D15+D17+D19</f>
        <v>620000</v>
      </c>
      <c r="E10" s="59">
        <f t="shared" si="3"/>
        <v>540000</v>
      </c>
      <c r="F10" s="59">
        <f t="shared" si="3"/>
        <v>500000</v>
      </c>
      <c r="G10" s="59">
        <f t="shared" si="3"/>
        <v>425000</v>
      </c>
      <c r="H10" s="59">
        <f t="shared" si="3"/>
        <v>345000</v>
      </c>
      <c r="I10" s="59">
        <f t="shared" si="3"/>
        <v>255000</v>
      </c>
      <c r="J10" s="59">
        <f t="shared" si="3"/>
        <v>215000</v>
      </c>
    </row>
    <row r="11" spans="1:17" x14ac:dyDescent="0.3">
      <c r="A11" s="58" t="s">
        <v>73</v>
      </c>
      <c r="B11" s="58" t="s">
        <v>64</v>
      </c>
      <c r="C11" s="59">
        <f>C14+C16+C18+C20</f>
        <v>0</v>
      </c>
      <c r="D11" s="59">
        <f t="shared" si="3"/>
        <v>640000</v>
      </c>
      <c r="E11" s="59">
        <f t="shared" si="3"/>
        <v>525000</v>
      </c>
      <c r="F11" s="59">
        <f t="shared" si="3"/>
        <v>525000</v>
      </c>
      <c r="G11" s="59">
        <f t="shared" si="3"/>
        <v>165000</v>
      </c>
      <c r="H11" s="59">
        <f t="shared" si="3"/>
        <v>0</v>
      </c>
      <c r="I11" s="59">
        <f t="shared" si="3"/>
        <v>0</v>
      </c>
      <c r="J11" s="59">
        <f t="shared" si="3"/>
        <v>0</v>
      </c>
    </row>
    <row r="12" spans="1:17" x14ac:dyDescent="0.3">
      <c r="A12" s="55" t="s">
        <v>72</v>
      </c>
      <c r="B12" s="55" t="s">
        <v>70</v>
      </c>
      <c r="C12" s="55" t="s">
        <v>62</v>
      </c>
      <c r="D12" s="10">
        <v>43831</v>
      </c>
      <c r="E12" s="10">
        <v>43862</v>
      </c>
      <c r="F12" s="10">
        <v>43891</v>
      </c>
      <c r="G12" s="10">
        <v>43922</v>
      </c>
      <c r="H12" s="10">
        <v>43952</v>
      </c>
      <c r="I12" s="10">
        <v>43983</v>
      </c>
      <c r="J12" s="10">
        <v>44013</v>
      </c>
      <c r="K12" t="s">
        <v>112</v>
      </c>
    </row>
    <row r="13" spans="1:17" x14ac:dyDescent="0.3">
      <c r="A13" s="56" t="s">
        <v>68</v>
      </c>
      <c r="B13" s="56" t="s">
        <v>63</v>
      </c>
      <c r="C13" s="57">
        <v>200000</v>
      </c>
      <c r="D13" s="57">
        <v>50000</v>
      </c>
      <c r="E13" s="57">
        <v>50000</v>
      </c>
      <c r="F13" s="57">
        <v>30000</v>
      </c>
      <c r="G13" s="57">
        <v>30000</v>
      </c>
      <c r="H13" s="57">
        <v>20000</v>
      </c>
      <c r="I13" s="57">
        <v>10000</v>
      </c>
      <c r="J13" s="57">
        <v>10000</v>
      </c>
      <c r="K13" s="60">
        <f>C13-SUM(D13:J13)</f>
        <v>0</v>
      </c>
    </row>
    <row r="14" spans="1:17" x14ac:dyDescent="0.3">
      <c r="A14" s="56" t="s">
        <v>68</v>
      </c>
      <c r="B14" s="56" t="s">
        <v>64</v>
      </c>
      <c r="C14" s="57"/>
      <c r="D14" s="57">
        <v>40000</v>
      </c>
      <c r="E14" s="57">
        <v>30000</v>
      </c>
      <c r="F14" s="57">
        <v>60000</v>
      </c>
      <c r="G14" s="57">
        <v>25000</v>
      </c>
      <c r="H14" s="57"/>
      <c r="I14" s="57"/>
      <c r="J14" s="57"/>
      <c r="K14" s="60"/>
    </row>
    <row r="15" spans="1:17" x14ac:dyDescent="0.3">
      <c r="A15" s="56" t="s">
        <v>31</v>
      </c>
      <c r="B15" s="56" t="s">
        <v>63</v>
      </c>
      <c r="C15" s="57">
        <v>2000000</v>
      </c>
      <c r="D15" s="57">
        <v>450000</v>
      </c>
      <c r="E15" s="57">
        <v>370000</v>
      </c>
      <c r="F15" s="57">
        <v>350000</v>
      </c>
      <c r="G15" s="57">
        <v>270000</v>
      </c>
      <c r="H15" s="57">
        <v>230000</v>
      </c>
      <c r="I15" s="57">
        <v>180000</v>
      </c>
      <c r="J15" s="57">
        <v>150000</v>
      </c>
      <c r="K15" s="60">
        <f>C15-SUM(D15:J15)</f>
        <v>0</v>
      </c>
    </row>
    <row r="16" spans="1:17" x14ac:dyDescent="0.3">
      <c r="A16" s="56" t="s">
        <v>31</v>
      </c>
      <c r="B16" s="56" t="s">
        <v>64</v>
      </c>
      <c r="C16" s="57"/>
      <c r="D16" s="57">
        <v>500000</v>
      </c>
      <c r="E16" s="57">
        <v>390000</v>
      </c>
      <c r="F16" s="57">
        <v>340000</v>
      </c>
      <c r="G16" s="57">
        <v>20000</v>
      </c>
      <c r="H16" s="57"/>
      <c r="I16" s="57"/>
      <c r="J16" s="57"/>
      <c r="K16" s="60"/>
    </row>
    <row r="17" spans="1:11" x14ac:dyDescent="0.3">
      <c r="A17" s="56" t="s">
        <v>69</v>
      </c>
      <c r="B17" s="56" t="s">
        <v>63</v>
      </c>
      <c r="C17" s="57">
        <v>500000</v>
      </c>
      <c r="D17" s="57">
        <v>75000</v>
      </c>
      <c r="E17" s="57">
        <v>75000</v>
      </c>
      <c r="F17" s="57">
        <v>85000</v>
      </c>
      <c r="G17" s="57">
        <v>90000</v>
      </c>
      <c r="H17" s="57">
        <v>75000</v>
      </c>
      <c r="I17" s="57">
        <v>55000</v>
      </c>
      <c r="J17" s="57">
        <v>45000</v>
      </c>
      <c r="K17" s="60">
        <f>C17-SUM(D17:J17)</f>
        <v>0</v>
      </c>
    </row>
    <row r="18" spans="1:11" x14ac:dyDescent="0.3">
      <c r="A18" s="56" t="s">
        <v>69</v>
      </c>
      <c r="B18" s="56" t="s">
        <v>64</v>
      </c>
      <c r="C18" s="57"/>
      <c r="D18" s="57">
        <v>70000</v>
      </c>
      <c r="E18" s="57">
        <v>70000</v>
      </c>
      <c r="F18" s="57">
        <v>75000</v>
      </c>
      <c r="G18" s="57">
        <v>80000</v>
      </c>
      <c r="H18" s="57"/>
      <c r="I18" s="57"/>
      <c r="J18" s="57"/>
      <c r="K18" s="60"/>
    </row>
    <row r="19" spans="1:11" x14ac:dyDescent="0.3">
      <c r="A19" s="56" t="s">
        <v>71</v>
      </c>
      <c r="B19" s="56" t="s">
        <v>63</v>
      </c>
      <c r="C19" s="57">
        <v>200000</v>
      </c>
      <c r="D19" s="57">
        <v>45000</v>
      </c>
      <c r="E19" s="57">
        <v>45000</v>
      </c>
      <c r="F19" s="57">
        <v>35000</v>
      </c>
      <c r="G19" s="57">
        <v>35000</v>
      </c>
      <c r="H19" s="57">
        <v>20000</v>
      </c>
      <c r="I19" s="57">
        <v>10000</v>
      </c>
      <c r="J19" s="57">
        <v>10000</v>
      </c>
      <c r="K19" s="60">
        <f>C19-SUM(D19:J19)</f>
        <v>0</v>
      </c>
    </row>
    <row r="20" spans="1:11" x14ac:dyDescent="0.3">
      <c r="A20" s="56" t="s">
        <v>71</v>
      </c>
      <c r="B20" s="56" t="s">
        <v>64</v>
      </c>
      <c r="C20" s="57"/>
      <c r="D20" s="57">
        <v>30000</v>
      </c>
      <c r="E20" s="57">
        <v>35000</v>
      </c>
      <c r="F20" s="57">
        <v>50000</v>
      </c>
      <c r="G20" s="57">
        <v>40000</v>
      </c>
      <c r="H20" s="57"/>
      <c r="I20" s="57"/>
      <c r="J20" s="57"/>
      <c r="K20" s="60"/>
    </row>
    <row r="23" spans="1:11" x14ac:dyDescent="0.3">
      <c r="A23" s="8"/>
      <c r="B23" s="8"/>
      <c r="C23" s="9"/>
      <c r="D23" s="9"/>
      <c r="E23" s="9"/>
      <c r="F23" s="9"/>
      <c r="G23" s="9"/>
      <c r="H23" s="9"/>
      <c r="I23" s="9"/>
      <c r="J23" s="9"/>
    </row>
  </sheetData>
  <mergeCells count="1">
    <mergeCell ref="A5:A6"/>
  </mergeCells>
  <phoneticPr fontId="1" type="noConversion"/>
  <conditionalFormatting sqref="D7:J7 E8:J9 D13:J20">
    <cfRule type="expression" dxfId="0" priority="1">
      <formula>D$4=$E$1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D5DB4-61E2-4046-B841-B02F39E491E5}">
  <dimension ref="A1:AJ35"/>
  <sheetViews>
    <sheetView showGridLines="0" topLeftCell="T1" workbookViewId="0">
      <selection activeCell="AF13" sqref="AF13"/>
    </sheetView>
  </sheetViews>
  <sheetFormatPr defaultRowHeight="14.4" x14ac:dyDescent="0.3"/>
  <cols>
    <col min="1" max="1" width="7.109375" customWidth="1"/>
    <col min="2" max="2" width="14.109375" customWidth="1"/>
    <col min="3" max="3" width="20" customWidth="1"/>
    <col min="4" max="4" width="20.77734375" customWidth="1"/>
    <col min="27" max="27" width="19" customWidth="1"/>
    <col min="29" max="29" width="9" customWidth="1"/>
    <col min="30" max="30" width="10.109375" customWidth="1"/>
    <col min="32" max="32" width="16.5546875" customWidth="1"/>
    <col min="33" max="33" width="14.109375" customWidth="1"/>
    <col min="34" max="34" width="14.5546875" customWidth="1"/>
  </cols>
  <sheetData>
    <row r="1" spans="1:36" x14ac:dyDescent="0.3">
      <c r="AD1" cm="1">
        <f t="array" ref="AD1">INDEX(Table1[count],AD2)</f>
        <v>11</v>
      </c>
    </row>
    <row r="2" spans="1:36" x14ac:dyDescent="0.3">
      <c r="C2">
        <v>1</v>
      </c>
      <c r="AA2" t="str">
        <f>AC2&amp;" Tasks"</f>
        <v>Low Tasks</v>
      </c>
      <c r="AC2" t="str" cm="1">
        <f t="array" ref="AC2">INDEX(Table1[Priority],AD2)</f>
        <v>Low</v>
      </c>
      <c r="AD2">
        <v>1</v>
      </c>
    </row>
    <row r="3" spans="1:36" x14ac:dyDescent="0.3">
      <c r="C3" t="str" cm="1">
        <f t="array" ref="C3">INDEX(C6:C9,C2)</f>
        <v>Not Started</v>
      </c>
      <c r="D3" t="str">
        <f>C3&amp;" 
Tasks"</f>
        <v>Not Started 
Tasks</v>
      </c>
      <c r="H3">
        <v>5</v>
      </c>
      <c r="AC3" s="12" t="s">
        <v>3</v>
      </c>
      <c r="AD3" s="85" t="s">
        <v>137</v>
      </c>
    </row>
    <row r="4" spans="1:36" x14ac:dyDescent="0.3">
      <c r="C4" cm="1">
        <f t="array" ref="C4">INDEX(D6:D9,C2)</f>
        <v>8</v>
      </c>
      <c r="H4" t="str" cm="1">
        <f t="array" ref="H4">INDEX(H5:H9,H3)</f>
        <v>Total</v>
      </c>
      <c r="AC4" s="84" t="str">
        <f>VLOOKUP(Issues!$E4,Issues!$M$4:$N$6,2,1)</f>
        <v>Low</v>
      </c>
      <c r="AD4">
        <f>COUNTIF(Issues!$F$4:$F$19,Table1[[#This Row],[Priority]])</f>
        <v>11</v>
      </c>
    </row>
    <row r="5" spans="1:36" x14ac:dyDescent="0.3">
      <c r="C5" t="s">
        <v>32</v>
      </c>
      <c r="D5" t="s">
        <v>133</v>
      </c>
      <c r="H5" s="83" t="s">
        <v>68</v>
      </c>
      <c r="AC5" s="84" t="str">
        <f>VLOOKUP(Issues!$E5,Issues!$M$4:$N$6,2,1)</f>
        <v>Medium</v>
      </c>
      <c r="AD5" s="85">
        <f>COUNTIF(Issues!$F$4:$F$19,Table1[[#This Row],[Priority]])</f>
        <v>3</v>
      </c>
    </row>
    <row r="6" spans="1:36" x14ac:dyDescent="0.3">
      <c r="C6" t="s">
        <v>136</v>
      </c>
      <c r="D6">
        <f>COUNTIFS(Tasks!P3:P23,Table2[[#This Row],[Schedual Status]])</f>
        <v>8</v>
      </c>
      <c r="H6" s="83" t="s">
        <v>31</v>
      </c>
      <c r="AC6" s="84" t="str">
        <f>VLOOKUP(Issues!$E14,Issues!$M$4:$N$6,2,1)</f>
        <v>High</v>
      </c>
      <c r="AD6" s="85">
        <f>COUNTIF(Issues!$F$4:$F$19,Table1[[#This Row],[Priority]])</f>
        <v>2</v>
      </c>
    </row>
    <row r="7" spans="1:36" x14ac:dyDescent="0.3">
      <c r="C7" t="s">
        <v>135</v>
      </c>
      <c r="D7">
        <f>COUNTIFS(Tasks!P4:P24,Table2[[#This Row],[Schedual Status]])</f>
        <v>6</v>
      </c>
      <c r="H7" s="83" t="s">
        <v>69</v>
      </c>
    </row>
    <row r="8" spans="1:36" x14ac:dyDescent="0.3">
      <c r="C8" t="s">
        <v>67</v>
      </c>
      <c r="D8">
        <f>COUNTIFS(Tasks!P5:P25,Table2[[#This Row],[Schedual Status]])</f>
        <v>3</v>
      </c>
      <c r="H8" s="83" t="s">
        <v>71</v>
      </c>
    </row>
    <row r="9" spans="1:36" x14ac:dyDescent="0.3">
      <c r="C9" t="s">
        <v>134</v>
      </c>
      <c r="D9">
        <f>COUNTIFS(Tasks!P6:P26,Table2[[#This Row],[Schedual Status]])</f>
        <v>3</v>
      </c>
      <c r="H9" s="83" t="s">
        <v>73</v>
      </c>
    </row>
    <row r="13" spans="1:36" ht="41.4" x14ac:dyDescent="0.3">
      <c r="A13">
        <f>C4</f>
        <v>8</v>
      </c>
      <c r="B13" s="32" t="s">
        <v>0</v>
      </c>
      <c r="C13" s="33" t="s">
        <v>35</v>
      </c>
      <c r="D13" s="33" t="s">
        <v>34</v>
      </c>
      <c r="E13" s="33" t="s">
        <v>36</v>
      </c>
      <c r="F13" s="34" t="s">
        <v>51</v>
      </c>
      <c r="G13" s="33" t="s">
        <v>37</v>
      </c>
      <c r="H13" s="33" t="s">
        <v>53</v>
      </c>
      <c r="I13" s="33" t="s">
        <v>38</v>
      </c>
      <c r="J13" s="34" t="s">
        <v>52</v>
      </c>
      <c r="K13" s="33" t="s">
        <v>39</v>
      </c>
      <c r="L13" s="33" t="s">
        <v>54</v>
      </c>
      <c r="M13" s="33" t="s">
        <v>65</v>
      </c>
      <c r="N13" s="33" t="s">
        <v>55</v>
      </c>
      <c r="O13" s="34" t="s">
        <v>60</v>
      </c>
      <c r="P13" s="33" t="s">
        <v>32</v>
      </c>
      <c r="Q13" s="33" t="s">
        <v>66</v>
      </c>
      <c r="R13" s="33" t="s">
        <v>49</v>
      </c>
      <c r="S13" s="33" t="s">
        <v>50</v>
      </c>
      <c r="T13" s="33" t="s">
        <v>61</v>
      </c>
      <c r="U13" s="33" t="s">
        <v>33</v>
      </c>
      <c r="V13" s="33" t="s">
        <v>56</v>
      </c>
      <c r="W13" s="35" t="s">
        <v>57</v>
      </c>
      <c r="X13" s="36"/>
      <c r="Y13">
        <f>AD1</f>
        <v>11</v>
      </c>
      <c r="Z13" s="6" t="s">
        <v>1</v>
      </c>
      <c r="AA13" s="7" t="s">
        <v>2</v>
      </c>
      <c r="AB13" s="7" t="s">
        <v>27</v>
      </c>
      <c r="AC13" s="26" t="s">
        <v>28</v>
      </c>
      <c r="AD13" s="26" t="s">
        <v>29</v>
      </c>
      <c r="AE13" s="7" t="s">
        <v>3</v>
      </c>
      <c r="AF13" s="7" t="s">
        <v>26</v>
      </c>
      <c r="AG13" s="7" t="s">
        <v>4</v>
      </c>
      <c r="AH13" s="7" t="s">
        <v>5</v>
      </c>
      <c r="AI13" s="7" t="s">
        <v>6</v>
      </c>
      <c r="AJ13" s="20" t="s">
        <v>74</v>
      </c>
    </row>
    <row r="14" spans="1:36" x14ac:dyDescent="0.3">
      <c r="A14">
        <f>IF(ROW()-13&gt;$A$13,"",ROW()-13)</f>
        <v>1</v>
      </c>
      <c r="B14" s="36" t="str">
        <f>IFERROR(INDEX(Tasks!B$3:B$23,MATCH(SMALL(Tasks!$X$3:$X$23,list!$A14),Tasks!$X$3:$X$23,0)),"")</f>
        <v>Activity 14</v>
      </c>
      <c r="C14" s="36" t="str">
        <f>IFERROR(INDEX(Tasks!C$3:C$23,MATCH(SMALL(Tasks!$X$3:$X$23,list!$A14),Tasks!$X$3:$X$23,0)),"")</f>
        <v>BTS</v>
      </c>
      <c r="D14" s="36" t="str">
        <f>IFERROR(INDEX(Tasks!D$3:D$23,MATCH(SMALL(Tasks!$X$3:$X$23,list!$A14),Tasks!$X$3:$X$23,0)),"")</f>
        <v>Civil</v>
      </c>
      <c r="E14" s="36">
        <f>IFERROR(INDEX(Tasks!E$3:E$23,MATCH(SMALL(Tasks!$X$3:$X$23,list!$A14),Tasks!$X$3:$X$23,0)),"")</f>
        <v>43934</v>
      </c>
      <c r="F14" s="36">
        <f>IFERROR(INDEX(Tasks!F$3:F$23,MATCH(SMALL(Tasks!$X$3:$X$23,list!$A14),Tasks!$X$3:$X$23,0)),"")</f>
        <v>26</v>
      </c>
      <c r="G14" s="36">
        <f>IFERROR(INDEX(Tasks!G$3:G$23,MATCH(SMALL(Tasks!$X$3:$X$23,list!$A14),Tasks!$X$3:$X$23,0)),"")</f>
        <v>43970</v>
      </c>
      <c r="H14" s="36">
        <f>IFERROR(INDEX(Tasks!H$3:H$23,MATCH(SMALL(Tasks!$X$3:$X$23,list!$A14),Tasks!$X$3:$X$23,0)),"")</f>
        <v>36</v>
      </c>
      <c r="I14" s="36">
        <f>IFERROR(INDEX(Tasks!I$3:I$23,MATCH(SMALL(Tasks!$X$3:$X$23,list!$A14),Tasks!$X$3:$X$23,0)),"")</f>
        <v>43935</v>
      </c>
      <c r="J14" s="36">
        <f>IFERROR(INDEX(Tasks!J$3:J$23,MATCH(SMALL(Tasks!$X$3:$X$23,list!$A14),Tasks!$X$3:$X$23,0)),"")</f>
        <v>26</v>
      </c>
      <c r="K14" s="36">
        <f>IFERROR(INDEX(Tasks!K$3:K$23,MATCH(SMALL(Tasks!$X$3:$X$23,list!$A14),Tasks!$X$3:$X$23,0)),"")</f>
        <v>43971</v>
      </c>
      <c r="L14" s="36">
        <f>IFERROR(INDEX(Tasks!L$3:L$23,MATCH(SMALL(Tasks!$X$3:$X$23,list!$A14),Tasks!$X$3:$X$23,0)),"")</f>
        <v>36</v>
      </c>
      <c r="M14" s="36">
        <f>IFERROR(INDEX(Tasks!M$3:M$23,MATCH(SMALL(Tasks!$X$3:$X$23,list!$A14),Tasks!$X$3:$X$23,0)),"")</f>
        <v>0.1</v>
      </c>
      <c r="N14" s="36">
        <f>IFERROR(INDEX(Tasks!N$3:N$23,MATCH(SMALL(Tasks!$X$3:$X$23,list!$A14),Tasks!$X$3:$X$23,0)),"")</f>
        <v>3.6</v>
      </c>
      <c r="O14" s="36">
        <f>IFERROR(INDEX(Tasks!O$3:O$23,MATCH(SMALL(Tasks!$X$3:$X$23,list!$A14),Tasks!$X$3:$X$23,0)),"")</f>
        <v>-4</v>
      </c>
      <c r="P14" s="36" t="str">
        <f>IFERROR(INDEX(Tasks!P$3:P$23,MATCH(SMALL(Tasks!$X$3:$X$23,list!$A14),Tasks!$X$3:$X$23,0)),"")</f>
        <v>Not Started</v>
      </c>
      <c r="Q14" s="36">
        <f>IFERROR(INDEX(Tasks!Q$3:Q$23,MATCH(SMALL(Tasks!$X$3:$X$23,list!$A14),Tasks!$X$3:$X$23,0)),"")</f>
        <v>0</v>
      </c>
      <c r="R14" s="36">
        <f>IFERROR(INDEX(Tasks!R$3:R$23,MATCH(SMALL(Tasks!$X$3:$X$23,list!$A14),Tasks!$X$3:$X$23,0)),"")</f>
        <v>0</v>
      </c>
      <c r="S14" s="36">
        <f>IFERROR(INDEX(Tasks!S$3:S$23,MATCH(SMALL(Tasks!$X$3:$X$23,list!$A14),Tasks!$X$3:$X$23,0)),"")</f>
        <v>0</v>
      </c>
      <c r="T14" s="36">
        <f>IFERROR(INDEX(Tasks!T$3:T$23,MATCH(SMALL(Tasks!$X$3:$X$23,list!$A14),Tasks!$X$3:$X$23,0)),"")</f>
        <v>0</v>
      </c>
      <c r="U14" s="36">
        <f>IFERROR(INDEX(Tasks!U$3:U$23,MATCH(SMALL(Tasks!$X$3:$X$23,list!$A14),Tasks!$X$3:$X$23,0)),"")</f>
        <v>0</v>
      </c>
      <c r="V14" s="36">
        <f>IFERROR(INDEX(Tasks!V$3:V$23,MATCH(SMALL(Tasks!$X$3:$X$23,list!$A14),Tasks!$X$3:$X$23,0)),"")</f>
        <v>7</v>
      </c>
      <c r="W14" s="36">
        <f>IFERROR(INDEX(Tasks!W$3:W$23,MATCH(SMALL(Tasks!$X$3:$X$23,list!$A14),Tasks!$X$3:$X$23,0)),"")</f>
        <v>43931</v>
      </c>
      <c r="X14" s="36"/>
      <c r="Y14">
        <f>IF(ROW()-13&gt;$Y$13,"",ROW()-13)</f>
        <v>1</v>
      </c>
      <c r="Z14" s="21">
        <f>IFERROR(INDEX(Issues!A$4:A$19,MATCH(SMALL(Issues!$L$4:$L$19,$Y14),Issues!$L$4:$L$19,0)),"")</f>
        <v>1</v>
      </c>
      <c r="AA14" s="21" t="str">
        <f>IFERROR(INDEX(Issues!B$4:B$19,MATCH(SMALL(Issues!$L$4:$L$19,$Y14),Issues!$L$4:$L$19,0)),"")</f>
        <v>Issue#1</v>
      </c>
      <c r="AB14" s="21">
        <f>IFERROR(INDEX(Issues!C$4:C$19,MATCH(SMALL(Issues!$L$4:$L$19,$Y14),Issues!$L$4:$L$19,0)),"")</f>
        <v>0.46</v>
      </c>
      <c r="AC14" s="21">
        <f>IFERROR(INDEX(Issues!D$4:D$19,MATCH(SMALL(Issues!$L$4:$L$19,$Y14),Issues!$L$4:$L$19,0)),"")</f>
        <v>1353</v>
      </c>
      <c r="AD14" s="21">
        <f>IFERROR(INDEX(Issues!E$4:E$19,MATCH(SMALL(Issues!$L$4:$L$19,$Y14),Issues!$L$4:$L$19,0)),"")</f>
        <v>622.38</v>
      </c>
      <c r="AE14" s="21" t="str">
        <f>IFERROR(INDEX(Issues!F$4:F$19,MATCH(SMALL(Issues!$L$4:$L$19,$Y14),Issues!$L$4:$L$19,0)),"")</f>
        <v>Low</v>
      </c>
      <c r="AF14" s="21" t="str">
        <f>IFERROR(INDEX(Issues!G$4:G$19,MATCH(SMALL(Issues!$L$4:$L$19,$Y14),Issues!$L$4:$L$19,0)),"")</f>
        <v>Akram</v>
      </c>
      <c r="AG14" s="21">
        <f>IFERROR(INDEX(Issues!H$4:H$19,MATCH(SMALL(Issues!$L$4:$L$19,$Y14),Issues!$L$4:$L$19,0)),"")</f>
        <v>0</v>
      </c>
      <c r="AH14" s="21">
        <f>IFERROR(INDEX(Issues!I$4:I$19,MATCH(SMALL(Issues!$L$4:$L$19,$Y14),Issues!$L$4:$L$19,0)),"")</f>
        <v>0</v>
      </c>
      <c r="AI14" s="21" t="str">
        <f>IFERROR(INDEX(Issues!J$4:J$19,MATCH(SMALL(Issues!$L$4:$L$19,$Y14),Issues!$L$4:$L$19,0)),"")</f>
        <v>Waiting Vendor feedback</v>
      </c>
      <c r="AJ14" s="21" t="str">
        <f>IFERROR(INDEX(Issues!K$4:K$19,MATCH(SMALL(Issues!$L$4:$L$19,$Y14),Issues!$L$4:$L$19,0)),"")</f>
        <v>Open</v>
      </c>
    </row>
    <row r="15" spans="1:36" x14ac:dyDescent="0.3">
      <c r="A15">
        <f t="shared" ref="A15:A35" si="0">IF(ROW()-13&gt;$A$13,"",ROW()-13)</f>
        <v>2</v>
      </c>
      <c r="B15" s="36" t="str">
        <f>IFERROR(INDEX(Tasks!B$3:B$23,MATCH(SMALL(Tasks!$X$3:$X$23,list!$A15),Tasks!$X$3:$X$23,0)),"")</f>
        <v>Activity 15</v>
      </c>
      <c r="C15" s="36" t="str">
        <f>IFERROR(INDEX(Tasks!C$3:C$23,MATCH(SMALL(Tasks!$X$3:$X$23,list!$A15),Tasks!$X$3:$X$23,0)),"")</f>
        <v>CVL</v>
      </c>
      <c r="D15" s="36" t="str">
        <f>IFERROR(INDEX(Tasks!D$3:D$23,MATCH(SMALL(Tasks!$X$3:$X$23,list!$A15),Tasks!$X$3:$X$23,0)),"")</f>
        <v>Civil</v>
      </c>
      <c r="E15" s="36">
        <f>IFERROR(INDEX(Tasks!E$3:E$23,MATCH(SMALL(Tasks!$X$3:$X$23,list!$A15),Tasks!$X$3:$X$23,0)),"")</f>
        <v>43939</v>
      </c>
      <c r="F15" s="36">
        <f>IFERROR(INDEX(Tasks!F$3:F$23,MATCH(SMALL(Tasks!$X$3:$X$23,list!$A15),Tasks!$X$3:$X$23,0)),"")</f>
        <v>24</v>
      </c>
      <c r="G15" s="36">
        <f>IFERROR(INDEX(Tasks!G$3:G$23,MATCH(SMALL(Tasks!$X$3:$X$23,list!$A15),Tasks!$X$3:$X$23,0)),"")</f>
        <v>43971</v>
      </c>
      <c r="H15" s="36">
        <f>IFERROR(INDEX(Tasks!H$3:H$23,MATCH(SMALL(Tasks!$X$3:$X$23,list!$A15),Tasks!$X$3:$X$23,0)),"")</f>
        <v>32</v>
      </c>
      <c r="I15" s="36">
        <f>IFERROR(INDEX(Tasks!I$3:I$23,MATCH(SMALL(Tasks!$X$3:$X$23,list!$A15),Tasks!$X$3:$X$23,0)),"")</f>
        <v>43940</v>
      </c>
      <c r="J15" s="36">
        <f>IFERROR(INDEX(Tasks!J$3:J$23,MATCH(SMALL(Tasks!$X$3:$X$23,list!$A15),Tasks!$X$3:$X$23,0)),"")</f>
        <v>24</v>
      </c>
      <c r="K15" s="36">
        <f>IFERROR(INDEX(Tasks!K$3:K$23,MATCH(SMALL(Tasks!$X$3:$X$23,list!$A15),Tasks!$X$3:$X$23,0)),"")</f>
        <v>43972</v>
      </c>
      <c r="L15" s="36">
        <f>IFERROR(INDEX(Tasks!L$3:L$23,MATCH(SMALL(Tasks!$X$3:$X$23,list!$A15),Tasks!$X$3:$X$23,0)),"")</f>
        <v>32</v>
      </c>
      <c r="M15" s="36">
        <f>IFERROR(INDEX(Tasks!M$3:M$23,MATCH(SMALL(Tasks!$X$3:$X$23,list!$A15),Tasks!$X$3:$X$23,0)),"")</f>
        <v>0</v>
      </c>
      <c r="N15" s="36">
        <f>IFERROR(INDEX(Tasks!N$3:N$23,MATCH(SMALL(Tasks!$X$3:$X$23,list!$A15),Tasks!$X$3:$X$23,0)),"")</f>
        <v>0</v>
      </c>
      <c r="O15" s="36">
        <f>IFERROR(INDEX(Tasks!O$3:O$23,MATCH(SMALL(Tasks!$X$3:$X$23,list!$A15),Tasks!$X$3:$X$23,0)),"")</f>
        <v>-9</v>
      </c>
      <c r="P15" s="36" t="str">
        <f>IFERROR(INDEX(Tasks!P$3:P$23,MATCH(SMALL(Tasks!$X$3:$X$23,list!$A15),Tasks!$X$3:$X$23,0)),"")</f>
        <v>Not Started</v>
      </c>
      <c r="Q15" s="36">
        <f>IFERROR(INDEX(Tasks!Q$3:Q$23,MATCH(SMALL(Tasks!$X$3:$X$23,list!$A15),Tasks!$X$3:$X$23,0)),"")</f>
        <v>0</v>
      </c>
      <c r="R15" s="36">
        <f>IFERROR(INDEX(Tasks!R$3:R$23,MATCH(SMALL(Tasks!$X$3:$X$23,list!$A15),Tasks!$X$3:$X$23,0)),"")</f>
        <v>0</v>
      </c>
      <c r="S15" s="36">
        <f>IFERROR(INDEX(Tasks!S$3:S$23,MATCH(SMALL(Tasks!$X$3:$X$23,list!$A15),Tasks!$X$3:$X$23,0)),"")</f>
        <v>0</v>
      </c>
      <c r="T15" s="36">
        <f>IFERROR(INDEX(Tasks!T$3:T$23,MATCH(SMALL(Tasks!$X$3:$X$23,list!$A15),Tasks!$X$3:$X$23,0)),"")</f>
        <v>0</v>
      </c>
      <c r="U15" s="36">
        <f>IFERROR(INDEX(Tasks!U$3:U$23,MATCH(SMALL(Tasks!$X$3:$X$23,list!$A15),Tasks!$X$3:$X$23,0)),"")</f>
        <v>0</v>
      </c>
      <c r="V15" s="36">
        <f>IFERROR(INDEX(Tasks!V$3:V$23,MATCH(SMALL(Tasks!$X$3:$X$23,list!$A15),Tasks!$X$3:$X$23,0)),"")</f>
        <v>6</v>
      </c>
      <c r="W15" s="36">
        <f>IFERROR(INDEX(Tasks!W$3:W$23,MATCH(SMALL(Tasks!$X$3:$X$23,list!$A15),Tasks!$X$3:$X$23,0)),"")</f>
        <v>43931</v>
      </c>
      <c r="X15" s="36"/>
      <c r="Y15">
        <f t="shared" ref="Y15:Y34" si="1">IF(ROW()-13&gt;$Y$13,"",ROW()-13)</f>
        <v>2</v>
      </c>
      <c r="Z15" s="21">
        <f>IFERROR(INDEX(Issues!A$4:A$19,MATCH(SMALL(Issues!$L$4:$L$19,$Y15),Issues!$L$4:$L$19,0)),"")</f>
        <v>3</v>
      </c>
      <c r="AA15" s="21" t="str">
        <f>IFERROR(INDEX(Issues!B$4:B$19,MATCH(SMALL(Issues!$L$4:$L$19,$Y15),Issues!$L$4:$L$19,0)),"")</f>
        <v>Issue#3</v>
      </c>
      <c r="AB15" s="21">
        <f>IFERROR(INDEX(Issues!C$4:C$19,MATCH(SMALL(Issues!$L$4:$L$19,$Y15),Issues!$L$4:$L$19,0)),"")</f>
        <v>0.33</v>
      </c>
      <c r="AC15" s="21">
        <f>IFERROR(INDEX(Issues!D$4:D$19,MATCH(SMALL(Issues!$L$4:$L$19,$Y15),Issues!$L$4:$L$19,0)),"")</f>
        <v>2127</v>
      </c>
      <c r="AD15" s="21">
        <f>IFERROR(INDEX(Issues!E$4:E$19,MATCH(SMALL(Issues!$L$4:$L$19,$Y15),Issues!$L$4:$L$19,0)),"")</f>
        <v>701.91000000000008</v>
      </c>
      <c r="AE15" s="21" t="str">
        <f>IFERROR(INDEX(Issues!F$4:F$19,MATCH(SMALL(Issues!$L$4:$L$19,$Y15),Issues!$L$4:$L$19,0)),"")</f>
        <v>Low</v>
      </c>
      <c r="AF15" s="21" t="str">
        <f>IFERROR(INDEX(Issues!G$4:G$19,MATCH(SMALL(Issues!$L$4:$L$19,$Y15),Issues!$L$4:$L$19,0)),"")</f>
        <v>Ashraf</v>
      </c>
      <c r="AG15" s="21">
        <f>IFERROR(INDEX(Issues!H$4:H$19,MATCH(SMALL(Issues!$L$4:$L$19,$Y15),Issues!$L$4:$L$19,0)),"")</f>
        <v>0</v>
      </c>
      <c r="AH15" s="21">
        <f>IFERROR(INDEX(Issues!I$4:I$19,MATCH(SMALL(Issues!$L$4:$L$19,$Y15),Issues!$L$4:$L$19,0)),"")</f>
        <v>0</v>
      </c>
      <c r="AI15" s="21" t="str">
        <f>IFERROR(INDEX(Issues!J$4:J$19,MATCH(SMALL(Issues!$L$4:$L$19,$Y15),Issues!$L$4:$L$19,0)),"")</f>
        <v>Solved wih the owner</v>
      </c>
      <c r="AJ15" s="21" t="str">
        <f>IFERROR(INDEX(Issues!K$4:K$19,MATCH(SMALL(Issues!$L$4:$L$19,$Y15),Issues!$L$4:$L$19,0)),"")</f>
        <v>Close</v>
      </c>
    </row>
    <row r="16" spans="1:36" x14ac:dyDescent="0.3">
      <c r="A16">
        <f t="shared" si="0"/>
        <v>3</v>
      </c>
      <c r="B16" s="36" t="str">
        <f>IFERROR(INDEX(Tasks!B$3:B$23,MATCH(SMALL(Tasks!$X$3:$X$23,list!$A16),Tasks!$X$3:$X$23,0)),"")</f>
        <v>Activity 16</v>
      </c>
      <c r="C16" s="36" t="str">
        <f>IFERROR(INDEX(Tasks!C$3:C$23,MATCH(SMALL(Tasks!$X$3:$X$23,list!$A16),Tasks!$X$3:$X$23,0)),"")</f>
        <v>BTS</v>
      </c>
      <c r="D16" s="36" t="str">
        <f>IFERROR(INDEX(Tasks!D$3:D$23,MATCH(SMALL(Tasks!$X$3:$X$23,list!$A16),Tasks!$X$3:$X$23,0)),"")</f>
        <v>Civil</v>
      </c>
      <c r="E16" s="36">
        <f>IFERROR(INDEX(Tasks!E$3:E$23,MATCH(SMALL(Tasks!$X$3:$X$23,list!$A16),Tasks!$X$3:$X$23,0)),"")</f>
        <v>43954</v>
      </c>
      <c r="F16" s="36">
        <f>IFERROR(INDEX(Tasks!F$3:F$23,MATCH(SMALL(Tasks!$X$3:$X$23,list!$A16),Tasks!$X$3:$X$23,0)),"")</f>
        <v>24</v>
      </c>
      <c r="G16" s="36">
        <f>IFERROR(INDEX(Tasks!G$3:G$23,MATCH(SMALL(Tasks!$X$3:$X$23,list!$A16),Tasks!$X$3:$X$23,0)),"")</f>
        <v>43986</v>
      </c>
      <c r="H16" s="36">
        <f>IFERROR(INDEX(Tasks!H$3:H$23,MATCH(SMALL(Tasks!$X$3:$X$23,list!$A16),Tasks!$X$3:$X$23,0)),"")</f>
        <v>32</v>
      </c>
      <c r="I16" s="36">
        <f>IFERROR(INDEX(Tasks!I$3:I$23,MATCH(SMALL(Tasks!$X$3:$X$23,list!$A16),Tasks!$X$3:$X$23,0)),"")</f>
        <v>43955</v>
      </c>
      <c r="J16" s="36">
        <f>IFERROR(INDEX(Tasks!J$3:J$23,MATCH(SMALL(Tasks!$X$3:$X$23,list!$A16),Tasks!$X$3:$X$23,0)),"")</f>
        <v>24</v>
      </c>
      <c r="K16" s="36">
        <f>IFERROR(INDEX(Tasks!K$3:K$23,MATCH(SMALL(Tasks!$X$3:$X$23,list!$A16),Tasks!$X$3:$X$23,0)),"")</f>
        <v>43989</v>
      </c>
      <c r="L16" s="36">
        <f>IFERROR(INDEX(Tasks!L$3:L$23,MATCH(SMALL(Tasks!$X$3:$X$23,list!$A16),Tasks!$X$3:$X$23,0)),"")</f>
        <v>34</v>
      </c>
      <c r="M16" s="36">
        <f>IFERROR(INDEX(Tasks!M$3:M$23,MATCH(SMALL(Tasks!$X$3:$X$23,list!$A16),Tasks!$X$3:$X$23,0)),"")</f>
        <v>0</v>
      </c>
      <c r="N16" s="36">
        <f>IFERROR(INDEX(Tasks!N$3:N$23,MATCH(SMALL(Tasks!$X$3:$X$23,list!$A16),Tasks!$X$3:$X$23,0)),"")</f>
        <v>0</v>
      </c>
      <c r="O16" s="36">
        <f>IFERROR(INDEX(Tasks!O$3:O$23,MATCH(SMALL(Tasks!$X$3:$X$23,list!$A16),Tasks!$X$3:$X$23,0)),"")</f>
        <v>-24</v>
      </c>
      <c r="P16" s="36" t="str">
        <f>IFERROR(INDEX(Tasks!P$3:P$23,MATCH(SMALL(Tasks!$X$3:$X$23,list!$A16),Tasks!$X$3:$X$23,0)),"")</f>
        <v>Not Started</v>
      </c>
      <c r="Q16" s="36">
        <f>IFERROR(INDEX(Tasks!Q$3:Q$23,MATCH(SMALL(Tasks!$X$3:$X$23,list!$A16),Tasks!$X$3:$X$23,0)),"")</f>
        <v>0</v>
      </c>
      <c r="R16" s="36">
        <f>IFERROR(INDEX(Tasks!R$3:R$23,MATCH(SMALL(Tasks!$X$3:$X$23,list!$A16),Tasks!$X$3:$X$23,0)),"")</f>
        <v>0</v>
      </c>
      <c r="S16" s="36">
        <f>IFERROR(INDEX(Tasks!S$3:S$23,MATCH(SMALL(Tasks!$X$3:$X$23,list!$A16),Tasks!$X$3:$X$23,0)),"")</f>
        <v>0</v>
      </c>
      <c r="T16" s="36">
        <f>IFERROR(INDEX(Tasks!T$3:T$23,MATCH(SMALL(Tasks!$X$3:$X$23,list!$A16),Tasks!$X$3:$X$23,0)),"")</f>
        <v>0</v>
      </c>
      <c r="U16" s="36">
        <f>IFERROR(INDEX(Tasks!U$3:U$23,MATCH(SMALL(Tasks!$X$3:$X$23,list!$A16),Tasks!$X$3:$X$23,0)),"")</f>
        <v>0</v>
      </c>
      <c r="V16" s="36">
        <f>IFERROR(INDEX(Tasks!V$3:V$23,MATCH(SMALL(Tasks!$X$3:$X$23,list!$A16),Tasks!$X$3:$X$23,0)),"")</f>
        <v>5</v>
      </c>
      <c r="W16" s="36">
        <f>IFERROR(INDEX(Tasks!W$3:W$23,MATCH(SMALL(Tasks!$X$3:$X$23,list!$A16),Tasks!$X$3:$X$23,0)),"")</f>
        <v>43931</v>
      </c>
      <c r="X16" s="36"/>
      <c r="Y16">
        <f t="shared" si="1"/>
        <v>3</v>
      </c>
      <c r="Z16" s="21">
        <f>IFERROR(INDEX(Issues!A$4:A$19,MATCH(SMALL(Issues!$L$4:$L$19,$Y16),Issues!$L$4:$L$19,0)),"")</f>
        <v>4</v>
      </c>
      <c r="AA16" s="21" t="str">
        <f>IFERROR(INDEX(Issues!B$4:B$19,MATCH(SMALL(Issues!$L$4:$L$19,$Y16),Issues!$L$4:$L$19,0)),"")</f>
        <v>Issue#4</v>
      </c>
      <c r="AB16" s="21">
        <f>IFERROR(INDEX(Issues!C$4:C$19,MATCH(SMALL(Issues!$L$4:$L$19,$Y16),Issues!$L$4:$L$19,0)),"")</f>
        <v>0.53</v>
      </c>
      <c r="AC16" s="21">
        <f>IFERROR(INDEX(Issues!D$4:D$19,MATCH(SMALL(Issues!$L$4:$L$19,$Y16),Issues!$L$4:$L$19,0)),"")</f>
        <v>3019</v>
      </c>
      <c r="AD16" s="21">
        <f>IFERROR(INDEX(Issues!E$4:E$19,MATCH(SMALL(Issues!$L$4:$L$19,$Y16),Issues!$L$4:$L$19,0)),"")</f>
        <v>1600.0700000000002</v>
      </c>
      <c r="AE16" s="21" t="str">
        <f>IFERROR(INDEX(Issues!F$4:F$19,MATCH(SMALL(Issues!$L$4:$L$19,$Y16),Issues!$L$4:$L$19,0)),"")</f>
        <v>Low</v>
      </c>
      <c r="AF16" s="21" t="str">
        <f>IFERROR(INDEX(Issues!G$4:G$19,MATCH(SMALL(Issues!$L$4:$L$19,$Y16),Issues!$L$4:$L$19,0)),"")</f>
        <v>Ashraf</v>
      </c>
      <c r="AG16" s="21">
        <f>IFERROR(INDEX(Issues!H$4:H$19,MATCH(SMALL(Issues!$L$4:$L$19,$Y16),Issues!$L$4:$L$19,0)),"")</f>
        <v>0</v>
      </c>
      <c r="AH16" s="21">
        <f>IFERROR(INDEX(Issues!I$4:I$19,MATCH(SMALL(Issues!$L$4:$L$19,$Y16),Issues!$L$4:$L$19,0)),"")</f>
        <v>0</v>
      </c>
      <c r="AI16" s="21" t="str">
        <f>IFERROR(INDEX(Issues!J$4:J$19,MATCH(SMALL(Issues!$L$4:$L$19,$Y16),Issues!$L$4:$L$19,0)),"")</f>
        <v>Solved wih the owner</v>
      </c>
      <c r="AJ16" s="21" t="str">
        <f>IFERROR(INDEX(Issues!K$4:K$19,MATCH(SMALL(Issues!$L$4:$L$19,$Y16),Issues!$L$4:$L$19,0)),"")</f>
        <v>Close</v>
      </c>
    </row>
    <row r="17" spans="1:36" x14ac:dyDescent="0.3">
      <c r="A17">
        <f t="shared" si="0"/>
        <v>4</v>
      </c>
      <c r="B17" s="36" t="str">
        <f>IFERROR(INDEX(Tasks!B$3:B$23,MATCH(SMALL(Tasks!$X$3:$X$23,list!$A17),Tasks!$X$3:$X$23,0)),"")</f>
        <v>Activity 17</v>
      </c>
      <c r="C17" s="36" t="str">
        <f>IFERROR(INDEX(Tasks!C$3:C$23,MATCH(SMALL(Tasks!$X$3:$X$23,list!$A17),Tasks!$X$3:$X$23,0)),"")</f>
        <v>ARC</v>
      </c>
      <c r="D17" s="36" t="str">
        <f>IFERROR(INDEX(Tasks!D$3:D$23,MATCH(SMALL(Tasks!$X$3:$X$23,list!$A17),Tasks!$X$3:$X$23,0)),"")</f>
        <v>Acrhitict</v>
      </c>
      <c r="E17" s="36">
        <f>IFERROR(INDEX(Tasks!E$3:E$23,MATCH(SMALL(Tasks!$X$3:$X$23,list!$A17),Tasks!$X$3:$X$23,0)),"")</f>
        <v>43978</v>
      </c>
      <c r="F17" s="36">
        <f>IFERROR(INDEX(Tasks!F$3:F$23,MATCH(SMALL(Tasks!$X$3:$X$23,list!$A17),Tasks!$X$3:$X$23,0)),"")</f>
        <v>19</v>
      </c>
      <c r="G17" s="36">
        <f>IFERROR(INDEX(Tasks!G$3:G$23,MATCH(SMALL(Tasks!$X$3:$X$23,list!$A17),Tasks!$X$3:$X$23,0)),"")</f>
        <v>44005</v>
      </c>
      <c r="H17" s="36">
        <f>IFERROR(INDEX(Tasks!H$3:H$23,MATCH(SMALL(Tasks!$X$3:$X$23,list!$A17),Tasks!$X$3:$X$23,0)),"")</f>
        <v>27</v>
      </c>
      <c r="I17" s="36">
        <f>IFERROR(INDEX(Tasks!I$3:I$23,MATCH(SMALL(Tasks!$X$3:$X$23,list!$A17),Tasks!$X$3:$X$23,0)),"")</f>
        <v>43979</v>
      </c>
      <c r="J17" s="36">
        <f>IFERROR(INDEX(Tasks!J$3:J$23,MATCH(SMALL(Tasks!$X$3:$X$23,list!$A17),Tasks!$X$3:$X$23,0)),"")</f>
        <v>19</v>
      </c>
      <c r="K17" s="36">
        <f>IFERROR(INDEX(Tasks!K$3:K$23,MATCH(SMALL(Tasks!$X$3:$X$23,list!$A17),Tasks!$X$3:$X$23,0)),"")</f>
        <v>44006</v>
      </c>
      <c r="L17" s="36">
        <f>IFERROR(INDEX(Tasks!L$3:L$23,MATCH(SMALL(Tasks!$X$3:$X$23,list!$A17),Tasks!$X$3:$X$23,0)),"")</f>
        <v>27</v>
      </c>
      <c r="M17" s="36">
        <f>IFERROR(INDEX(Tasks!M$3:M$23,MATCH(SMALL(Tasks!$X$3:$X$23,list!$A17),Tasks!$X$3:$X$23,0)),"")</f>
        <v>0</v>
      </c>
      <c r="N17" s="36">
        <f>IFERROR(INDEX(Tasks!N$3:N$23,MATCH(SMALL(Tasks!$X$3:$X$23,list!$A17),Tasks!$X$3:$X$23,0)),"")</f>
        <v>0</v>
      </c>
      <c r="O17" s="36">
        <f>IFERROR(INDEX(Tasks!O$3:O$23,MATCH(SMALL(Tasks!$X$3:$X$23,list!$A17),Tasks!$X$3:$X$23,0)),"")</f>
        <v>-48</v>
      </c>
      <c r="P17" s="36" t="str">
        <f>IFERROR(INDEX(Tasks!P$3:P$23,MATCH(SMALL(Tasks!$X$3:$X$23,list!$A17),Tasks!$X$3:$X$23,0)),"")</f>
        <v>Not Started</v>
      </c>
      <c r="Q17" s="36">
        <f>IFERROR(INDEX(Tasks!Q$3:Q$23,MATCH(SMALL(Tasks!$X$3:$X$23,list!$A17),Tasks!$X$3:$X$23,0)),"")</f>
        <v>0</v>
      </c>
      <c r="R17" s="36">
        <f>IFERROR(INDEX(Tasks!R$3:R$23,MATCH(SMALL(Tasks!$X$3:$X$23,list!$A17),Tasks!$X$3:$X$23,0)),"")</f>
        <v>0</v>
      </c>
      <c r="S17" s="36">
        <f>IFERROR(INDEX(Tasks!S$3:S$23,MATCH(SMALL(Tasks!$X$3:$X$23,list!$A17),Tasks!$X$3:$X$23,0)),"")</f>
        <v>0</v>
      </c>
      <c r="T17" s="36">
        <f>IFERROR(INDEX(Tasks!T$3:T$23,MATCH(SMALL(Tasks!$X$3:$X$23,list!$A17),Tasks!$X$3:$X$23,0)),"")</f>
        <v>0</v>
      </c>
      <c r="U17" s="36">
        <f>IFERROR(INDEX(Tasks!U$3:U$23,MATCH(SMALL(Tasks!$X$3:$X$23,list!$A17),Tasks!$X$3:$X$23,0)),"")</f>
        <v>0</v>
      </c>
      <c r="V17" s="36">
        <f>IFERROR(INDEX(Tasks!V$3:V$23,MATCH(SMALL(Tasks!$X$3:$X$23,list!$A17),Tasks!$X$3:$X$23,0)),"")</f>
        <v>4</v>
      </c>
      <c r="W17" s="36">
        <f>IFERROR(INDEX(Tasks!W$3:W$23,MATCH(SMALL(Tasks!$X$3:$X$23,list!$A17),Tasks!$X$3:$X$23,0)),"")</f>
        <v>43931</v>
      </c>
      <c r="X17" s="36"/>
      <c r="Y17">
        <f t="shared" si="1"/>
        <v>4</v>
      </c>
      <c r="Z17" s="21">
        <f>IFERROR(INDEX(Issues!A$4:A$19,MATCH(SMALL(Issues!$L$4:$L$19,$Y17),Issues!$L$4:$L$19,0)),"")</f>
        <v>6</v>
      </c>
      <c r="AA17" s="21" t="str">
        <f>IFERROR(INDEX(Issues!B$4:B$19,MATCH(SMALL(Issues!$L$4:$L$19,$Y17),Issues!$L$4:$L$19,0)),"")</f>
        <v>Issue#6</v>
      </c>
      <c r="AB17" s="21">
        <f>IFERROR(INDEX(Issues!C$4:C$19,MATCH(SMALL(Issues!$L$4:$L$19,$Y17),Issues!$L$4:$L$19,0)),"")</f>
        <v>0.09</v>
      </c>
      <c r="AC17" s="21">
        <f>IFERROR(INDEX(Issues!D$4:D$19,MATCH(SMALL(Issues!$L$4:$L$19,$Y17),Issues!$L$4:$L$19,0)),"")</f>
        <v>4436</v>
      </c>
      <c r="AD17" s="21">
        <f>IFERROR(INDEX(Issues!E$4:E$19,MATCH(SMALL(Issues!$L$4:$L$19,$Y17),Issues!$L$4:$L$19,0)),"")</f>
        <v>399.24</v>
      </c>
      <c r="AE17" s="21" t="str">
        <f>IFERROR(INDEX(Issues!F$4:F$19,MATCH(SMALL(Issues!$L$4:$L$19,$Y17),Issues!$L$4:$L$19,0)),"")</f>
        <v>Low</v>
      </c>
      <c r="AF17" s="21" t="str">
        <f>IFERROR(INDEX(Issues!G$4:G$19,MATCH(SMALL(Issues!$L$4:$L$19,$Y17),Issues!$L$4:$L$19,0)),"")</f>
        <v>Ashraf</v>
      </c>
      <c r="AG17" s="21">
        <f>IFERROR(INDEX(Issues!H$4:H$19,MATCH(SMALL(Issues!$L$4:$L$19,$Y17),Issues!$L$4:$L$19,0)),"")</f>
        <v>0</v>
      </c>
      <c r="AH17" s="21">
        <f>IFERROR(INDEX(Issues!I$4:I$19,MATCH(SMALL(Issues!$L$4:$L$19,$Y17),Issues!$L$4:$L$19,0)),"")</f>
        <v>0</v>
      </c>
      <c r="AI17" s="21" t="str">
        <f>IFERROR(INDEX(Issues!J$4:J$19,MATCH(SMALL(Issues!$L$4:$L$19,$Y17),Issues!$L$4:$L$19,0)),"")</f>
        <v>Most likely solved with no cost</v>
      </c>
      <c r="AJ17" s="21" t="str">
        <f>IFERROR(INDEX(Issues!K$4:K$19,MATCH(SMALL(Issues!$L$4:$L$19,$Y17),Issues!$L$4:$L$19,0)),"")</f>
        <v>Open</v>
      </c>
    </row>
    <row r="18" spans="1:36" x14ac:dyDescent="0.3">
      <c r="A18">
        <f t="shared" si="0"/>
        <v>5</v>
      </c>
      <c r="B18" s="36" t="str">
        <f>IFERROR(INDEX(Tasks!B$3:B$23,MATCH(SMALL(Tasks!$X$3:$X$23,list!$A18),Tasks!$X$3:$X$23,0)),"")</f>
        <v>Activity 18</v>
      </c>
      <c r="C18" s="36" t="str">
        <f>IFERROR(INDEX(Tasks!C$3:C$23,MATCH(SMALL(Tasks!$X$3:$X$23,list!$A18),Tasks!$X$3:$X$23,0)),"")</f>
        <v>BTS</v>
      </c>
      <c r="D18" s="36" t="str">
        <f>IFERROR(INDEX(Tasks!D$3:D$23,MATCH(SMALL(Tasks!$X$3:$X$23,list!$A18),Tasks!$X$3:$X$23,0)),"")</f>
        <v>Civil</v>
      </c>
      <c r="E18" s="36">
        <f>IFERROR(INDEX(Tasks!E$3:E$23,MATCH(SMALL(Tasks!$X$3:$X$23,list!$A18),Tasks!$X$3:$X$23,0)),"")</f>
        <v>43993</v>
      </c>
      <c r="F18" s="36">
        <f>IFERROR(INDEX(Tasks!F$3:F$23,MATCH(SMALL(Tasks!$X$3:$X$23,list!$A18),Tasks!$X$3:$X$23,0)),"")</f>
        <v>13</v>
      </c>
      <c r="G18" s="36">
        <f>IFERROR(INDEX(Tasks!G$3:G$23,MATCH(SMALL(Tasks!$X$3:$X$23,list!$A18),Tasks!$X$3:$X$23,0)),"")</f>
        <v>44012</v>
      </c>
      <c r="H18" s="36">
        <f>IFERROR(INDEX(Tasks!H$3:H$23,MATCH(SMALL(Tasks!$X$3:$X$23,list!$A18),Tasks!$X$3:$X$23,0)),"")</f>
        <v>19</v>
      </c>
      <c r="I18" s="36">
        <f>IFERROR(INDEX(Tasks!I$3:I$23,MATCH(SMALL(Tasks!$X$3:$X$23,list!$A18),Tasks!$X$3:$X$23,0)),"")</f>
        <v>43994</v>
      </c>
      <c r="J18" s="36">
        <f>IFERROR(INDEX(Tasks!J$3:J$23,MATCH(SMALL(Tasks!$X$3:$X$23,list!$A18),Tasks!$X$3:$X$23,0)),"")</f>
        <v>13</v>
      </c>
      <c r="K18" s="36">
        <f>IFERROR(INDEX(Tasks!K$3:K$23,MATCH(SMALL(Tasks!$X$3:$X$23,list!$A18),Tasks!$X$3:$X$23,0)),"")</f>
        <v>44012</v>
      </c>
      <c r="L18" s="36">
        <f>IFERROR(INDEX(Tasks!L$3:L$23,MATCH(SMALL(Tasks!$X$3:$X$23,list!$A18),Tasks!$X$3:$X$23,0)),"")</f>
        <v>18</v>
      </c>
      <c r="M18" s="36">
        <f>IFERROR(INDEX(Tasks!M$3:M$23,MATCH(SMALL(Tasks!$X$3:$X$23,list!$A18),Tasks!$X$3:$X$23,0)),"")</f>
        <v>0</v>
      </c>
      <c r="N18" s="36">
        <f>IFERROR(INDEX(Tasks!N$3:N$23,MATCH(SMALL(Tasks!$X$3:$X$23,list!$A18),Tasks!$X$3:$X$23,0)),"")</f>
        <v>0</v>
      </c>
      <c r="O18" s="36">
        <f>IFERROR(INDEX(Tasks!O$3:O$23,MATCH(SMALL(Tasks!$X$3:$X$23,list!$A18),Tasks!$X$3:$X$23,0)),"")</f>
        <v>-63</v>
      </c>
      <c r="P18" s="36" t="str">
        <f>IFERROR(INDEX(Tasks!P$3:P$23,MATCH(SMALL(Tasks!$X$3:$X$23,list!$A18),Tasks!$X$3:$X$23,0)),"")</f>
        <v>Not Started</v>
      </c>
      <c r="Q18" s="36">
        <f>IFERROR(INDEX(Tasks!Q$3:Q$23,MATCH(SMALL(Tasks!$X$3:$X$23,list!$A18),Tasks!$X$3:$X$23,0)),"")</f>
        <v>0</v>
      </c>
      <c r="R18" s="36">
        <f>IFERROR(INDEX(Tasks!R$3:R$23,MATCH(SMALL(Tasks!$X$3:$X$23,list!$A18),Tasks!$X$3:$X$23,0)),"")</f>
        <v>0</v>
      </c>
      <c r="S18" s="36">
        <f>IFERROR(INDEX(Tasks!S$3:S$23,MATCH(SMALL(Tasks!$X$3:$X$23,list!$A18),Tasks!$X$3:$X$23,0)),"")</f>
        <v>0</v>
      </c>
      <c r="T18" s="36">
        <f>IFERROR(INDEX(Tasks!T$3:T$23,MATCH(SMALL(Tasks!$X$3:$X$23,list!$A18),Tasks!$X$3:$X$23,0)),"")</f>
        <v>0</v>
      </c>
      <c r="U18" s="36">
        <f>IFERROR(INDEX(Tasks!U$3:U$23,MATCH(SMALL(Tasks!$X$3:$X$23,list!$A18),Tasks!$X$3:$X$23,0)),"")</f>
        <v>0</v>
      </c>
      <c r="V18" s="36">
        <f>IFERROR(INDEX(Tasks!V$3:V$23,MATCH(SMALL(Tasks!$X$3:$X$23,list!$A18),Tasks!$X$3:$X$23,0)),"")</f>
        <v>3</v>
      </c>
      <c r="W18" s="36">
        <f>IFERROR(INDEX(Tasks!W$3:W$23,MATCH(SMALL(Tasks!$X$3:$X$23,list!$A18),Tasks!$X$3:$X$23,0)),"")</f>
        <v>43931</v>
      </c>
      <c r="X18" s="36"/>
      <c r="Y18">
        <f t="shared" si="1"/>
        <v>5</v>
      </c>
      <c r="Z18" s="21">
        <f>IFERROR(INDEX(Issues!A$4:A$19,MATCH(SMALL(Issues!$L$4:$L$19,$Y18),Issues!$L$4:$L$19,0)),"")</f>
        <v>7</v>
      </c>
      <c r="AA18" s="21" t="str">
        <f>IFERROR(INDEX(Issues!B$4:B$19,MATCH(SMALL(Issues!$L$4:$L$19,$Y18),Issues!$L$4:$L$19,0)),"")</f>
        <v>Issue#7</v>
      </c>
      <c r="AB18" s="21">
        <f>IFERROR(INDEX(Issues!C$4:C$19,MATCH(SMALL(Issues!$L$4:$L$19,$Y18),Issues!$L$4:$L$19,0)),"")</f>
        <v>0.04</v>
      </c>
      <c r="AC18" s="21">
        <f>IFERROR(INDEX(Issues!D$4:D$19,MATCH(SMALL(Issues!$L$4:$L$19,$Y18),Issues!$L$4:$L$19,0)),"")</f>
        <v>1206</v>
      </c>
      <c r="AD18" s="21">
        <f>IFERROR(INDEX(Issues!E$4:E$19,MATCH(SMALL(Issues!$L$4:$L$19,$Y18),Issues!$L$4:$L$19,0)),"")</f>
        <v>48.24</v>
      </c>
      <c r="AE18" s="21" t="str">
        <f>IFERROR(INDEX(Issues!F$4:F$19,MATCH(SMALL(Issues!$L$4:$L$19,$Y18),Issues!$L$4:$L$19,0)),"")</f>
        <v>Low</v>
      </c>
      <c r="AF18" s="21" t="str">
        <f>IFERROR(INDEX(Issues!G$4:G$19,MATCH(SMALL(Issues!$L$4:$L$19,$Y18),Issues!$L$4:$L$19,0)),"")</f>
        <v>Ahmad</v>
      </c>
      <c r="AG18" s="21">
        <f>IFERROR(INDEX(Issues!H$4:H$19,MATCH(SMALL(Issues!$L$4:$L$19,$Y18),Issues!$L$4:$L$19,0)),"")</f>
        <v>0</v>
      </c>
      <c r="AH18" s="21">
        <f>IFERROR(INDEX(Issues!I$4:I$19,MATCH(SMALL(Issues!$L$4:$L$19,$Y18),Issues!$L$4:$L$19,0)),"")</f>
        <v>0</v>
      </c>
      <c r="AI18" s="21" t="str">
        <f>IFERROR(INDEX(Issues!J$4:J$19,MATCH(SMALL(Issues!$L$4:$L$19,$Y18),Issues!$L$4:$L$19,0)),"")</f>
        <v>Solved wih the owner</v>
      </c>
      <c r="AJ18" s="21" t="str">
        <f>IFERROR(INDEX(Issues!K$4:K$19,MATCH(SMALL(Issues!$L$4:$L$19,$Y18),Issues!$L$4:$L$19,0)),"")</f>
        <v>Close</v>
      </c>
    </row>
    <row r="19" spans="1:36" x14ac:dyDescent="0.3">
      <c r="A19">
        <f t="shared" si="0"/>
        <v>6</v>
      </c>
      <c r="B19" s="36" t="str">
        <f>IFERROR(INDEX(Tasks!B$3:B$23,MATCH(SMALL(Tasks!$X$3:$X$23,list!$A19),Tasks!$X$3:$X$23,0)),"")</f>
        <v>Activity 19</v>
      </c>
      <c r="C19" s="36" t="str">
        <f>IFERROR(INDEX(Tasks!C$3:C$23,MATCH(SMALL(Tasks!$X$3:$X$23,list!$A19),Tasks!$X$3:$X$23,0)),"")</f>
        <v>ARC</v>
      </c>
      <c r="D19" s="36" t="str">
        <f>IFERROR(INDEX(Tasks!D$3:D$23,MATCH(SMALL(Tasks!$X$3:$X$23,list!$A19),Tasks!$X$3:$X$23,0)),"")</f>
        <v>Acrhitict</v>
      </c>
      <c r="E19" s="36">
        <f>IFERROR(INDEX(Tasks!E$3:E$23,MATCH(SMALL(Tasks!$X$3:$X$23,list!$A19),Tasks!$X$3:$X$23,0)),"")</f>
        <v>43995</v>
      </c>
      <c r="F19" s="36">
        <f>IFERROR(INDEX(Tasks!F$3:F$23,MATCH(SMALL(Tasks!$X$3:$X$23,list!$A19),Tasks!$X$3:$X$23,0)),"")</f>
        <v>14</v>
      </c>
      <c r="G19" s="36">
        <f>IFERROR(INDEX(Tasks!G$3:G$23,MATCH(SMALL(Tasks!$X$3:$X$23,list!$A19),Tasks!$X$3:$X$23,0)),"")</f>
        <v>44013</v>
      </c>
      <c r="H19" s="36">
        <f>IFERROR(INDEX(Tasks!H$3:H$23,MATCH(SMALL(Tasks!$X$3:$X$23,list!$A19),Tasks!$X$3:$X$23,0)),"")</f>
        <v>18</v>
      </c>
      <c r="I19" s="36">
        <f>IFERROR(INDEX(Tasks!I$3:I$23,MATCH(SMALL(Tasks!$X$3:$X$23,list!$A19),Tasks!$X$3:$X$23,0)),"")</f>
        <v>43996</v>
      </c>
      <c r="J19" s="36">
        <f>IFERROR(INDEX(Tasks!J$3:J$23,MATCH(SMALL(Tasks!$X$3:$X$23,list!$A19),Tasks!$X$3:$X$23,0)),"")</f>
        <v>14</v>
      </c>
      <c r="K19" s="36">
        <f>IFERROR(INDEX(Tasks!K$3:K$23,MATCH(SMALL(Tasks!$X$3:$X$23,list!$A19),Tasks!$X$3:$X$23,0)),"")</f>
        <v>44014</v>
      </c>
      <c r="L19" s="36">
        <f>IFERROR(INDEX(Tasks!L$3:L$23,MATCH(SMALL(Tasks!$X$3:$X$23,list!$A19),Tasks!$X$3:$X$23,0)),"")</f>
        <v>18</v>
      </c>
      <c r="M19" s="36">
        <f>IFERROR(INDEX(Tasks!M$3:M$23,MATCH(SMALL(Tasks!$X$3:$X$23,list!$A19),Tasks!$X$3:$X$23,0)),"")</f>
        <v>0</v>
      </c>
      <c r="N19" s="36">
        <f>IFERROR(INDEX(Tasks!N$3:N$23,MATCH(SMALL(Tasks!$X$3:$X$23,list!$A19),Tasks!$X$3:$X$23,0)),"")</f>
        <v>0</v>
      </c>
      <c r="O19" s="36">
        <f>IFERROR(INDEX(Tasks!O$3:O$23,MATCH(SMALL(Tasks!$X$3:$X$23,list!$A19),Tasks!$X$3:$X$23,0)),"")</f>
        <v>-65</v>
      </c>
      <c r="P19" s="36" t="str">
        <f>IFERROR(INDEX(Tasks!P$3:P$23,MATCH(SMALL(Tasks!$X$3:$X$23,list!$A19),Tasks!$X$3:$X$23,0)),"")</f>
        <v>Not Started</v>
      </c>
      <c r="Q19" s="36">
        <f>IFERROR(INDEX(Tasks!Q$3:Q$23,MATCH(SMALL(Tasks!$X$3:$X$23,list!$A19),Tasks!$X$3:$X$23,0)),"")</f>
        <v>0</v>
      </c>
      <c r="R19" s="36">
        <f>IFERROR(INDEX(Tasks!R$3:R$23,MATCH(SMALL(Tasks!$X$3:$X$23,list!$A19),Tasks!$X$3:$X$23,0)),"")</f>
        <v>0</v>
      </c>
      <c r="S19" s="36">
        <f>IFERROR(INDEX(Tasks!S$3:S$23,MATCH(SMALL(Tasks!$X$3:$X$23,list!$A19),Tasks!$X$3:$X$23,0)),"")</f>
        <v>0</v>
      </c>
      <c r="T19" s="36">
        <f>IFERROR(INDEX(Tasks!T$3:T$23,MATCH(SMALL(Tasks!$X$3:$X$23,list!$A19),Tasks!$X$3:$X$23,0)),"")</f>
        <v>0</v>
      </c>
      <c r="U19" s="36">
        <f>IFERROR(INDEX(Tasks!U$3:U$23,MATCH(SMALL(Tasks!$X$3:$X$23,list!$A19),Tasks!$X$3:$X$23,0)),"")</f>
        <v>0</v>
      </c>
      <c r="V19" s="36">
        <f>IFERROR(INDEX(Tasks!V$3:V$23,MATCH(SMALL(Tasks!$X$3:$X$23,list!$A19),Tasks!$X$3:$X$23,0)),"")</f>
        <v>2</v>
      </c>
      <c r="W19" s="36">
        <f>IFERROR(INDEX(Tasks!W$3:W$23,MATCH(SMALL(Tasks!$X$3:$X$23,list!$A19),Tasks!$X$3:$X$23,0)),"")</f>
        <v>43931</v>
      </c>
      <c r="X19" s="36"/>
      <c r="Y19">
        <f t="shared" si="1"/>
        <v>6</v>
      </c>
      <c r="Z19" s="21">
        <f>IFERROR(INDEX(Issues!A$4:A$19,MATCH(SMALL(Issues!$L$4:$L$19,$Y19),Issues!$L$4:$L$19,0)),"")</f>
        <v>8</v>
      </c>
      <c r="AA19" s="21" t="str">
        <f>IFERROR(INDEX(Issues!B$4:B$19,MATCH(SMALL(Issues!$L$4:$L$19,$Y19),Issues!$L$4:$L$19,0)),"")</f>
        <v>Issue#8</v>
      </c>
      <c r="AB19" s="21">
        <f>IFERROR(INDEX(Issues!C$4:C$19,MATCH(SMALL(Issues!$L$4:$L$19,$Y19),Issues!$L$4:$L$19,0)),"")</f>
        <v>0.46</v>
      </c>
      <c r="AC19" s="21">
        <f>IFERROR(INDEX(Issues!D$4:D$19,MATCH(SMALL(Issues!$L$4:$L$19,$Y19),Issues!$L$4:$L$19,0)),"")</f>
        <v>1318</v>
      </c>
      <c r="AD19" s="21">
        <f>IFERROR(INDEX(Issues!E$4:E$19,MATCH(SMALL(Issues!$L$4:$L$19,$Y19),Issues!$L$4:$L$19,0)),"")</f>
        <v>606.28</v>
      </c>
      <c r="AE19" s="21" t="str">
        <f>IFERROR(INDEX(Issues!F$4:F$19,MATCH(SMALL(Issues!$L$4:$L$19,$Y19),Issues!$L$4:$L$19,0)),"")</f>
        <v>Low</v>
      </c>
      <c r="AF19" s="21" t="str">
        <f>IFERROR(INDEX(Issues!G$4:G$19,MATCH(SMALL(Issues!$L$4:$L$19,$Y19),Issues!$L$4:$L$19,0)),"")</f>
        <v>Akram</v>
      </c>
      <c r="AG19" s="21">
        <f>IFERROR(INDEX(Issues!H$4:H$19,MATCH(SMALL(Issues!$L$4:$L$19,$Y19),Issues!$L$4:$L$19,0)),"")</f>
        <v>0</v>
      </c>
      <c r="AH19" s="21">
        <f>IFERROR(INDEX(Issues!I$4:I$19,MATCH(SMALL(Issues!$L$4:$L$19,$Y19),Issues!$L$4:$L$19,0)),"")</f>
        <v>0</v>
      </c>
      <c r="AI19" s="21" t="str">
        <f>IFERROR(INDEX(Issues!J$4:J$19,MATCH(SMALL(Issues!$L$4:$L$19,$Y19),Issues!$L$4:$L$19,0)),"")</f>
        <v>Solved wih the owner</v>
      </c>
      <c r="AJ19" s="21" t="str">
        <f>IFERROR(INDEX(Issues!K$4:K$19,MATCH(SMALL(Issues!$L$4:$L$19,$Y19),Issues!$L$4:$L$19,0)),"")</f>
        <v>Close</v>
      </c>
    </row>
    <row r="20" spans="1:36" x14ac:dyDescent="0.3">
      <c r="A20">
        <f t="shared" si="0"/>
        <v>7</v>
      </c>
      <c r="B20" s="36" t="str">
        <f>IFERROR(INDEX(Tasks!B$3:B$23,MATCH(SMALL(Tasks!$X$3:$X$23,list!$A20),Tasks!$X$3:$X$23,0)),"")</f>
        <v>Activity 20</v>
      </c>
      <c r="C20" s="36" t="str">
        <f>IFERROR(INDEX(Tasks!C$3:C$23,MATCH(SMALL(Tasks!$X$3:$X$23,list!$A20),Tasks!$X$3:$X$23,0)),"")</f>
        <v>ELC</v>
      </c>
      <c r="D20" s="36" t="str">
        <f>IFERROR(INDEX(Tasks!D$3:D$23,MATCH(SMALL(Tasks!$X$3:$X$23,list!$A20),Tasks!$X$3:$X$23,0)),"")</f>
        <v>Electrical</v>
      </c>
      <c r="E20" s="36">
        <f>IFERROR(INDEX(Tasks!E$3:E$23,MATCH(SMALL(Tasks!$X$3:$X$23,list!$A20),Tasks!$X$3:$X$23,0)),"")</f>
        <v>43998</v>
      </c>
      <c r="F20" s="36">
        <f>IFERROR(INDEX(Tasks!F$3:F$23,MATCH(SMALL(Tasks!$X$3:$X$23,list!$A20),Tasks!$X$3:$X$23,0)),"")</f>
        <v>22</v>
      </c>
      <c r="G20" s="36">
        <f>IFERROR(INDEX(Tasks!G$3:G$23,MATCH(SMALL(Tasks!$X$3:$X$23,list!$A20),Tasks!$X$3:$X$23,0)),"")</f>
        <v>44028</v>
      </c>
      <c r="H20" s="36">
        <f>IFERROR(INDEX(Tasks!H$3:H$23,MATCH(SMALL(Tasks!$X$3:$X$23,list!$A20),Tasks!$X$3:$X$23,0)),"")</f>
        <v>30</v>
      </c>
      <c r="I20" s="36">
        <f>IFERROR(INDEX(Tasks!I$3:I$23,MATCH(SMALL(Tasks!$X$3:$X$23,list!$A20),Tasks!$X$3:$X$23,0)),"")</f>
        <v>43999</v>
      </c>
      <c r="J20" s="36">
        <f>IFERROR(INDEX(Tasks!J$3:J$23,MATCH(SMALL(Tasks!$X$3:$X$23,list!$A20),Tasks!$X$3:$X$23,0)),"")</f>
        <v>22</v>
      </c>
      <c r="K20" s="36">
        <f>IFERROR(INDEX(Tasks!K$3:K$23,MATCH(SMALL(Tasks!$X$3:$X$23,list!$A20),Tasks!$X$3:$X$23,0)),"")</f>
        <v>44031</v>
      </c>
      <c r="L20" s="36">
        <f>IFERROR(INDEX(Tasks!L$3:L$23,MATCH(SMALL(Tasks!$X$3:$X$23,list!$A20),Tasks!$X$3:$X$23,0)),"")</f>
        <v>32</v>
      </c>
      <c r="M20" s="36">
        <f>IFERROR(INDEX(Tasks!M$3:M$23,MATCH(SMALL(Tasks!$X$3:$X$23,list!$A20),Tasks!$X$3:$X$23,0)),"")</f>
        <v>0</v>
      </c>
      <c r="N20" s="36">
        <f>IFERROR(INDEX(Tasks!N$3:N$23,MATCH(SMALL(Tasks!$X$3:$X$23,list!$A20),Tasks!$X$3:$X$23,0)),"")</f>
        <v>0</v>
      </c>
      <c r="O20" s="36">
        <f>IFERROR(INDEX(Tasks!O$3:O$23,MATCH(SMALL(Tasks!$X$3:$X$23,list!$A20),Tasks!$X$3:$X$23,0)),"")</f>
        <v>-68</v>
      </c>
      <c r="P20" s="36" t="str">
        <f>IFERROR(INDEX(Tasks!P$3:P$23,MATCH(SMALL(Tasks!$X$3:$X$23,list!$A20),Tasks!$X$3:$X$23,0)),"")</f>
        <v>Not Started</v>
      </c>
      <c r="Q20" s="36">
        <f>IFERROR(INDEX(Tasks!Q$3:Q$23,MATCH(SMALL(Tasks!$X$3:$X$23,list!$A20),Tasks!$X$3:$X$23,0)),"")</f>
        <v>0</v>
      </c>
      <c r="R20" s="36">
        <f>IFERROR(INDEX(Tasks!R$3:R$23,MATCH(SMALL(Tasks!$X$3:$X$23,list!$A20),Tasks!$X$3:$X$23,0)),"")</f>
        <v>0</v>
      </c>
      <c r="S20" s="36">
        <f>IFERROR(INDEX(Tasks!S$3:S$23,MATCH(SMALL(Tasks!$X$3:$X$23,list!$A20),Tasks!$X$3:$X$23,0)),"")</f>
        <v>0</v>
      </c>
      <c r="T20" s="36">
        <f>IFERROR(INDEX(Tasks!T$3:T$23,MATCH(SMALL(Tasks!$X$3:$X$23,list!$A20),Tasks!$X$3:$X$23,0)),"")</f>
        <v>0</v>
      </c>
      <c r="U20" s="36">
        <f>IFERROR(INDEX(Tasks!U$3:U$23,MATCH(SMALL(Tasks!$X$3:$X$23,list!$A20),Tasks!$X$3:$X$23,0)),"")</f>
        <v>0</v>
      </c>
      <c r="V20" s="36">
        <f>IFERROR(INDEX(Tasks!V$3:V$23,MATCH(SMALL(Tasks!$X$3:$X$23,list!$A20),Tasks!$X$3:$X$23,0)),"")</f>
        <v>1</v>
      </c>
      <c r="W20" s="36">
        <f>IFERROR(INDEX(Tasks!W$3:W$23,MATCH(SMALL(Tasks!$X$3:$X$23,list!$A20),Tasks!$X$3:$X$23,0)),"")</f>
        <v>43931</v>
      </c>
      <c r="X20" s="36"/>
      <c r="Y20">
        <f t="shared" si="1"/>
        <v>7</v>
      </c>
      <c r="Z20" s="21">
        <f>IFERROR(INDEX(Issues!A$4:A$19,MATCH(SMALL(Issues!$L$4:$L$19,$Y20),Issues!$L$4:$L$19,0)),"")</f>
        <v>9</v>
      </c>
      <c r="AA20" s="21" t="str">
        <f>IFERROR(INDEX(Issues!B$4:B$19,MATCH(SMALL(Issues!$L$4:$L$19,$Y20),Issues!$L$4:$L$19,0)),"")</f>
        <v>Issue#9</v>
      </c>
      <c r="AB20" s="21">
        <f>IFERROR(INDEX(Issues!C$4:C$19,MATCH(SMALL(Issues!$L$4:$L$19,$Y20),Issues!$L$4:$L$19,0)),"")</f>
        <v>0.17</v>
      </c>
      <c r="AC20" s="21">
        <f>IFERROR(INDEX(Issues!D$4:D$19,MATCH(SMALL(Issues!$L$4:$L$19,$Y20),Issues!$L$4:$L$19,0)),"")</f>
        <v>3187</v>
      </c>
      <c r="AD20" s="21">
        <f>IFERROR(INDEX(Issues!E$4:E$19,MATCH(SMALL(Issues!$L$4:$L$19,$Y20),Issues!$L$4:$L$19,0)),"")</f>
        <v>541.79000000000008</v>
      </c>
      <c r="AE20" s="21" t="str">
        <f>IFERROR(INDEX(Issues!F$4:F$19,MATCH(SMALL(Issues!$L$4:$L$19,$Y20),Issues!$L$4:$L$19,0)),"")</f>
        <v>Low</v>
      </c>
      <c r="AF20" s="21" t="str">
        <f>IFERROR(INDEX(Issues!G$4:G$19,MATCH(SMALL(Issues!$L$4:$L$19,$Y20),Issues!$L$4:$L$19,0)),"")</f>
        <v>Ahmad</v>
      </c>
      <c r="AG20" s="21">
        <f>IFERROR(INDEX(Issues!H$4:H$19,MATCH(SMALL(Issues!$L$4:$L$19,$Y20),Issues!$L$4:$L$19,0)),"")</f>
        <v>0</v>
      </c>
      <c r="AH20" s="21">
        <f>IFERROR(INDEX(Issues!I$4:I$19,MATCH(SMALL(Issues!$L$4:$L$19,$Y20),Issues!$L$4:$L$19,0)),"")</f>
        <v>0</v>
      </c>
      <c r="AI20" s="21" t="str">
        <f>IFERROR(INDEX(Issues!J$4:J$19,MATCH(SMALL(Issues!$L$4:$L$19,$Y20),Issues!$L$4:$L$19,0)),"")</f>
        <v>Most likely solved with no cost</v>
      </c>
      <c r="AJ20" s="21" t="str">
        <f>IFERROR(INDEX(Issues!K$4:K$19,MATCH(SMALL(Issues!$L$4:$L$19,$Y20),Issues!$L$4:$L$19,0)),"")</f>
        <v>Open</v>
      </c>
    </row>
    <row r="21" spans="1:36" x14ac:dyDescent="0.3">
      <c r="A21">
        <f t="shared" si="0"/>
        <v>8</v>
      </c>
      <c r="B21" s="36" t="str">
        <f>IFERROR(INDEX(Tasks!B$3:B$23,MATCH(SMALL(Tasks!$X$3:$X$23,list!$A21),Tasks!$X$3:$X$23,0)),"")</f>
        <v>Activity 21</v>
      </c>
      <c r="C21" s="36" t="str">
        <f>IFERROR(INDEX(Tasks!C$3:C$23,MATCH(SMALL(Tasks!$X$3:$X$23,list!$A21),Tasks!$X$3:$X$23,0)),"")</f>
        <v>ELC</v>
      </c>
      <c r="D21" s="36" t="str">
        <f>IFERROR(INDEX(Tasks!D$3:D$23,MATCH(SMALL(Tasks!$X$3:$X$23,list!$A21),Tasks!$X$3:$X$23,0)),"")</f>
        <v>Electrical</v>
      </c>
      <c r="E21" s="36">
        <f>IFERROR(INDEX(Tasks!E$3:E$23,MATCH(SMALL(Tasks!$X$3:$X$23,list!$A21),Tasks!$X$3:$X$23,0)),"")</f>
        <v>44003</v>
      </c>
      <c r="F21" s="36">
        <f>IFERROR(INDEX(Tasks!F$3:F$23,MATCH(SMALL(Tasks!$X$3:$X$23,list!$A21),Tasks!$X$3:$X$23,0)),"")</f>
        <v>6</v>
      </c>
      <c r="G21" s="36">
        <f>IFERROR(INDEX(Tasks!G$3:G$23,MATCH(SMALL(Tasks!$X$3:$X$23,list!$A21),Tasks!$X$3:$X$23,0)),"")</f>
        <v>44011</v>
      </c>
      <c r="H21" s="36">
        <f>IFERROR(INDEX(Tasks!H$3:H$23,MATCH(SMALL(Tasks!$X$3:$X$23,list!$A21),Tasks!$X$3:$X$23,0)),"")</f>
        <v>8</v>
      </c>
      <c r="I21" s="36">
        <f>IFERROR(INDEX(Tasks!I$3:I$23,MATCH(SMALL(Tasks!$X$3:$X$23,list!$A21),Tasks!$X$3:$X$23,0)),"")</f>
        <v>44004</v>
      </c>
      <c r="J21" s="36">
        <f>IFERROR(INDEX(Tasks!J$3:J$23,MATCH(SMALL(Tasks!$X$3:$X$23,list!$A21),Tasks!$X$3:$X$23,0)),"")</f>
        <v>6</v>
      </c>
      <c r="K21" s="36">
        <f>IFERROR(INDEX(Tasks!K$3:K$23,MATCH(SMALL(Tasks!$X$3:$X$23,list!$A21),Tasks!$X$3:$X$23,0)),"")</f>
        <v>44012</v>
      </c>
      <c r="L21" s="36">
        <f>IFERROR(INDEX(Tasks!L$3:L$23,MATCH(SMALL(Tasks!$X$3:$X$23,list!$A21),Tasks!$X$3:$X$23,0)),"")</f>
        <v>8</v>
      </c>
      <c r="M21" s="36">
        <f>IFERROR(INDEX(Tasks!M$3:M$23,MATCH(SMALL(Tasks!$X$3:$X$23,list!$A21),Tasks!$X$3:$X$23,0)),"")</f>
        <v>0</v>
      </c>
      <c r="N21" s="36">
        <f>IFERROR(INDEX(Tasks!N$3:N$23,MATCH(SMALL(Tasks!$X$3:$X$23,list!$A21),Tasks!$X$3:$X$23,0)),"")</f>
        <v>0</v>
      </c>
      <c r="O21" s="36">
        <f>IFERROR(INDEX(Tasks!O$3:O$23,MATCH(SMALL(Tasks!$X$3:$X$23,list!$A21),Tasks!$X$3:$X$23,0)),"")</f>
        <v>-73</v>
      </c>
      <c r="P21" s="36" t="str">
        <f>IFERROR(INDEX(Tasks!P$3:P$23,MATCH(SMALL(Tasks!$X$3:$X$23,list!$A21),Tasks!$X$3:$X$23,0)),"")</f>
        <v>Not Started</v>
      </c>
      <c r="Q21" s="36">
        <f>IFERROR(INDEX(Tasks!Q$3:Q$23,MATCH(SMALL(Tasks!$X$3:$X$23,list!$A21),Tasks!$X$3:$X$23,0)),"")</f>
        <v>0</v>
      </c>
      <c r="R21" s="36">
        <f>IFERROR(INDEX(Tasks!R$3:R$23,MATCH(SMALL(Tasks!$X$3:$X$23,list!$A21),Tasks!$X$3:$X$23,0)),"")</f>
        <v>3213</v>
      </c>
      <c r="S21" s="36">
        <f>IFERROR(INDEX(Tasks!S$3:S$23,MATCH(SMALL(Tasks!$X$3:$X$23,list!$A21),Tasks!$X$3:$X$23,0)),"")</f>
        <v>3213</v>
      </c>
      <c r="T21" s="36">
        <f>IFERROR(INDEX(Tasks!T$3:T$23,MATCH(SMALL(Tasks!$X$3:$X$23,list!$A21),Tasks!$X$3:$X$23,0)),"")</f>
        <v>0</v>
      </c>
      <c r="U21" s="36">
        <f>IFERROR(INDEX(Tasks!U$3:U$23,MATCH(SMALL(Tasks!$X$3:$X$23,list!$A21),Tasks!$X$3:$X$23,0)),"")</f>
        <v>0</v>
      </c>
      <c r="V21" s="36">
        <f>IFERROR(INDEX(Tasks!V$3:V$23,MATCH(SMALL(Tasks!$X$3:$X$23,list!$A21),Tasks!$X$3:$X$23,0)),"")</f>
        <v>0</v>
      </c>
      <c r="W21" s="36">
        <f>IFERROR(INDEX(Tasks!W$3:W$23,MATCH(SMALL(Tasks!$X$3:$X$23,list!$A21),Tasks!$X$3:$X$23,0)),"")</f>
        <v>43931</v>
      </c>
      <c r="X21" s="36"/>
      <c r="Y21">
        <f t="shared" si="1"/>
        <v>8</v>
      </c>
      <c r="Z21" s="21">
        <f>IFERROR(INDEX(Issues!A$4:A$19,MATCH(SMALL(Issues!$L$4:$L$19,$Y21),Issues!$L$4:$L$19,0)),"")</f>
        <v>10</v>
      </c>
      <c r="AA21" s="21" t="str">
        <f>IFERROR(INDEX(Issues!B$4:B$19,MATCH(SMALL(Issues!$L$4:$L$19,$Y21),Issues!$L$4:$L$19,0)),"")</f>
        <v>Issue#10</v>
      </c>
      <c r="AB21" s="21">
        <f>IFERROR(INDEX(Issues!C$4:C$19,MATCH(SMALL(Issues!$L$4:$L$19,$Y21),Issues!$L$4:$L$19,0)),"")</f>
        <v>0.12</v>
      </c>
      <c r="AC21" s="21">
        <f>IFERROR(INDEX(Issues!D$4:D$19,MATCH(SMALL(Issues!$L$4:$L$19,$Y21),Issues!$L$4:$L$19,0)),"")</f>
        <v>9007</v>
      </c>
      <c r="AD21" s="21">
        <f>IFERROR(INDEX(Issues!E$4:E$19,MATCH(SMALL(Issues!$L$4:$L$19,$Y21),Issues!$L$4:$L$19,0)),"")</f>
        <v>1080.8399999999999</v>
      </c>
      <c r="AE21" s="21" t="str">
        <f>IFERROR(INDEX(Issues!F$4:F$19,MATCH(SMALL(Issues!$L$4:$L$19,$Y21),Issues!$L$4:$L$19,0)),"")</f>
        <v>Low</v>
      </c>
      <c r="AF21" s="21" t="str">
        <f>IFERROR(INDEX(Issues!G$4:G$19,MATCH(SMALL(Issues!$L$4:$L$19,$Y21),Issues!$L$4:$L$19,0)),"")</f>
        <v>Ahmad</v>
      </c>
      <c r="AG21" s="21">
        <f>IFERROR(INDEX(Issues!H$4:H$19,MATCH(SMALL(Issues!$L$4:$L$19,$Y21),Issues!$L$4:$L$19,0)),"")</f>
        <v>0</v>
      </c>
      <c r="AH21" s="21">
        <f>IFERROR(INDEX(Issues!I$4:I$19,MATCH(SMALL(Issues!$L$4:$L$19,$Y21),Issues!$L$4:$L$19,0)),"")</f>
        <v>0</v>
      </c>
      <c r="AI21" s="21" t="str">
        <f>IFERROR(INDEX(Issues!J$4:J$19,MATCH(SMALL(Issues!$L$4:$L$19,$Y21),Issues!$L$4:$L$19,0)),"")</f>
        <v>Solved wih the owner</v>
      </c>
      <c r="AJ21" s="21" t="str">
        <f>IFERROR(INDEX(Issues!K$4:K$19,MATCH(SMALL(Issues!$L$4:$L$19,$Y21),Issues!$L$4:$L$19,0)),"")</f>
        <v>Close</v>
      </c>
    </row>
    <row r="22" spans="1:36" x14ac:dyDescent="0.3">
      <c r="A22" t="str">
        <f t="shared" si="0"/>
        <v/>
      </c>
      <c r="B22" s="36" t="str">
        <f>IFERROR(INDEX(Tasks!B$3:B$23,MATCH(SMALL(Tasks!$X$3:$X$23,list!$A22),Tasks!$X$3:$X$23,0)),"")</f>
        <v/>
      </c>
      <c r="C22" s="36" t="str">
        <f>IFERROR(INDEX(Tasks!C$3:C$23,MATCH(SMALL(Tasks!$X$3:$X$23,list!$A22),Tasks!$X$3:$X$23,0)),"")</f>
        <v/>
      </c>
      <c r="D22" s="36" t="str">
        <f>IFERROR(INDEX(Tasks!D$3:D$23,MATCH(SMALL(Tasks!$X$3:$X$23,list!$A22),Tasks!$X$3:$X$23,0)),"")</f>
        <v/>
      </c>
      <c r="E22" s="36" t="str">
        <f>IFERROR(INDEX(Tasks!E$3:E$23,MATCH(SMALL(Tasks!$X$3:$X$23,list!$A22),Tasks!$X$3:$X$23,0)),"")</f>
        <v/>
      </c>
      <c r="F22" s="36" t="str">
        <f>IFERROR(INDEX(Tasks!F$3:F$23,MATCH(SMALL(Tasks!$X$3:$X$23,list!$A22),Tasks!$X$3:$X$23,0)),"")</f>
        <v/>
      </c>
      <c r="G22" s="36" t="str">
        <f>IFERROR(INDEX(Tasks!G$3:G$23,MATCH(SMALL(Tasks!$X$3:$X$23,list!$A22),Tasks!$X$3:$X$23,0)),"")</f>
        <v/>
      </c>
      <c r="H22" s="36" t="str">
        <f>IFERROR(INDEX(Tasks!H$3:H$23,MATCH(SMALL(Tasks!$X$3:$X$23,list!$A22),Tasks!$X$3:$X$23,0)),"")</f>
        <v/>
      </c>
      <c r="I22" s="36" t="str">
        <f>IFERROR(INDEX(Tasks!I$3:I$23,MATCH(SMALL(Tasks!$X$3:$X$23,list!$A22),Tasks!$X$3:$X$23,0)),"")</f>
        <v/>
      </c>
      <c r="J22" s="36" t="str">
        <f>IFERROR(INDEX(Tasks!J$3:J$23,MATCH(SMALL(Tasks!$X$3:$X$23,list!$A22),Tasks!$X$3:$X$23,0)),"")</f>
        <v/>
      </c>
      <c r="K22" s="36" t="str">
        <f>IFERROR(INDEX(Tasks!K$3:K$23,MATCH(SMALL(Tasks!$X$3:$X$23,list!$A22),Tasks!$X$3:$X$23,0)),"")</f>
        <v/>
      </c>
      <c r="L22" s="36" t="str">
        <f>IFERROR(INDEX(Tasks!L$3:L$23,MATCH(SMALL(Tasks!$X$3:$X$23,list!$A22),Tasks!$X$3:$X$23,0)),"")</f>
        <v/>
      </c>
      <c r="M22" s="36" t="str">
        <f>IFERROR(INDEX(Tasks!M$3:M$23,MATCH(SMALL(Tasks!$X$3:$X$23,list!$A22),Tasks!$X$3:$X$23,0)),"")</f>
        <v/>
      </c>
      <c r="N22" s="36" t="str">
        <f>IFERROR(INDEX(Tasks!N$3:N$23,MATCH(SMALL(Tasks!$X$3:$X$23,list!$A22),Tasks!$X$3:$X$23,0)),"")</f>
        <v/>
      </c>
      <c r="O22" s="36" t="str">
        <f>IFERROR(INDEX(Tasks!O$3:O$23,MATCH(SMALL(Tasks!$X$3:$X$23,list!$A22),Tasks!$X$3:$X$23,0)),"")</f>
        <v/>
      </c>
      <c r="P22" s="36" t="str">
        <f>IFERROR(INDEX(Tasks!P$3:P$23,MATCH(SMALL(Tasks!$X$3:$X$23,list!$A22),Tasks!$X$3:$X$23,0)),"")</f>
        <v/>
      </c>
      <c r="Q22" s="36" t="str">
        <f>IFERROR(INDEX(Tasks!Q$3:Q$23,MATCH(SMALL(Tasks!$X$3:$X$23,list!$A22),Tasks!$X$3:$X$23,0)),"")</f>
        <v/>
      </c>
      <c r="R22" s="36" t="str">
        <f>IFERROR(INDEX(Tasks!R$3:R$23,MATCH(SMALL(Tasks!$X$3:$X$23,list!$A22),Tasks!$X$3:$X$23,0)),"")</f>
        <v/>
      </c>
      <c r="S22" s="36" t="str">
        <f>IFERROR(INDEX(Tasks!S$3:S$23,MATCH(SMALL(Tasks!$X$3:$X$23,list!$A22),Tasks!$X$3:$X$23,0)),"")</f>
        <v/>
      </c>
      <c r="T22" s="36" t="str">
        <f>IFERROR(INDEX(Tasks!T$3:T$23,MATCH(SMALL(Tasks!$X$3:$X$23,list!$A22),Tasks!$X$3:$X$23,0)),"")</f>
        <v/>
      </c>
      <c r="U22" s="36" t="str">
        <f>IFERROR(INDEX(Tasks!U$3:U$23,MATCH(SMALL(Tasks!$X$3:$X$23,list!$A22),Tasks!$X$3:$X$23,0)),"")</f>
        <v/>
      </c>
      <c r="V22" s="36" t="str">
        <f>IFERROR(INDEX(Tasks!V$3:V$23,MATCH(SMALL(Tasks!$X$3:$X$23,list!$A22),Tasks!$X$3:$X$23,0)),"")</f>
        <v/>
      </c>
      <c r="W22" s="36" t="str">
        <f>IFERROR(INDEX(Tasks!W$3:W$23,MATCH(SMALL(Tasks!$X$3:$X$23,list!$A22),Tasks!$X$3:$X$23,0)),"")</f>
        <v/>
      </c>
      <c r="X22" s="36"/>
      <c r="Y22">
        <f t="shared" si="1"/>
        <v>9</v>
      </c>
      <c r="Z22" s="21">
        <f>IFERROR(INDEX(Issues!A$4:A$19,MATCH(SMALL(Issues!$L$4:$L$19,$Y22),Issues!$L$4:$L$19,0)),"")</f>
        <v>14</v>
      </c>
      <c r="AA22" s="21" t="str">
        <f>IFERROR(INDEX(Issues!B$4:B$19,MATCH(SMALL(Issues!$L$4:$L$19,$Y22),Issues!$L$4:$L$19,0)),"")</f>
        <v>Issue#14</v>
      </c>
      <c r="AB22" s="21">
        <f>IFERROR(INDEX(Issues!C$4:C$19,MATCH(SMALL(Issues!$L$4:$L$19,$Y22),Issues!$L$4:$L$19,0)),"")</f>
        <v>0.35</v>
      </c>
      <c r="AC22" s="21">
        <f>IFERROR(INDEX(Issues!D$4:D$19,MATCH(SMALL(Issues!$L$4:$L$19,$Y22),Issues!$L$4:$L$19,0)),"")</f>
        <v>3232</v>
      </c>
      <c r="AD22" s="21">
        <f>IFERROR(INDEX(Issues!E$4:E$19,MATCH(SMALL(Issues!$L$4:$L$19,$Y22),Issues!$L$4:$L$19,0)),"")</f>
        <v>1131.1999999999998</v>
      </c>
      <c r="AE22" s="21" t="str">
        <f>IFERROR(INDEX(Issues!F$4:F$19,MATCH(SMALL(Issues!$L$4:$L$19,$Y22),Issues!$L$4:$L$19,0)),"")</f>
        <v>Low</v>
      </c>
      <c r="AF22" s="21" t="str">
        <f>IFERROR(INDEX(Issues!G$4:G$19,MATCH(SMALL(Issues!$L$4:$L$19,$Y22),Issues!$L$4:$L$19,0)),"")</f>
        <v>Ashraf</v>
      </c>
      <c r="AG22" s="21">
        <f>IFERROR(INDEX(Issues!H$4:H$19,MATCH(SMALL(Issues!$L$4:$L$19,$Y22),Issues!$L$4:$L$19,0)),"")</f>
        <v>0</v>
      </c>
      <c r="AH22" s="21">
        <f>IFERROR(INDEX(Issues!I$4:I$19,MATCH(SMALL(Issues!$L$4:$L$19,$Y22),Issues!$L$4:$L$19,0)),"")</f>
        <v>0</v>
      </c>
      <c r="AI22" s="21" t="str">
        <f>IFERROR(INDEX(Issues!J$4:J$19,MATCH(SMALL(Issues!$L$4:$L$19,$Y22),Issues!$L$4:$L$19,0)),"")</f>
        <v>1500 $ payed</v>
      </c>
      <c r="AJ22" s="21" t="str">
        <f>IFERROR(INDEX(Issues!K$4:K$19,MATCH(SMALL(Issues!$L$4:$L$19,$Y22),Issues!$L$4:$L$19,0)),"")</f>
        <v>Close</v>
      </c>
    </row>
    <row r="23" spans="1:36" x14ac:dyDescent="0.3">
      <c r="A23" t="str">
        <f t="shared" si="0"/>
        <v/>
      </c>
      <c r="B23" s="36" t="str">
        <f>IFERROR(INDEX(Tasks!B$3:B$23,MATCH(SMALL(Tasks!$X$3:$X$23,list!$A23),Tasks!$X$3:$X$23,0)),"")</f>
        <v/>
      </c>
      <c r="C23" s="36" t="str">
        <f>IFERROR(INDEX(Tasks!C$3:C$23,MATCH(SMALL(Tasks!$X$3:$X$23,list!$A23),Tasks!$X$3:$X$23,0)),"")</f>
        <v/>
      </c>
      <c r="D23" s="36" t="str">
        <f>IFERROR(INDEX(Tasks!D$3:D$23,MATCH(SMALL(Tasks!$X$3:$X$23,list!$A23),Tasks!$X$3:$X$23,0)),"")</f>
        <v/>
      </c>
      <c r="E23" s="36" t="str">
        <f>IFERROR(INDEX(Tasks!E$3:E$23,MATCH(SMALL(Tasks!$X$3:$X$23,list!$A23),Tasks!$X$3:$X$23,0)),"")</f>
        <v/>
      </c>
      <c r="F23" s="36" t="str">
        <f>IFERROR(INDEX(Tasks!F$3:F$23,MATCH(SMALL(Tasks!$X$3:$X$23,list!$A23),Tasks!$X$3:$X$23,0)),"")</f>
        <v/>
      </c>
      <c r="G23" s="36" t="str">
        <f>IFERROR(INDEX(Tasks!G$3:G$23,MATCH(SMALL(Tasks!$X$3:$X$23,list!$A23),Tasks!$X$3:$X$23,0)),"")</f>
        <v/>
      </c>
      <c r="H23" s="36" t="str">
        <f>IFERROR(INDEX(Tasks!H$3:H$23,MATCH(SMALL(Tasks!$X$3:$X$23,list!$A23),Tasks!$X$3:$X$23,0)),"")</f>
        <v/>
      </c>
      <c r="I23" s="36" t="str">
        <f>IFERROR(INDEX(Tasks!I$3:I$23,MATCH(SMALL(Tasks!$X$3:$X$23,list!$A23),Tasks!$X$3:$X$23,0)),"")</f>
        <v/>
      </c>
      <c r="J23" s="36" t="str">
        <f>IFERROR(INDEX(Tasks!J$3:J$23,MATCH(SMALL(Tasks!$X$3:$X$23,list!$A23),Tasks!$X$3:$X$23,0)),"")</f>
        <v/>
      </c>
      <c r="K23" s="36" t="str">
        <f>IFERROR(INDEX(Tasks!K$3:K$23,MATCH(SMALL(Tasks!$X$3:$X$23,list!$A23),Tasks!$X$3:$X$23,0)),"")</f>
        <v/>
      </c>
      <c r="L23" s="36" t="str">
        <f>IFERROR(INDEX(Tasks!L$3:L$23,MATCH(SMALL(Tasks!$X$3:$X$23,list!$A23),Tasks!$X$3:$X$23,0)),"")</f>
        <v/>
      </c>
      <c r="M23" s="36" t="str">
        <f>IFERROR(INDEX(Tasks!M$3:M$23,MATCH(SMALL(Tasks!$X$3:$X$23,list!$A23),Tasks!$X$3:$X$23,0)),"")</f>
        <v/>
      </c>
      <c r="N23" s="36" t="str">
        <f>IFERROR(INDEX(Tasks!N$3:N$23,MATCH(SMALL(Tasks!$X$3:$X$23,list!$A23),Tasks!$X$3:$X$23,0)),"")</f>
        <v/>
      </c>
      <c r="O23" s="36" t="str">
        <f>IFERROR(INDEX(Tasks!O$3:O$23,MATCH(SMALL(Tasks!$X$3:$X$23,list!$A23),Tasks!$X$3:$X$23,0)),"")</f>
        <v/>
      </c>
      <c r="P23" s="36" t="str">
        <f>IFERROR(INDEX(Tasks!P$3:P$23,MATCH(SMALL(Tasks!$X$3:$X$23,list!$A23),Tasks!$X$3:$X$23,0)),"")</f>
        <v/>
      </c>
      <c r="Q23" s="36" t="str">
        <f>IFERROR(INDEX(Tasks!Q$3:Q$23,MATCH(SMALL(Tasks!$X$3:$X$23,list!$A23),Tasks!$X$3:$X$23,0)),"")</f>
        <v/>
      </c>
      <c r="R23" s="36" t="str">
        <f>IFERROR(INDEX(Tasks!R$3:R$23,MATCH(SMALL(Tasks!$X$3:$X$23,list!$A23),Tasks!$X$3:$X$23,0)),"")</f>
        <v/>
      </c>
      <c r="S23" s="36" t="str">
        <f>IFERROR(INDEX(Tasks!S$3:S$23,MATCH(SMALL(Tasks!$X$3:$X$23,list!$A23),Tasks!$X$3:$X$23,0)),"")</f>
        <v/>
      </c>
      <c r="T23" s="36" t="str">
        <f>IFERROR(INDEX(Tasks!T$3:T$23,MATCH(SMALL(Tasks!$X$3:$X$23,list!$A23),Tasks!$X$3:$X$23,0)),"")</f>
        <v/>
      </c>
      <c r="U23" s="36" t="str">
        <f>IFERROR(INDEX(Tasks!U$3:U$23,MATCH(SMALL(Tasks!$X$3:$X$23,list!$A23),Tasks!$X$3:$X$23,0)),"")</f>
        <v/>
      </c>
      <c r="V23" s="36" t="str">
        <f>IFERROR(INDEX(Tasks!V$3:V$23,MATCH(SMALL(Tasks!$X$3:$X$23,list!$A23),Tasks!$X$3:$X$23,0)),"")</f>
        <v/>
      </c>
      <c r="W23" s="36" t="str">
        <f>IFERROR(INDEX(Tasks!W$3:W$23,MATCH(SMALL(Tasks!$X$3:$X$23,list!$A23),Tasks!$X$3:$X$23,0)),"")</f>
        <v/>
      </c>
      <c r="X23" s="36"/>
      <c r="Y23">
        <f t="shared" si="1"/>
        <v>10</v>
      </c>
      <c r="Z23" s="21">
        <f>IFERROR(INDEX(Issues!A$4:A$19,MATCH(SMALL(Issues!$L$4:$L$19,$Y23),Issues!$L$4:$L$19,0)),"")</f>
        <v>15</v>
      </c>
      <c r="AA23" s="21" t="str">
        <f>IFERROR(INDEX(Issues!B$4:B$19,MATCH(SMALL(Issues!$L$4:$L$19,$Y23),Issues!$L$4:$L$19,0)),"")</f>
        <v>Issue#15</v>
      </c>
      <c r="AB23" s="21">
        <f>IFERROR(INDEX(Issues!C$4:C$19,MATCH(SMALL(Issues!$L$4:$L$19,$Y23),Issues!$L$4:$L$19,0)),"")</f>
        <v>0.56000000000000005</v>
      </c>
      <c r="AC23" s="21">
        <f>IFERROR(INDEX(Issues!D$4:D$19,MATCH(SMALL(Issues!$L$4:$L$19,$Y23),Issues!$L$4:$L$19,0)),"")</f>
        <v>2006</v>
      </c>
      <c r="AD23" s="21">
        <f>IFERROR(INDEX(Issues!E$4:E$19,MATCH(SMALL(Issues!$L$4:$L$19,$Y23),Issues!$L$4:$L$19,0)),"")</f>
        <v>1123.3600000000001</v>
      </c>
      <c r="AE23" s="21" t="str">
        <f>IFERROR(INDEX(Issues!F$4:F$19,MATCH(SMALL(Issues!$L$4:$L$19,$Y23),Issues!$L$4:$L$19,0)),"")</f>
        <v>Low</v>
      </c>
      <c r="AF23" s="21" t="str">
        <f>IFERROR(INDEX(Issues!G$4:G$19,MATCH(SMALL(Issues!$L$4:$L$19,$Y23),Issues!$L$4:$L$19,0)),"")</f>
        <v>Ashraf</v>
      </c>
      <c r="AG23" s="21">
        <f>IFERROR(INDEX(Issues!H$4:H$19,MATCH(SMALL(Issues!$L$4:$L$19,$Y23),Issues!$L$4:$L$19,0)),"")</f>
        <v>0</v>
      </c>
      <c r="AH23" s="21">
        <f>IFERROR(INDEX(Issues!I$4:I$19,MATCH(SMALL(Issues!$L$4:$L$19,$Y23),Issues!$L$4:$L$19,0)),"")</f>
        <v>0</v>
      </c>
      <c r="AI23" s="21" t="str">
        <f>IFERROR(INDEX(Issues!J$4:J$19,MATCH(SMALL(Issues!$L$4:$L$19,$Y23),Issues!$L$4:$L$19,0)),"")</f>
        <v>to be discussed with the owner</v>
      </c>
      <c r="AJ23" s="21" t="str">
        <f>IFERROR(INDEX(Issues!K$4:K$19,MATCH(SMALL(Issues!$L$4:$L$19,$Y23),Issues!$L$4:$L$19,0)),"")</f>
        <v>Open</v>
      </c>
    </row>
    <row r="24" spans="1:36" x14ac:dyDescent="0.3">
      <c r="A24" t="str">
        <f t="shared" si="0"/>
        <v/>
      </c>
      <c r="B24" s="36" t="str">
        <f>IFERROR(INDEX(Tasks!B$3:B$23,MATCH(SMALL(Tasks!$X$3:$X$23,list!$A24),Tasks!$X$3:$X$23,0)),"")</f>
        <v/>
      </c>
      <c r="C24" s="36" t="str">
        <f>IFERROR(INDEX(Tasks!C$3:C$23,MATCH(SMALL(Tasks!$X$3:$X$23,list!$A24),Tasks!$X$3:$X$23,0)),"")</f>
        <v/>
      </c>
      <c r="D24" s="36" t="str">
        <f>IFERROR(INDEX(Tasks!D$3:D$23,MATCH(SMALL(Tasks!$X$3:$X$23,list!$A24),Tasks!$X$3:$X$23,0)),"")</f>
        <v/>
      </c>
      <c r="E24" s="36" t="str">
        <f>IFERROR(INDEX(Tasks!E$3:E$23,MATCH(SMALL(Tasks!$X$3:$X$23,list!$A24),Tasks!$X$3:$X$23,0)),"")</f>
        <v/>
      </c>
      <c r="F24" s="36" t="str">
        <f>IFERROR(INDEX(Tasks!F$3:F$23,MATCH(SMALL(Tasks!$X$3:$X$23,list!$A24),Tasks!$X$3:$X$23,0)),"")</f>
        <v/>
      </c>
      <c r="G24" s="36" t="str">
        <f>IFERROR(INDEX(Tasks!G$3:G$23,MATCH(SMALL(Tasks!$X$3:$X$23,list!$A24),Tasks!$X$3:$X$23,0)),"")</f>
        <v/>
      </c>
      <c r="H24" s="36" t="str">
        <f>IFERROR(INDEX(Tasks!H$3:H$23,MATCH(SMALL(Tasks!$X$3:$X$23,list!$A24),Tasks!$X$3:$X$23,0)),"")</f>
        <v/>
      </c>
      <c r="I24" s="36" t="str">
        <f>IFERROR(INDEX(Tasks!I$3:I$23,MATCH(SMALL(Tasks!$X$3:$X$23,list!$A24),Tasks!$X$3:$X$23,0)),"")</f>
        <v/>
      </c>
      <c r="J24" s="36" t="str">
        <f>IFERROR(INDEX(Tasks!J$3:J$23,MATCH(SMALL(Tasks!$X$3:$X$23,list!$A24),Tasks!$X$3:$X$23,0)),"")</f>
        <v/>
      </c>
      <c r="K24" s="36" t="str">
        <f>IFERROR(INDEX(Tasks!K$3:K$23,MATCH(SMALL(Tasks!$X$3:$X$23,list!$A24),Tasks!$X$3:$X$23,0)),"")</f>
        <v/>
      </c>
      <c r="L24" s="36" t="str">
        <f>IFERROR(INDEX(Tasks!L$3:L$23,MATCH(SMALL(Tasks!$X$3:$X$23,list!$A24),Tasks!$X$3:$X$23,0)),"")</f>
        <v/>
      </c>
      <c r="M24" s="36" t="str">
        <f>IFERROR(INDEX(Tasks!M$3:M$23,MATCH(SMALL(Tasks!$X$3:$X$23,list!$A24),Tasks!$X$3:$X$23,0)),"")</f>
        <v/>
      </c>
      <c r="N24" s="36" t="str">
        <f>IFERROR(INDEX(Tasks!N$3:N$23,MATCH(SMALL(Tasks!$X$3:$X$23,list!$A24),Tasks!$X$3:$X$23,0)),"")</f>
        <v/>
      </c>
      <c r="O24" s="36" t="str">
        <f>IFERROR(INDEX(Tasks!O$3:O$23,MATCH(SMALL(Tasks!$X$3:$X$23,list!$A24),Tasks!$X$3:$X$23,0)),"")</f>
        <v/>
      </c>
      <c r="P24" s="36" t="str">
        <f>IFERROR(INDEX(Tasks!P$3:P$23,MATCH(SMALL(Tasks!$X$3:$X$23,list!$A24),Tasks!$X$3:$X$23,0)),"")</f>
        <v/>
      </c>
      <c r="Q24" s="36" t="str">
        <f>IFERROR(INDEX(Tasks!Q$3:Q$23,MATCH(SMALL(Tasks!$X$3:$X$23,list!$A24),Tasks!$X$3:$X$23,0)),"")</f>
        <v/>
      </c>
      <c r="R24" s="36" t="str">
        <f>IFERROR(INDEX(Tasks!R$3:R$23,MATCH(SMALL(Tasks!$X$3:$X$23,list!$A24),Tasks!$X$3:$X$23,0)),"")</f>
        <v/>
      </c>
      <c r="S24" s="36" t="str">
        <f>IFERROR(INDEX(Tasks!S$3:S$23,MATCH(SMALL(Tasks!$X$3:$X$23,list!$A24),Tasks!$X$3:$X$23,0)),"")</f>
        <v/>
      </c>
      <c r="T24" s="36" t="str">
        <f>IFERROR(INDEX(Tasks!T$3:T$23,MATCH(SMALL(Tasks!$X$3:$X$23,list!$A24),Tasks!$X$3:$X$23,0)),"")</f>
        <v/>
      </c>
      <c r="U24" s="36" t="str">
        <f>IFERROR(INDEX(Tasks!U$3:U$23,MATCH(SMALL(Tasks!$X$3:$X$23,list!$A24),Tasks!$X$3:$X$23,0)),"")</f>
        <v/>
      </c>
      <c r="V24" s="36" t="str">
        <f>IFERROR(INDEX(Tasks!V$3:V$23,MATCH(SMALL(Tasks!$X$3:$X$23,list!$A24),Tasks!$X$3:$X$23,0)),"")</f>
        <v/>
      </c>
      <c r="W24" s="36" t="str">
        <f>IFERROR(INDEX(Tasks!W$3:W$23,MATCH(SMALL(Tasks!$X$3:$X$23,list!$A24),Tasks!$X$3:$X$23,0)),"")</f>
        <v/>
      </c>
      <c r="X24" s="36"/>
      <c r="Y24">
        <f t="shared" si="1"/>
        <v>11</v>
      </c>
      <c r="Z24" s="21">
        <f>IFERROR(INDEX(Issues!A$4:A$19,MATCH(SMALL(Issues!$L$4:$L$19,$Y24),Issues!$L$4:$L$19,0)),"")</f>
        <v>16</v>
      </c>
      <c r="AA24" s="21" t="str">
        <f>IFERROR(INDEX(Issues!B$4:B$19,MATCH(SMALL(Issues!$L$4:$L$19,$Y24),Issues!$L$4:$L$19,0)),"")</f>
        <v>Issue#16</v>
      </c>
      <c r="AB24" s="21">
        <f>IFERROR(INDEX(Issues!C$4:C$19,MATCH(SMALL(Issues!$L$4:$L$19,$Y24),Issues!$L$4:$L$19,0)),"")</f>
        <v>0.21</v>
      </c>
      <c r="AC24" s="21">
        <f>IFERROR(INDEX(Issues!D$4:D$19,MATCH(SMALL(Issues!$L$4:$L$19,$Y24),Issues!$L$4:$L$19,0)),"")</f>
        <v>4008</v>
      </c>
      <c r="AD24" s="21">
        <f>IFERROR(INDEX(Issues!E$4:E$19,MATCH(SMALL(Issues!$L$4:$L$19,$Y24),Issues!$L$4:$L$19,0)),"")</f>
        <v>841.68</v>
      </c>
      <c r="AE24" s="21" t="str">
        <f>IFERROR(INDEX(Issues!F$4:F$19,MATCH(SMALL(Issues!$L$4:$L$19,$Y24),Issues!$L$4:$L$19,0)),"")</f>
        <v>Low</v>
      </c>
      <c r="AF24" s="21" t="str">
        <f>IFERROR(INDEX(Issues!G$4:G$19,MATCH(SMALL(Issues!$L$4:$L$19,$Y24),Issues!$L$4:$L$19,0)),"")</f>
        <v>Akram</v>
      </c>
      <c r="AG24" s="21">
        <f>IFERROR(INDEX(Issues!H$4:H$19,MATCH(SMALL(Issues!$L$4:$L$19,$Y24),Issues!$L$4:$L$19,0)),"")</f>
        <v>0</v>
      </c>
      <c r="AH24" s="21">
        <f>IFERROR(INDEX(Issues!I$4:I$19,MATCH(SMALL(Issues!$L$4:$L$19,$Y24),Issues!$L$4:$L$19,0)),"")</f>
        <v>0</v>
      </c>
      <c r="AI24" s="21" t="str">
        <f>IFERROR(INDEX(Issues!J$4:J$19,MATCH(SMALL(Issues!$L$4:$L$19,$Y24),Issues!$L$4:$L$19,0)),"")</f>
        <v>Closed without extra cost</v>
      </c>
      <c r="AJ24" s="21" t="str">
        <f>IFERROR(INDEX(Issues!K$4:K$19,MATCH(SMALL(Issues!$L$4:$L$19,$Y24),Issues!$L$4:$L$19,0)),"")</f>
        <v>Close</v>
      </c>
    </row>
    <row r="25" spans="1:36" x14ac:dyDescent="0.3">
      <c r="A25" t="str">
        <f t="shared" si="0"/>
        <v/>
      </c>
      <c r="B25" s="36" t="str">
        <f>IFERROR(INDEX(Tasks!B14:B34,MATCH(SMALL(Tasks!$X$3:$X$23,list!$A25),Tasks!$X$3:$X$23,0)),"")</f>
        <v/>
      </c>
      <c r="C25" s="36" t="str">
        <f>IFERROR(INDEX(Tasks!C14:C34,MATCH(SMALL(Tasks!$X$3:$X$23,list!$A25),Tasks!$X$3:$X$23,0)),"")</f>
        <v/>
      </c>
      <c r="D25" s="36" t="str">
        <f>IFERROR(INDEX(Tasks!D14:D34,MATCH(SMALL(Tasks!$X$3:$X$23,list!$A25),Tasks!$X$3:$X$23,0)),"")</f>
        <v/>
      </c>
      <c r="E25" s="36" t="str">
        <f>IFERROR(INDEX(Tasks!E14:E34,MATCH(SMALL(Tasks!$X$3:$X$23,list!$A25),Tasks!$X$3:$X$23,0)),"")</f>
        <v/>
      </c>
      <c r="F25" s="36" t="str">
        <f>IFERROR(INDEX(Tasks!F14:F34,MATCH(SMALL(Tasks!$X$3:$X$23,list!$A25),Tasks!$X$3:$X$23,0)),"")</f>
        <v/>
      </c>
      <c r="G25" s="36" t="str">
        <f>IFERROR(INDEX(Tasks!G14:G34,MATCH(SMALL(Tasks!$X$3:$X$23,list!$A25),Tasks!$X$3:$X$23,0)),"")</f>
        <v/>
      </c>
      <c r="H25" s="36" t="str">
        <f>IFERROR(INDEX(Tasks!H14:H34,MATCH(SMALL(Tasks!$X$3:$X$23,list!$A25),Tasks!$X$3:$X$23,0)),"")</f>
        <v/>
      </c>
      <c r="I25" s="36" t="str">
        <f>IFERROR(INDEX(Tasks!I14:I34,MATCH(SMALL(Tasks!$X$3:$X$23,list!$A25),Tasks!$X$3:$X$23,0)),"")</f>
        <v/>
      </c>
      <c r="J25" s="36" t="str">
        <f>IFERROR(INDEX(Tasks!J14:J34,MATCH(SMALL(Tasks!$X$3:$X$23,list!$A25),Tasks!$X$3:$X$23,0)),"")</f>
        <v/>
      </c>
      <c r="K25" s="36" t="str">
        <f>IFERROR(INDEX(Tasks!K14:K34,MATCH(SMALL(Tasks!$X$3:$X$23,list!$A25),Tasks!$X$3:$X$23,0)),"")</f>
        <v/>
      </c>
      <c r="L25" s="36" t="str">
        <f>IFERROR(INDEX(Tasks!L14:L34,MATCH(SMALL(Tasks!$X$3:$X$23,list!$A25),Tasks!$X$3:$X$23,0)),"")</f>
        <v/>
      </c>
      <c r="M25" s="36" t="str">
        <f>IFERROR(INDEX(Tasks!M14:M34,MATCH(SMALL(Tasks!$X$3:$X$23,list!$A25),Tasks!$X$3:$X$23,0)),"")</f>
        <v/>
      </c>
      <c r="N25" s="36" t="str">
        <f>IFERROR(INDEX(Tasks!N14:N34,MATCH(SMALL(Tasks!$X$3:$X$23,list!$A25),Tasks!$X$3:$X$23,0)),"")</f>
        <v/>
      </c>
      <c r="O25" s="36" t="str">
        <f>IFERROR(INDEX(Tasks!O14:O34,MATCH(SMALL(Tasks!$X$3:$X$23,list!$A25),Tasks!$X$3:$X$23,0)),"")</f>
        <v/>
      </c>
      <c r="P25" s="36" t="str">
        <f>IFERROR(INDEX(Tasks!P14:P34,MATCH(SMALL(Tasks!$X$3:$X$23,list!$A25),Tasks!$X$3:$X$23,0)),"")</f>
        <v/>
      </c>
      <c r="Q25" s="36" t="str">
        <f>IFERROR(INDEX(Tasks!Q14:Q34,MATCH(SMALL(Tasks!$X$3:$X$23,list!$A25),Tasks!$X$3:$X$23,0)),"")</f>
        <v/>
      </c>
      <c r="R25" s="36" t="str">
        <f>IFERROR(INDEX(Tasks!R14:R34,MATCH(SMALL(Tasks!$X$3:$X$23,list!$A25),Tasks!$X$3:$X$23,0)),"")</f>
        <v/>
      </c>
      <c r="S25" s="36" t="str">
        <f>IFERROR(INDEX(Tasks!S14:S34,MATCH(SMALL(Tasks!$X$3:$X$23,list!$A25),Tasks!$X$3:$X$23,0)),"")</f>
        <v/>
      </c>
      <c r="T25" s="36" t="str">
        <f>IFERROR(INDEX(Tasks!T14:T34,MATCH(SMALL(Tasks!$X$3:$X$23,list!$A25),Tasks!$X$3:$X$23,0)),"")</f>
        <v/>
      </c>
      <c r="U25" s="36" t="str">
        <f>IFERROR(INDEX(Tasks!U14:U34,MATCH(SMALL(Tasks!$X$3:$X$23,list!$A25),Tasks!$X$3:$X$23,0)),"")</f>
        <v/>
      </c>
      <c r="V25" s="36" t="str">
        <f>IFERROR(INDEX(Tasks!V14:V34,MATCH(SMALL(Tasks!$X$3:$X$23,list!$A25),Tasks!$X$3:$X$23,0)),"")</f>
        <v/>
      </c>
      <c r="W25" s="36" t="str">
        <f>IFERROR(INDEX(Tasks!W14:W34,MATCH(SMALL(Tasks!$X$3:$X$23,list!$A25),Tasks!$X$3:$X$23,0)),"")</f>
        <v/>
      </c>
      <c r="X25" s="36"/>
      <c r="Y25" t="str">
        <f>IF(ROW()-13&gt;$Y$13,"",ROW()-13)</f>
        <v/>
      </c>
      <c r="Z25" s="21" t="str">
        <f>IFERROR(INDEX(Issues!A$4:A$19,MATCH(SMALL(Issues!$L$4:$L$19,$Y25),Issues!$L$4:$L$19,0)),"")</f>
        <v/>
      </c>
      <c r="AA25" s="21" t="str">
        <f>IFERROR(INDEX(Issues!B$4:B$19,MATCH(SMALL(Issues!$L$4:$L$19,$Y25),Issues!$L$4:$L$19,0)),"")</f>
        <v/>
      </c>
      <c r="AB25" s="21" t="str">
        <f>IFERROR(INDEX(Issues!C$4:C$19,MATCH(SMALL(Issues!$L$4:$L$19,$Y25),Issues!$L$4:$L$19,0)),"")</f>
        <v/>
      </c>
      <c r="AC25" s="21" t="str">
        <f>IFERROR(INDEX(Issues!D$4:D$19,MATCH(SMALL(Issues!$L$4:$L$19,$Y25),Issues!$L$4:$L$19,0)),"")</f>
        <v/>
      </c>
      <c r="AD25" s="21" t="str">
        <f>IFERROR(INDEX(Issues!E$4:E$19,MATCH(SMALL(Issues!$L$4:$L$19,$Y25),Issues!$L$4:$L$19,0)),"")</f>
        <v/>
      </c>
      <c r="AE25" s="21" t="str">
        <f>IFERROR(INDEX(Issues!F$4:F$19,MATCH(SMALL(Issues!$L$4:$L$19,$Y25),Issues!$L$4:$L$19,0)),"")</f>
        <v/>
      </c>
      <c r="AF25" s="21" t="str">
        <f>IFERROR(INDEX(Issues!G$4:G$19,MATCH(SMALL(Issues!$L$4:$L$19,$Y25),Issues!$L$4:$L$19,0)),"")</f>
        <v/>
      </c>
      <c r="AG25" s="21" t="str">
        <f>IFERROR(INDEX(Issues!H$4:H$19,MATCH(SMALL(Issues!$L$4:$L$19,$Y25),Issues!$L$4:$L$19,0)),"")</f>
        <v/>
      </c>
      <c r="AH25" s="21" t="str">
        <f>IFERROR(INDEX(Issues!I$4:I$19,MATCH(SMALL(Issues!$L$4:$L$19,$Y25),Issues!$L$4:$L$19,0)),"")</f>
        <v/>
      </c>
      <c r="AI25" s="21" t="str">
        <f>IFERROR(INDEX(Issues!J$4:J$19,MATCH(SMALL(Issues!$L$4:$L$19,$Y25),Issues!$L$4:$L$19,0)),"")</f>
        <v/>
      </c>
      <c r="AJ25" s="21" t="str">
        <f>IFERROR(INDEX(Issues!K$4:K$19,MATCH(SMALL(Issues!$L$4:$L$19,$Y25),Issues!$L$4:$L$19,0)),"")</f>
        <v/>
      </c>
    </row>
    <row r="26" spans="1:36" x14ac:dyDescent="0.3">
      <c r="A26" t="str">
        <f t="shared" si="0"/>
        <v/>
      </c>
      <c r="B26" s="36" t="str">
        <f>IFERROR(INDEX(Tasks!B15:B35,MATCH(SMALL(Tasks!$X$3:$X$23,list!$A26),Tasks!$X$3:$X$23,0)),"")</f>
        <v/>
      </c>
      <c r="C26" s="36" t="str">
        <f>IFERROR(INDEX(Tasks!C15:C35,MATCH(SMALL(Tasks!$X$3:$X$23,list!$A26),Tasks!$X$3:$X$23,0)),"")</f>
        <v/>
      </c>
      <c r="D26" s="36" t="str">
        <f>IFERROR(INDEX(Tasks!D15:D35,MATCH(SMALL(Tasks!$X$3:$X$23,list!$A26),Tasks!$X$3:$X$23,0)),"")</f>
        <v/>
      </c>
      <c r="E26" s="36" t="str">
        <f>IFERROR(INDEX(Tasks!E15:E35,MATCH(SMALL(Tasks!$X$3:$X$23,list!$A26),Tasks!$X$3:$X$23,0)),"")</f>
        <v/>
      </c>
      <c r="F26" s="36" t="str">
        <f>IFERROR(INDEX(Tasks!F15:F35,MATCH(SMALL(Tasks!$X$3:$X$23,list!$A26),Tasks!$X$3:$X$23,0)),"")</f>
        <v/>
      </c>
      <c r="G26" s="36" t="str">
        <f>IFERROR(INDEX(Tasks!G15:G35,MATCH(SMALL(Tasks!$X$3:$X$23,list!$A26),Tasks!$X$3:$X$23,0)),"")</f>
        <v/>
      </c>
      <c r="H26" s="36" t="str">
        <f>IFERROR(INDEX(Tasks!H15:H35,MATCH(SMALL(Tasks!$X$3:$X$23,list!$A26),Tasks!$X$3:$X$23,0)),"")</f>
        <v/>
      </c>
      <c r="I26" s="36" t="str">
        <f>IFERROR(INDEX(Tasks!I15:I35,MATCH(SMALL(Tasks!$X$3:$X$23,list!$A26),Tasks!$X$3:$X$23,0)),"")</f>
        <v/>
      </c>
      <c r="J26" s="36" t="str">
        <f>IFERROR(INDEX(Tasks!J15:J35,MATCH(SMALL(Tasks!$X$3:$X$23,list!$A26),Tasks!$X$3:$X$23,0)),"")</f>
        <v/>
      </c>
      <c r="K26" s="36" t="str">
        <f>IFERROR(INDEX(Tasks!K15:K35,MATCH(SMALL(Tasks!$X$3:$X$23,list!$A26),Tasks!$X$3:$X$23,0)),"")</f>
        <v/>
      </c>
      <c r="L26" s="36" t="str">
        <f>IFERROR(INDEX(Tasks!L15:L35,MATCH(SMALL(Tasks!$X$3:$X$23,list!$A26),Tasks!$X$3:$X$23,0)),"")</f>
        <v/>
      </c>
      <c r="M26" s="36" t="str">
        <f>IFERROR(INDEX(Tasks!M15:M35,MATCH(SMALL(Tasks!$X$3:$X$23,list!$A26),Tasks!$X$3:$X$23,0)),"")</f>
        <v/>
      </c>
      <c r="N26" s="36" t="str">
        <f>IFERROR(INDEX(Tasks!N15:N35,MATCH(SMALL(Tasks!$X$3:$X$23,list!$A26),Tasks!$X$3:$X$23,0)),"")</f>
        <v/>
      </c>
      <c r="O26" s="36" t="str">
        <f>IFERROR(INDEX(Tasks!O15:O35,MATCH(SMALL(Tasks!$X$3:$X$23,list!$A26),Tasks!$X$3:$X$23,0)),"")</f>
        <v/>
      </c>
      <c r="P26" s="36" t="str">
        <f>IFERROR(INDEX(Tasks!P15:P35,MATCH(SMALL(Tasks!$X$3:$X$23,list!$A26),Tasks!$X$3:$X$23,0)),"")</f>
        <v/>
      </c>
      <c r="Q26" s="36" t="str">
        <f>IFERROR(INDEX(Tasks!Q15:Q35,MATCH(SMALL(Tasks!$X$3:$X$23,list!$A26),Tasks!$X$3:$X$23,0)),"")</f>
        <v/>
      </c>
      <c r="R26" s="36" t="str">
        <f>IFERROR(INDEX(Tasks!R15:R35,MATCH(SMALL(Tasks!$X$3:$X$23,list!$A26),Tasks!$X$3:$X$23,0)),"")</f>
        <v/>
      </c>
      <c r="S26" s="36" t="str">
        <f>IFERROR(INDEX(Tasks!S15:S35,MATCH(SMALL(Tasks!$X$3:$X$23,list!$A26),Tasks!$X$3:$X$23,0)),"")</f>
        <v/>
      </c>
      <c r="T26" s="36" t="str">
        <f>IFERROR(INDEX(Tasks!T15:T35,MATCH(SMALL(Tasks!$X$3:$X$23,list!$A26),Tasks!$X$3:$X$23,0)),"")</f>
        <v/>
      </c>
      <c r="U26" s="36" t="str">
        <f>IFERROR(INDEX(Tasks!U15:U35,MATCH(SMALL(Tasks!$X$3:$X$23,list!$A26),Tasks!$X$3:$X$23,0)),"")</f>
        <v/>
      </c>
      <c r="V26" s="36" t="str">
        <f>IFERROR(INDEX(Tasks!V15:V35,MATCH(SMALL(Tasks!$X$3:$X$23,list!$A26),Tasks!$X$3:$X$23,0)),"")</f>
        <v/>
      </c>
      <c r="W26" s="36" t="str">
        <f>IFERROR(INDEX(Tasks!W15:W35,MATCH(SMALL(Tasks!$X$3:$X$23,list!$A26),Tasks!$X$3:$X$23,0)),"")</f>
        <v/>
      </c>
      <c r="X26" s="36"/>
      <c r="Y26" t="str">
        <f t="shared" si="1"/>
        <v/>
      </c>
      <c r="Z26" s="21" t="str">
        <f>IFERROR(INDEX(Issues!A$4:A$19,MATCH(SMALL(Issues!$L$4:$L$19,$Y26),Issues!$L$4:$L$19,0)),"")</f>
        <v/>
      </c>
      <c r="AA26" s="21" t="str">
        <f>IFERROR(INDEX(Issues!B$4:B$19,MATCH(SMALL(Issues!$L$4:$L$19,$Y26),Issues!$L$4:$L$19,0)),"")</f>
        <v/>
      </c>
      <c r="AB26" s="21" t="str">
        <f>IFERROR(INDEX(Issues!C$4:C$19,MATCH(SMALL(Issues!$L$4:$L$19,$Y26),Issues!$L$4:$L$19,0)),"")</f>
        <v/>
      </c>
      <c r="AC26" s="21" t="str">
        <f>IFERROR(INDEX(Issues!D$4:D$19,MATCH(SMALL(Issues!$L$4:$L$19,$Y26),Issues!$L$4:$L$19,0)),"")</f>
        <v/>
      </c>
      <c r="AD26" s="21" t="str">
        <f>IFERROR(INDEX(Issues!E$4:E$19,MATCH(SMALL(Issues!$L$4:$L$19,$Y26),Issues!$L$4:$L$19,0)),"")</f>
        <v/>
      </c>
      <c r="AE26" s="21" t="str">
        <f>IFERROR(INDEX(Issues!F$4:F$19,MATCH(SMALL(Issues!$L$4:$L$19,$Y26),Issues!$L$4:$L$19,0)),"")</f>
        <v/>
      </c>
      <c r="AF26" s="21" t="str">
        <f>IFERROR(INDEX(Issues!G$4:G$19,MATCH(SMALL(Issues!$L$4:$L$19,$Y26),Issues!$L$4:$L$19,0)),"")</f>
        <v/>
      </c>
      <c r="AG26" s="21" t="str">
        <f>IFERROR(INDEX(Issues!H$4:H$19,MATCH(SMALL(Issues!$L$4:$L$19,$Y26),Issues!$L$4:$L$19,0)),"")</f>
        <v/>
      </c>
      <c r="AH26" s="21" t="str">
        <f>IFERROR(INDEX(Issues!I$4:I$19,MATCH(SMALL(Issues!$L$4:$L$19,$Y26),Issues!$L$4:$L$19,0)),"")</f>
        <v/>
      </c>
      <c r="AI26" s="21" t="str">
        <f>IFERROR(INDEX(Issues!J$4:J$19,MATCH(SMALL(Issues!$L$4:$L$19,$Y26),Issues!$L$4:$L$19,0)),"")</f>
        <v/>
      </c>
      <c r="AJ26" s="21" t="str">
        <f>IFERROR(INDEX(Issues!K$4:K$19,MATCH(SMALL(Issues!$L$4:$L$19,$Y26),Issues!$L$4:$L$19,0)),"")</f>
        <v/>
      </c>
    </row>
    <row r="27" spans="1:36" x14ac:dyDescent="0.3">
      <c r="A27" t="str">
        <f t="shared" si="0"/>
        <v/>
      </c>
      <c r="B27" s="36" t="str">
        <f>IFERROR(INDEX(Tasks!B16:B36,MATCH(SMALL(Tasks!$X$3:$X$23,list!$A27),Tasks!$X$3:$X$23,0)),"")</f>
        <v/>
      </c>
      <c r="C27" s="36" t="str">
        <f>IFERROR(INDEX(Tasks!C16:C36,MATCH(SMALL(Tasks!$X$3:$X$23,list!$A27),Tasks!$X$3:$X$23,0)),"")</f>
        <v/>
      </c>
      <c r="D27" s="36" t="str">
        <f>IFERROR(INDEX(Tasks!D16:D36,MATCH(SMALL(Tasks!$X$3:$X$23,list!$A27),Tasks!$X$3:$X$23,0)),"")</f>
        <v/>
      </c>
      <c r="E27" s="36" t="str">
        <f>IFERROR(INDEX(Tasks!E16:E36,MATCH(SMALL(Tasks!$X$3:$X$23,list!$A27),Tasks!$X$3:$X$23,0)),"")</f>
        <v/>
      </c>
      <c r="F27" s="36" t="str">
        <f>IFERROR(INDEX(Tasks!F16:F36,MATCH(SMALL(Tasks!$X$3:$X$23,list!$A27),Tasks!$X$3:$X$23,0)),"")</f>
        <v/>
      </c>
      <c r="G27" s="36" t="str">
        <f>IFERROR(INDEX(Tasks!G16:G36,MATCH(SMALL(Tasks!$X$3:$X$23,list!$A27),Tasks!$X$3:$X$23,0)),"")</f>
        <v/>
      </c>
      <c r="H27" s="36" t="str">
        <f>IFERROR(INDEX(Tasks!H16:H36,MATCH(SMALL(Tasks!$X$3:$X$23,list!$A27),Tasks!$X$3:$X$23,0)),"")</f>
        <v/>
      </c>
      <c r="I27" s="36" t="str">
        <f>IFERROR(INDEX(Tasks!I16:I36,MATCH(SMALL(Tasks!$X$3:$X$23,list!$A27),Tasks!$X$3:$X$23,0)),"")</f>
        <v/>
      </c>
      <c r="J27" s="36" t="str">
        <f>IFERROR(INDEX(Tasks!J16:J36,MATCH(SMALL(Tasks!$X$3:$X$23,list!$A27),Tasks!$X$3:$X$23,0)),"")</f>
        <v/>
      </c>
      <c r="K27" s="36" t="str">
        <f>IFERROR(INDEX(Tasks!K16:K36,MATCH(SMALL(Tasks!$X$3:$X$23,list!$A27),Tasks!$X$3:$X$23,0)),"")</f>
        <v/>
      </c>
      <c r="L27" s="36" t="str">
        <f>IFERROR(INDEX(Tasks!L16:L36,MATCH(SMALL(Tasks!$X$3:$X$23,list!$A27),Tasks!$X$3:$X$23,0)),"")</f>
        <v/>
      </c>
      <c r="M27" s="36" t="str">
        <f>IFERROR(INDEX(Tasks!M16:M36,MATCH(SMALL(Tasks!$X$3:$X$23,list!$A27),Tasks!$X$3:$X$23,0)),"")</f>
        <v/>
      </c>
      <c r="N27" s="36" t="str">
        <f>IFERROR(INDEX(Tasks!N16:N36,MATCH(SMALL(Tasks!$X$3:$X$23,list!$A27),Tasks!$X$3:$X$23,0)),"")</f>
        <v/>
      </c>
      <c r="O27" s="36" t="str">
        <f>IFERROR(INDEX(Tasks!O16:O36,MATCH(SMALL(Tasks!$X$3:$X$23,list!$A27),Tasks!$X$3:$X$23,0)),"")</f>
        <v/>
      </c>
      <c r="P27" s="36" t="str">
        <f>IFERROR(INDEX(Tasks!P16:P36,MATCH(SMALL(Tasks!$X$3:$X$23,list!$A27),Tasks!$X$3:$X$23,0)),"")</f>
        <v/>
      </c>
      <c r="Q27" s="36" t="str">
        <f>IFERROR(INDEX(Tasks!Q16:Q36,MATCH(SMALL(Tasks!$X$3:$X$23,list!$A27),Tasks!$X$3:$X$23,0)),"")</f>
        <v/>
      </c>
      <c r="R27" s="36" t="str">
        <f>IFERROR(INDEX(Tasks!R16:R36,MATCH(SMALL(Tasks!$X$3:$X$23,list!$A27),Tasks!$X$3:$X$23,0)),"")</f>
        <v/>
      </c>
      <c r="S27" s="36" t="str">
        <f>IFERROR(INDEX(Tasks!S16:S36,MATCH(SMALL(Tasks!$X$3:$X$23,list!$A27),Tasks!$X$3:$X$23,0)),"")</f>
        <v/>
      </c>
      <c r="T27" s="36" t="str">
        <f>IFERROR(INDEX(Tasks!T16:T36,MATCH(SMALL(Tasks!$X$3:$X$23,list!$A27),Tasks!$X$3:$X$23,0)),"")</f>
        <v/>
      </c>
      <c r="U27" s="36" t="str">
        <f>IFERROR(INDEX(Tasks!U16:U36,MATCH(SMALL(Tasks!$X$3:$X$23,list!$A27),Tasks!$X$3:$X$23,0)),"")</f>
        <v/>
      </c>
      <c r="V27" s="36" t="str">
        <f>IFERROR(INDEX(Tasks!V16:V36,MATCH(SMALL(Tasks!$X$3:$X$23,list!$A27),Tasks!$X$3:$X$23,0)),"")</f>
        <v/>
      </c>
      <c r="W27" s="36" t="str">
        <f>IFERROR(INDEX(Tasks!W16:W36,MATCH(SMALL(Tasks!$X$3:$X$23,list!$A27),Tasks!$X$3:$X$23,0)),"")</f>
        <v/>
      </c>
      <c r="X27" s="36"/>
      <c r="Y27" t="str">
        <f t="shared" si="1"/>
        <v/>
      </c>
      <c r="Z27" s="21" t="str">
        <f>IFERROR(INDEX(Issues!A$4:A$19,MATCH(SMALL(Issues!$L$4:$L$19,$Y27),Issues!$L$4:$L$19,0)),"")</f>
        <v/>
      </c>
      <c r="AA27" s="21" t="str">
        <f>IFERROR(INDEX(Issues!B$4:B$19,MATCH(SMALL(Issues!$L$4:$L$19,$Y27),Issues!$L$4:$L$19,0)),"")</f>
        <v/>
      </c>
      <c r="AB27" s="21" t="str">
        <f>IFERROR(INDEX(Issues!C$4:C$19,MATCH(SMALL(Issues!$L$4:$L$19,$Y27),Issues!$L$4:$L$19,0)),"")</f>
        <v/>
      </c>
      <c r="AC27" s="21" t="str">
        <f>IFERROR(INDEX(Issues!D$4:D$19,MATCH(SMALL(Issues!$L$4:$L$19,$Y27),Issues!$L$4:$L$19,0)),"")</f>
        <v/>
      </c>
      <c r="AD27" s="21" t="str">
        <f>IFERROR(INDEX(Issues!E$4:E$19,MATCH(SMALL(Issues!$L$4:$L$19,$Y27),Issues!$L$4:$L$19,0)),"")</f>
        <v/>
      </c>
      <c r="AE27" s="21" t="str">
        <f>IFERROR(INDEX(Issues!F$4:F$19,MATCH(SMALL(Issues!$L$4:$L$19,$Y27),Issues!$L$4:$L$19,0)),"")</f>
        <v/>
      </c>
      <c r="AF27" s="21" t="str">
        <f>IFERROR(INDEX(Issues!G$4:G$19,MATCH(SMALL(Issues!$L$4:$L$19,$Y27),Issues!$L$4:$L$19,0)),"")</f>
        <v/>
      </c>
      <c r="AG27" s="21" t="str">
        <f>IFERROR(INDEX(Issues!H$4:H$19,MATCH(SMALL(Issues!$L$4:$L$19,$Y27),Issues!$L$4:$L$19,0)),"")</f>
        <v/>
      </c>
      <c r="AH27" s="21" t="str">
        <f>IFERROR(INDEX(Issues!I$4:I$19,MATCH(SMALL(Issues!$L$4:$L$19,$Y27),Issues!$L$4:$L$19,0)),"")</f>
        <v/>
      </c>
      <c r="AI27" s="21" t="str">
        <f>IFERROR(INDEX(Issues!J$4:J$19,MATCH(SMALL(Issues!$L$4:$L$19,$Y27),Issues!$L$4:$L$19,0)),"")</f>
        <v/>
      </c>
      <c r="AJ27" s="21" t="str">
        <f>IFERROR(INDEX(Issues!K$4:K$19,MATCH(SMALL(Issues!$L$4:$L$19,$Y27),Issues!$L$4:$L$19,0)),"")</f>
        <v/>
      </c>
    </row>
    <row r="28" spans="1:36" x14ac:dyDescent="0.3">
      <c r="A28" t="str">
        <f t="shared" si="0"/>
        <v/>
      </c>
      <c r="B28" s="36" t="str">
        <f>IFERROR(INDEX(Tasks!B17:B37,MATCH(SMALL(Tasks!$X$3:$X$23,list!$A28),Tasks!$X$3:$X$23,0)),"")</f>
        <v/>
      </c>
      <c r="C28" s="36" t="str">
        <f>IFERROR(INDEX(Tasks!C17:C37,MATCH(SMALL(Tasks!$X$3:$X$23,list!$A28),Tasks!$X$3:$X$23,0)),"")</f>
        <v/>
      </c>
      <c r="D28" s="36" t="str">
        <f>IFERROR(INDEX(Tasks!D17:D37,MATCH(SMALL(Tasks!$X$3:$X$23,list!$A28),Tasks!$X$3:$X$23,0)),"")</f>
        <v/>
      </c>
      <c r="E28" s="36" t="str">
        <f>IFERROR(INDEX(Tasks!E17:E37,MATCH(SMALL(Tasks!$X$3:$X$23,list!$A28),Tasks!$X$3:$X$23,0)),"")</f>
        <v/>
      </c>
      <c r="F28" s="36" t="str">
        <f>IFERROR(INDEX(Tasks!F17:F37,MATCH(SMALL(Tasks!$X$3:$X$23,list!$A28),Tasks!$X$3:$X$23,0)),"")</f>
        <v/>
      </c>
      <c r="G28" s="36" t="str">
        <f>IFERROR(INDEX(Tasks!G17:G37,MATCH(SMALL(Tasks!$X$3:$X$23,list!$A28),Tasks!$X$3:$X$23,0)),"")</f>
        <v/>
      </c>
      <c r="H28" s="36" t="str">
        <f>IFERROR(INDEX(Tasks!H17:H37,MATCH(SMALL(Tasks!$X$3:$X$23,list!$A28),Tasks!$X$3:$X$23,0)),"")</f>
        <v/>
      </c>
      <c r="I28" s="36" t="str">
        <f>IFERROR(INDEX(Tasks!I17:I37,MATCH(SMALL(Tasks!$X$3:$X$23,list!$A28),Tasks!$X$3:$X$23,0)),"")</f>
        <v/>
      </c>
      <c r="J28" s="36" t="str">
        <f>IFERROR(INDEX(Tasks!J17:J37,MATCH(SMALL(Tasks!$X$3:$X$23,list!$A28),Tasks!$X$3:$X$23,0)),"")</f>
        <v/>
      </c>
      <c r="K28" s="36" t="str">
        <f>IFERROR(INDEX(Tasks!K17:K37,MATCH(SMALL(Tasks!$X$3:$X$23,list!$A28),Tasks!$X$3:$X$23,0)),"")</f>
        <v/>
      </c>
      <c r="L28" s="36" t="str">
        <f>IFERROR(INDEX(Tasks!L17:L37,MATCH(SMALL(Tasks!$X$3:$X$23,list!$A28),Tasks!$X$3:$X$23,0)),"")</f>
        <v/>
      </c>
      <c r="M28" s="36" t="str">
        <f>IFERROR(INDEX(Tasks!M17:M37,MATCH(SMALL(Tasks!$X$3:$X$23,list!$A28),Tasks!$X$3:$X$23,0)),"")</f>
        <v/>
      </c>
      <c r="N28" s="36" t="str">
        <f>IFERROR(INDEX(Tasks!N17:N37,MATCH(SMALL(Tasks!$X$3:$X$23,list!$A28),Tasks!$X$3:$X$23,0)),"")</f>
        <v/>
      </c>
      <c r="O28" s="36" t="str">
        <f>IFERROR(INDEX(Tasks!O17:O37,MATCH(SMALL(Tasks!$X$3:$X$23,list!$A28),Tasks!$X$3:$X$23,0)),"")</f>
        <v/>
      </c>
      <c r="P28" s="36" t="str">
        <f>IFERROR(INDEX(Tasks!P17:P37,MATCH(SMALL(Tasks!$X$3:$X$23,list!$A28),Tasks!$X$3:$X$23,0)),"")</f>
        <v/>
      </c>
      <c r="Q28" s="36" t="str">
        <f>IFERROR(INDEX(Tasks!Q17:Q37,MATCH(SMALL(Tasks!$X$3:$X$23,list!$A28),Tasks!$X$3:$X$23,0)),"")</f>
        <v/>
      </c>
      <c r="R28" s="36" t="str">
        <f>IFERROR(INDEX(Tasks!R17:R37,MATCH(SMALL(Tasks!$X$3:$X$23,list!$A28),Tasks!$X$3:$X$23,0)),"")</f>
        <v/>
      </c>
      <c r="S28" s="36" t="str">
        <f>IFERROR(INDEX(Tasks!S17:S37,MATCH(SMALL(Tasks!$X$3:$X$23,list!$A28),Tasks!$X$3:$X$23,0)),"")</f>
        <v/>
      </c>
      <c r="T28" s="36" t="str">
        <f>IFERROR(INDEX(Tasks!T17:T37,MATCH(SMALL(Tasks!$X$3:$X$23,list!$A28),Tasks!$X$3:$X$23,0)),"")</f>
        <v/>
      </c>
      <c r="U28" s="36" t="str">
        <f>IFERROR(INDEX(Tasks!U17:U37,MATCH(SMALL(Tasks!$X$3:$X$23,list!$A28),Tasks!$X$3:$X$23,0)),"")</f>
        <v/>
      </c>
      <c r="V28" s="36" t="str">
        <f>IFERROR(INDEX(Tasks!V17:V37,MATCH(SMALL(Tasks!$X$3:$X$23,list!$A28),Tasks!$X$3:$X$23,0)),"")</f>
        <v/>
      </c>
      <c r="W28" s="36" t="str">
        <f>IFERROR(INDEX(Tasks!W17:W37,MATCH(SMALL(Tasks!$X$3:$X$23,list!$A28),Tasks!$X$3:$X$23,0)),"")</f>
        <v/>
      </c>
      <c r="X28" s="36"/>
      <c r="Y28" t="str">
        <f t="shared" si="1"/>
        <v/>
      </c>
      <c r="Z28" s="21" t="str">
        <f>IFERROR(INDEX(Issues!A$4:A$19,MATCH(SMALL(Issues!$L$4:$L$19,$Y28),Issues!$L$4:$L$19,0)),"")</f>
        <v/>
      </c>
      <c r="AA28" s="21" t="str">
        <f>IFERROR(INDEX(Issues!B$4:B$19,MATCH(SMALL(Issues!$L$4:$L$19,$Y28),Issues!$L$4:$L$19,0)),"")</f>
        <v/>
      </c>
      <c r="AB28" s="21" t="str">
        <f>IFERROR(INDEX(Issues!C$4:C$19,MATCH(SMALL(Issues!$L$4:$L$19,$Y28),Issues!$L$4:$L$19,0)),"")</f>
        <v/>
      </c>
      <c r="AC28" s="21" t="str">
        <f>IFERROR(INDEX(Issues!D$4:D$19,MATCH(SMALL(Issues!$L$4:$L$19,$Y28),Issues!$L$4:$L$19,0)),"")</f>
        <v/>
      </c>
      <c r="AD28" s="21" t="str">
        <f>IFERROR(INDEX(Issues!E$4:E$19,MATCH(SMALL(Issues!$L$4:$L$19,$Y28),Issues!$L$4:$L$19,0)),"")</f>
        <v/>
      </c>
      <c r="AE28" s="21" t="str">
        <f>IFERROR(INDEX(Issues!F$4:F$19,MATCH(SMALL(Issues!$L$4:$L$19,$Y28),Issues!$L$4:$L$19,0)),"")</f>
        <v/>
      </c>
      <c r="AF28" s="21" t="str">
        <f>IFERROR(INDEX(Issues!G$4:G$19,MATCH(SMALL(Issues!$L$4:$L$19,$Y28),Issues!$L$4:$L$19,0)),"")</f>
        <v/>
      </c>
      <c r="AG28" s="21" t="str">
        <f>IFERROR(INDEX(Issues!H$4:H$19,MATCH(SMALL(Issues!$L$4:$L$19,$Y28),Issues!$L$4:$L$19,0)),"")</f>
        <v/>
      </c>
      <c r="AH28" s="21" t="str">
        <f>IFERROR(INDEX(Issues!I$4:I$19,MATCH(SMALL(Issues!$L$4:$L$19,$Y28),Issues!$L$4:$L$19,0)),"")</f>
        <v/>
      </c>
      <c r="AI28" s="21" t="str">
        <f>IFERROR(INDEX(Issues!J$4:J$19,MATCH(SMALL(Issues!$L$4:$L$19,$Y28),Issues!$L$4:$L$19,0)),"")</f>
        <v/>
      </c>
      <c r="AJ28" s="21" t="str">
        <f>IFERROR(INDEX(Issues!K$4:K$19,MATCH(SMALL(Issues!$L$4:$L$19,$Y28),Issues!$L$4:$L$19,0)),"")</f>
        <v/>
      </c>
    </row>
    <row r="29" spans="1:36" x14ac:dyDescent="0.3">
      <c r="A29" t="str">
        <f t="shared" si="0"/>
        <v/>
      </c>
      <c r="B29" s="36" t="str">
        <f>IFERROR(INDEX(Tasks!B18:B38,MATCH(SMALL(Tasks!$X$3:$X$23,list!$A29),Tasks!$X$3:$X$23,0)),"")</f>
        <v/>
      </c>
      <c r="C29" s="36" t="str">
        <f>IFERROR(INDEX(Tasks!C18:C38,MATCH(SMALL(Tasks!$X$3:$X$23,list!$A29),Tasks!$X$3:$X$23,0)),"")</f>
        <v/>
      </c>
      <c r="D29" s="36" t="str">
        <f>IFERROR(INDEX(Tasks!D18:D38,MATCH(SMALL(Tasks!$X$3:$X$23,list!$A29),Tasks!$X$3:$X$23,0)),"")</f>
        <v/>
      </c>
      <c r="E29" s="36" t="str">
        <f>IFERROR(INDEX(Tasks!E18:E38,MATCH(SMALL(Tasks!$X$3:$X$23,list!$A29),Tasks!$X$3:$X$23,0)),"")</f>
        <v/>
      </c>
      <c r="F29" s="36" t="str">
        <f>IFERROR(INDEX(Tasks!F18:F38,MATCH(SMALL(Tasks!$X$3:$X$23,list!$A29),Tasks!$X$3:$X$23,0)),"")</f>
        <v/>
      </c>
      <c r="G29" s="36" t="str">
        <f>IFERROR(INDEX(Tasks!G18:G38,MATCH(SMALL(Tasks!$X$3:$X$23,list!$A29),Tasks!$X$3:$X$23,0)),"")</f>
        <v/>
      </c>
      <c r="H29" s="36" t="str">
        <f>IFERROR(INDEX(Tasks!H18:H38,MATCH(SMALL(Tasks!$X$3:$X$23,list!$A29),Tasks!$X$3:$X$23,0)),"")</f>
        <v/>
      </c>
      <c r="I29" s="36" t="str">
        <f>IFERROR(INDEX(Tasks!I18:I38,MATCH(SMALL(Tasks!$X$3:$X$23,list!$A29),Tasks!$X$3:$X$23,0)),"")</f>
        <v/>
      </c>
      <c r="J29" s="36" t="str">
        <f>IFERROR(INDEX(Tasks!J18:J38,MATCH(SMALL(Tasks!$X$3:$X$23,list!$A29),Tasks!$X$3:$X$23,0)),"")</f>
        <v/>
      </c>
      <c r="K29" s="36" t="str">
        <f>IFERROR(INDEX(Tasks!K18:K38,MATCH(SMALL(Tasks!$X$3:$X$23,list!$A29),Tasks!$X$3:$X$23,0)),"")</f>
        <v/>
      </c>
      <c r="L29" s="36" t="str">
        <f>IFERROR(INDEX(Tasks!L18:L38,MATCH(SMALL(Tasks!$X$3:$X$23,list!$A29),Tasks!$X$3:$X$23,0)),"")</f>
        <v/>
      </c>
      <c r="M29" s="36" t="str">
        <f>IFERROR(INDEX(Tasks!M18:M38,MATCH(SMALL(Tasks!$X$3:$X$23,list!$A29),Tasks!$X$3:$X$23,0)),"")</f>
        <v/>
      </c>
      <c r="N29" s="36" t="str">
        <f>IFERROR(INDEX(Tasks!N18:N38,MATCH(SMALL(Tasks!$X$3:$X$23,list!$A29),Tasks!$X$3:$X$23,0)),"")</f>
        <v/>
      </c>
      <c r="O29" s="36" t="str">
        <f>IFERROR(INDEX(Tasks!O18:O38,MATCH(SMALL(Tasks!$X$3:$X$23,list!$A29),Tasks!$X$3:$X$23,0)),"")</f>
        <v/>
      </c>
      <c r="P29" s="36" t="str">
        <f>IFERROR(INDEX(Tasks!P18:P38,MATCH(SMALL(Tasks!$X$3:$X$23,list!$A29),Tasks!$X$3:$X$23,0)),"")</f>
        <v/>
      </c>
      <c r="Q29" s="36" t="str">
        <f>IFERROR(INDEX(Tasks!Q18:Q38,MATCH(SMALL(Tasks!$X$3:$X$23,list!$A29),Tasks!$X$3:$X$23,0)),"")</f>
        <v/>
      </c>
      <c r="R29" s="36" t="str">
        <f>IFERROR(INDEX(Tasks!R18:R38,MATCH(SMALL(Tasks!$X$3:$X$23,list!$A29),Tasks!$X$3:$X$23,0)),"")</f>
        <v/>
      </c>
      <c r="S29" s="36" t="str">
        <f>IFERROR(INDEX(Tasks!S18:S38,MATCH(SMALL(Tasks!$X$3:$X$23,list!$A29),Tasks!$X$3:$X$23,0)),"")</f>
        <v/>
      </c>
      <c r="T29" s="36" t="str">
        <f>IFERROR(INDEX(Tasks!T18:T38,MATCH(SMALL(Tasks!$X$3:$X$23,list!$A29),Tasks!$X$3:$X$23,0)),"")</f>
        <v/>
      </c>
      <c r="U29" s="36" t="str">
        <f>IFERROR(INDEX(Tasks!U18:U38,MATCH(SMALL(Tasks!$X$3:$X$23,list!$A29),Tasks!$X$3:$X$23,0)),"")</f>
        <v/>
      </c>
      <c r="V29" s="36" t="str">
        <f>IFERROR(INDEX(Tasks!V18:V38,MATCH(SMALL(Tasks!$X$3:$X$23,list!$A29),Tasks!$X$3:$X$23,0)),"")</f>
        <v/>
      </c>
      <c r="W29" s="36" t="str">
        <f>IFERROR(INDEX(Tasks!W18:W38,MATCH(SMALL(Tasks!$X$3:$X$23,list!$A29),Tasks!$X$3:$X$23,0)),"")</f>
        <v/>
      </c>
      <c r="X29" s="36"/>
      <c r="Y29" t="str">
        <f t="shared" si="1"/>
        <v/>
      </c>
      <c r="Z29" s="21" t="str">
        <f>IFERROR(INDEX(Issues!A$4:A$19,MATCH(SMALL(Issues!$L$4:$L$19,$Y29),Issues!$L$4:$L$19,0)),"")</f>
        <v/>
      </c>
      <c r="AA29" s="21" t="str">
        <f>IFERROR(INDEX(Issues!B$4:B$19,MATCH(SMALL(Issues!$L$4:$L$19,$Y29),Issues!$L$4:$L$19,0)),"")</f>
        <v/>
      </c>
      <c r="AB29" s="21" t="str">
        <f>IFERROR(INDEX(Issues!C$4:C$19,MATCH(SMALL(Issues!$L$4:$L$19,$Y29),Issues!$L$4:$L$19,0)),"")</f>
        <v/>
      </c>
      <c r="AC29" s="21" t="str">
        <f>IFERROR(INDEX(Issues!D$4:D$19,MATCH(SMALL(Issues!$L$4:$L$19,$Y29),Issues!$L$4:$L$19,0)),"")</f>
        <v/>
      </c>
      <c r="AD29" s="21" t="str">
        <f>IFERROR(INDEX(Issues!E$4:E$19,MATCH(SMALL(Issues!$L$4:$L$19,$Y29),Issues!$L$4:$L$19,0)),"")</f>
        <v/>
      </c>
      <c r="AE29" s="21" t="str">
        <f>IFERROR(INDEX(Issues!F$4:F$19,MATCH(SMALL(Issues!$L$4:$L$19,$Y29),Issues!$L$4:$L$19,0)),"")</f>
        <v/>
      </c>
      <c r="AF29" s="21" t="str">
        <f>IFERROR(INDEX(Issues!G$4:G$19,MATCH(SMALL(Issues!$L$4:$L$19,$Y29),Issues!$L$4:$L$19,0)),"")</f>
        <v/>
      </c>
      <c r="AG29" s="21" t="str">
        <f>IFERROR(INDEX(Issues!H$4:H$19,MATCH(SMALL(Issues!$L$4:$L$19,$Y29),Issues!$L$4:$L$19,0)),"")</f>
        <v/>
      </c>
      <c r="AH29" s="21" t="str">
        <f>IFERROR(INDEX(Issues!I$4:I$19,MATCH(SMALL(Issues!$L$4:$L$19,$Y29),Issues!$L$4:$L$19,0)),"")</f>
        <v/>
      </c>
      <c r="AI29" s="21" t="str">
        <f>IFERROR(INDEX(Issues!J$4:J$19,MATCH(SMALL(Issues!$L$4:$L$19,$Y29),Issues!$L$4:$L$19,0)),"")</f>
        <v/>
      </c>
      <c r="AJ29" s="21" t="str">
        <f>IFERROR(INDEX(Issues!K$4:K$19,MATCH(SMALL(Issues!$L$4:$L$19,$Y29),Issues!$L$4:$L$19,0)),"")</f>
        <v/>
      </c>
    </row>
    <row r="30" spans="1:36" x14ac:dyDescent="0.3">
      <c r="A30" t="str">
        <f t="shared" si="0"/>
        <v/>
      </c>
      <c r="B30" s="36" t="str">
        <f>IFERROR(INDEX(Tasks!B19:B39,MATCH(SMALL(Tasks!$X$3:$X$23,list!$A30),Tasks!$X$3:$X$23,0)),"")</f>
        <v/>
      </c>
      <c r="C30" s="36" t="str">
        <f>IFERROR(INDEX(Tasks!C19:C39,MATCH(SMALL(Tasks!$X$3:$X$23,list!$A30),Tasks!$X$3:$X$23,0)),"")</f>
        <v/>
      </c>
      <c r="D30" s="36" t="str">
        <f>IFERROR(INDEX(Tasks!D19:D39,MATCH(SMALL(Tasks!$X$3:$X$23,list!$A30),Tasks!$X$3:$X$23,0)),"")</f>
        <v/>
      </c>
      <c r="E30" s="36" t="str">
        <f>IFERROR(INDEX(Tasks!E19:E39,MATCH(SMALL(Tasks!$X$3:$X$23,list!$A30),Tasks!$X$3:$X$23,0)),"")</f>
        <v/>
      </c>
      <c r="F30" s="36" t="str">
        <f>IFERROR(INDEX(Tasks!F19:F39,MATCH(SMALL(Tasks!$X$3:$X$23,list!$A30),Tasks!$X$3:$X$23,0)),"")</f>
        <v/>
      </c>
      <c r="G30" s="36" t="str">
        <f>IFERROR(INDEX(Tasks!G19:G39,MATCH(SMALL(Tasks!$X$3:$X$23,list!$A30),Tasks!$X$3:$X$23,0)),"")</f>
        <v/>
      </c>
      <c r="H30" s="36" t="str">
        <f>IFERROR(INDEX(Tasks!H19:H39,MATCH(SMALL(Tasks!$X$3:$X$23,list!$A30),Tasks!$X$3:$X$23,0)),"")</f>
        <v/>
      </c>
      <c r="I30" s="36" t="str">
        <f>IFERROR(INDEX(Tasks!I19:I39,MATCH(SMALL(Tasks!$X$3:$X$23,list!$A30),Tasks!$X$3:$X$23,0)),"")</f>
        <v/>
      </c>
      <c r="J30" s="36" t="str">
        <f>IFERROR(INDEX(Tasks!J19:J39,MATCH(SMALL(Tasks!$X$3:$X$23,list!$A30),Tasks!$X$3:$X$23,0)),"")</f>
        <v/>
      </c>
      <c r="K30" s="36" t="str">
        <f>IFERROR(INDEX(Tasks!K19:K39,MATCH(SMALL(Tasks!$X$3:$X$23,list!$A30),Tasks!$X$3:$X$23,0)),"")</f>
        <v/>
      </c>
      <c r="L30" s="36" t="str">
        <f>IFERROR(INDEX(Tasks!L19:L39,MATCH(SMALL(Tasks!$X$3:$X$23,list!$A30),Tasks!$X$3:$X$23,0)),"")</f>
        <v/>
      </c>
      <c r="M30" s="36" t="str">
        <f>IFERROR(INDEX(Tasks!M19:M39,MATCH(SMALL(Tasks!$X$3:$X$23,list!$A30),Tasks!$X$3:$X$23,0)),"")</f>
        <v/>
      </c>
      <c r="N30" s="36" t="str">
        <f>IFERROR(INDEX(Tasks!N19:N39,MATCH(SMALL(Tasks!$X$3:$X$23,list!$A30),Tasks!$X$3:$X$23,0)),"")</f>
        <v/>
      </c>
      <c r="O30" s="36" t="str">
        <f>IFERROR(INDEX(Tasks!O19:O39,MATCH(SMALL(Tasks!$X$3:$X$23,list!$A30),Tasks!$X$3:$X$23,0)),"")</f>
        <v/>
      </c>
      <c r="P30" s="36" t="str">
        <f>IFERROR(INDEX(Tasks!P19:P39,MATCH(SMALL(Tasks!$X$3:$X$23,list!$A30),Tasks!$X$3:$X$23,0)),"")</f>
        <v/>
      </c>
      <c r="Q30" s="36" t="str">
        <f>IFERROR(INDEX(Tasks!Q19:Q39,MATCH(SMALL(Tasks!$X$3:$X$23,list!$A30),Tasks!$X$3:$X$23,0)),"")</f>
        <v/>
      </c>
      <c r="R30" s="36" t="str">
        <f>IFERROR(INDEX(Tasks!R19:R39,MATCH(SMALL(Tasks!$X$3:$X$23,list!$A30),Tasks!$X$3:$X$23,0)),"")</f>
        <v/>
      </c>
      <c r="S30" s="36" t="str">
        <f>IFERROR(INDEX(Tasks!S19:S39,MATCH(SMALL(Tasks!$X$3:$X$23,list!$A30),Tasks!$X$3:$X$23,0)),"")</f>
        <v/>
      </c>
      <c r="T30" s="36" t="str">
        <f>IFERROR(INDEX(Tasks!T19:T39,MATCH(SMALL(Tasks!$X$3:$X$23,list!$A30),Tasks!$X$3:$X$23,0)),"")</f>
        <v/>
      </c>
      <c r="U30" s="36" t="str">
        <f>IFERROR(INDEX(Tasks!U19:U39,MATCH(SMALL(Tasks!$X$3:$X$23,list!$A30),Tasks!$X$3:$X$23,0)),"")</f>
        <v/>
      </c>
      <c r="V30" s="36" t="str">
        <f>IFERROR(INDEX(Tasks!V19:V39,MATCH(SMALL(Tasks!$X$3:$X$23,list!$A30),Tasks!$X$3:$X$23,0)),"")</f>
        <v/>
      </c>
      <c r="W30" s="36" t="str">
        <f>IFERROR(INDEX(Tasks!W19:W39,MATCH(SMALL(Tasks!$X$3:$X$23,list!$A30),Tasks!$X$3:$X$23,0)),"")</f>
        <v/>
      </c>
      <c r="X30" s="36"/>
      <c r="Y30" t="str">
        <f t="shared" si="1"/>
        <v/>
      </c>
    </row>
    <row r="31" spans="1:36" x14ac:dyDescent="0.3">
      <c r="A31" t="str">
        <f t="shared" si="0"/>
        <v/>
      </c>
      <c r="B31" s="36" t="str">
        <f>IFERROR(INDEX(Tasks!B20:B40,MATCH(SMALL(Tasks!$X$3:$X$23,list!$A31),Tasks!$X$3:$X$23,0)),"")</f>
        <v/>
      </c>
      <c r="C31" s="36" t="str">
        <f>IFERROR(INDEX(Tasks!C20:C40,MATCH(SMALL(Tasks!$X$3:$X$23,list!$A31),Tasks!$X$3:$X$23,0)),"")</f>
        <v/>
      </c>
      <c r="D31" s="36" t="str">
        <f>IFERROR(INDEX(Tasks!D20:D40,MATCH(SMALL(Tasks!$X$3:$X$23,list!$A31),Tasks!$X$3:$X$23,0)),"")</f>
        <v/>
      </c>
      <c r="E31" s="36" t="str">
        <f>IFERROR(INDEX(Tasks!E20:E40,MATCH(SMALL(Tasks!$X$3:$X$23,list!$A31),Tasks!$X$3:$X$23,0)),"")</f>
        <v/>
      </c>
      <c r="F31" s="36" t="str">
        <f>IFERROR(INDEX(Tasks!F20:F40,MATCH(SMALL(Tasks!$X$3:$X$23,list!$A31),Tasks!$X$3:$X$23,0)),"")</f>
        <v/>
      </c>
      <c r="G31" s="36" t="str">
        <f>IFERROR(INDEX(Tasks!G20:G40,MATCH(SMALL(Tasks!$X$3:$X$23,list!$A31),Tasks!$X$3:$X$23,0)),"")</f>
        <v/>
      </c>
      <c r="H31" s="36" t="str">
        <f>IFERROR(INDEX(Tasks!H20:H40,MATCH(SMALL(Tasks!$X$3:$X$23,list!$A31),Tasks!$X$3:$X$23,0)),"")</f>
        <v/>
      </c>
      <c r="I31" s="36" t="str">
        <f>IFERROR(INDEX(Tasks!I20:I40,MATCH(SMALL(Tasks!$X$3:$X$23,list!$A31),Tasks!$X$3:$X$23,0)),"")</f>
        <v/>
      </c>
      <c r="J31" s="36" t="str">
        <f>IFERROR(INDEX(Tasks!J20:J40,MATCH(SMALL(Tasks!$X$3:$X$23,list!$A31),Tasks!$X$3:$X$23,0)),"")</f>
        <v/>
      </c>
      <c r="K31" s="36" t="str">
        <f>IFERROR(INDEX(Tasks!K20:K40,MATCH(SMALL(Tasks!$X$3:$X$23,list!$A31),Tasks!$X$3:$X$23,0)),"")</f>
        <v/>
      </c>
      <c r="L31" s="36" t="str">
        <f>IFERROR(INDEX(Tasks!L20:L40,MATCH(SMALL(Tasks!$X$3:$X$23,list!$A31),Tasks!$X$3:$X$23,0)),"")</f>
        <v/>
      </c>
      <c r="M31" s="36" t="str">
        <f>IFERROR(INDEX(Tasks!M20:M40,MATCH(SMALL(Tasks!$X$3:$X$23,list!$A31),Tasks!$X$3:$X$23,0)),"")</f>
        <v/>
      </c>
      <c r="N31" s="36" t="str">
        <f>IFERROR(INDEX(Tasks!N20:N40,MATCH(SMALL(Tasks!$X$3:$X$23,list!$A31),Tasks!$X$3:$X$23,0)),"")</f>
        <v/>
      </c>
      <c r="O31" s="36" t="str">
        <f>IFERROR(INDEX(Tasks!O20:O40,MATCH(SMALL(Tasks!$X$3:$X$23,list!$A31),Tasks!$X$3:$X$23,0)),"")</f>
        <v/>
      </c>
      <c r="P31" s="36" t="str">
        <f>IFERROR(INDEX(Tasks!P20:P40,MATCH(SMALL(Tasks!$X$3:$X$23,list!$A31),Tasks!$X$3:$X$23,0)),"")</f>
        <v/>
      </c>
      <c r="Q31" s="36" t="str">
        <f>IFERROR(INDEX(Tasks!Q20:Q40,MATCH(SMALL(Tasks!$X$3:$X$23,list!$A31),Tasks!$X$3:$X$23,0)),"")</f>
        <v/>
      </c>
      <c r="R31" s="36" t="str">
        <f>IFERROR(INDEX(Tasks!R20:R40,MATCH(SMALL(Tasks!$X$3:$X$23,list!$A31),Tasks!$X$3:$X$23,0)),"")</f>
        <v/>
      </c>
      <c r="S31" s="36" t="str">
        <f>IFERROR(INDEX(Tasks!S20:S40,MATCH(SMALL(Tasks!$X$3:$X$23,list!$A31),Tasks!$X$3:$X$23,0)),"")</f>
        <v/>
      </c>
      <c r="T31" s="36" t="str">
        <f>IFERROR(INDEX(Tasks!T20:T40,MATCH(SMALL(Tasks!$X$3:$X$23,list!$A31),Tasks!$X$3:$X$23,0)),"")</f>
        <v/>
      </c>
      <c r="U31" s="36" t="str">
        <f>IFERROR(INDEX(Tasks!U20:U40,MATCH(SMALL(Tasks!$X$3:$X$23,list!$A31),Tasks!$X$3:$X$23,0)),"")</f>
        <v/>
      </c>
      <c r="V31" s="36" t="str">
        <f>IFERROR(INDEX(Tasks!V20:V40,MATCH(SMALL(Tasks!$X$3:$X$23,list!$A31),Tasks!$X$3:$X$23,0)),"")</f>
        <v/>
      </c>
      <c r="W31" s="36" t="str">
        <f>IFERROR(INDEX(Tasks!W20:W40,MATCH(SMALL(Tasks!$X$3:$X$23,list!$A31),Tasks!$X$3:$X$23,0)),"")</f>
        <v/>
      </c>
      <c r="X31" s="36"/>
      <c r="Y31" t="str">
        <f t="shared" si="1"/>
        <v/>
      </c>
    </row>
    <row r="32" spans="1:36" x14ac:dyDescent="0.3">
      <c r="A32" t="str">
        <f t="shared" si="0"/>
        <v/>
      </c>
      <c r="B32" s="36" t="str">
        <f>IFERROR(INDEX(Tasks!B21:B41,MATCH(SMALL(Tasks!$X$3:$X$23,list!$A32),Tasks!$X$3:$X$23,0)),"")</f>
        <v/>
      </c>
      <c r="C32" s="36" t="str">
        <f>IFERROR(INDEX(Tasks!C21:C41,MATCH(SMALL(Tasks!$X$3:$X$23,list!$A32),Tasks!$X$3:$X$23,0)),"")</f>
        <v/>
      </c>
      <c r="D32" s="36" t="str">
        <f>IFERROR(INDEX(Tasks!D21:D41,MATCH(SMALL(Tasks!$X$3:$X$23,list!$A32),Tasks!$X$3:$X$23,0)),"")</f>
        <v/>
      </c>
      <c r="E32" s="36" t="str">
        <f>IFERROR(INDEX(Tasks!E21:E41,MATCH(SMALL(Tasks!$X$3:$X$23,list!$A32),Tasks!$X$3:$X$23,0)),"")</f>
        <v/>
      </c>
      <c r="F32" s="36" t="str">
        <f>IFERROR(INDEX(Tasks!F21:F41,MATCH(SMALL(Tasks!$X$3:$X$23,list!$A32),Tasks!$X$3:$X$23,0)),"")</f>
        <v/>
      </c>
      <c r="G32" s="36" t="str">
        <f>IFERROR(INDEX(Tasks!G21:G41,MATCH(SMALL(Tasks!$X$3:$X$23,list!$A32),Tasks!$X$3:$X$23,0)),"")</f>
        <v/>
      </c>
      <c r="H32" s="36" t="str">
        <f>IFERROR(INDEX(Tasks!H21:H41,MATCH(SMALL(Tasks!$X$3:$X$23,list!$A32),Tasks!$X$3:$X$23,0)),"")</f>
        <v/>
      </c>
      <c r="I32" s="36" t="str">
        <f>IFERROR(INDEX(Tasks!I21:I41,MATCH(SMALL(Tasks!$X$3:$X$23,list!$A32),Tasks!$X$3:$X$23,0)),"")</f>
        <v/>
      </c>
      <c r="J32" s="36" t="str">
        <f>IFERROR(INDEX(Tasks!J21:J41,MATCH(SMALL(Tasks!$X$3:$X$23,list!$A32),Tasks!$X$3:$X$23,0)),"")</f>
        <v/>
      </c>
      <c r="K32" s="36" t="str">
        <f>IFERROR(INDEX(Tasks!K21:K41,MATCH(SMALL(Tasks!$X$3:$X$23,list!$A32),Tasks!$X$3:$X$23,0)),"")</f>
        <v/>
      </c>
      <c r="L32" s="36" t="str">
        <f>IFERROR(INDEX(Tasks!L21:L41,MATCH(SMALL(Tasks!$X$3:$X$23,list!$A32),Tasks!$X$3:$X$23,0)),"")</f>
        <v/>
      </c>
      <c r="M32" s="36" t="str">
        <f>IFERROR(INDEX(Tasks!M21:M41,MATCH(SMALL(Tasks!$X$3:$X$23,list!$A32),Tasks!$X$3:$X$23,0)),"")</f>
        <v/>
      </c>
      <c r="N32" s="36" t="str">
        <f>IFERROR(INDEX(Tasks!N21:N41,MATCH(SMALL(Tasks!$X$3:$X$23,list!$A32),Tasks!$X$3:$X$23,0)),"")</f>
        <v/>
      </c>
      <c r="O32" s="36" t="str">
        <f>IFERROR(INDEX(Tasks!O21:O41,MATCH(SMALL(Tasks!$X$3:$X$23,list!$A32),Tasks!$X$3:$X$23,0)),"")</f>
        <v/>
      </c>
      <c r="P32" s="36" t="str">
        <f>IFERROR(INDEX(Tasks!P21:P41,MATCH(SMALL(Tasks!$X$3:$X$23,list!$A32),Tasks!$X$3:$X$23,0)),"")</f>
        <v/>
      </c>
      <c r="Q32" s="36" t="str">
        <f>IFERROR(INDEX(Tasks!Q21:Q41,MATCH(SMALL(Tasks!$X$3:$X$23,list!$A32),Tasks!$X$3:$X$23,0)),"")</f>
        <v/>
      </c>
      <c r="R32" s="36" t="str">
        <f>IFERROR(INDEX(Tasks!R21:R41,MATCH(SMALL(Tasks!$X$3:$X$23,list!$A32),Tasks!$X$3:$X$23,0)),"")</f>
        <v/>
      </c>
      <c r="S32" s="36" t="str">
        <f>IFERROR(INDEX(Tasks!S21:S41,MATCH(SMALL(Tasks!$X$3:$X$23,list!$A32),Tasks!$X$3:$X$23,0)),"")</f>
        <v/>
      </c>
      <c r="T32" s="36" t="str">
        <f>IFERROR(INDEX(Tasks!T21:T41,MATCH(SMALL(Tasks!$X$3:$X$23,list!$A32),Tasks!$X$3:$X$23,0)),"")</f>
        <v/>
      </c>
      <c r="U32" s="36" t="str">
        <f>IFERROR(INDEX(Tasks!U21:U41,MATCH(SMALL(Tasks!$X$3:$X$23,list!$A32),Tasks!$X$3:$X$23,0)),"")</f>
        <v/>
      </c>
      <c r="V32" s="36" t="str">
        <f>IFERROR(INDEX(Tasks!V21:V41,MATCH(SMALL(Tasks!$X$3:$X$23,list!$A32),Tasks!$X$3:$X$23,0)),"")</f>
        <v/>
      </c>
      <c r="W32" s="36" t="str">
        <f>IFERROR(INDEX(Tasks!W21:W41,MATCH(SMALL(Tasks!$X$3:$X$23,list!$A32),Tasks!$X$3:$X$23,0)),"")</f>
        <v/>
      </c>
      <c r="X32" s="36"/>
      <c r="Y32" t="str">
        <f t="shared" si="1"/>
        <v/>
      </c>
    </row>
    <row r="33" spans="1:25" x14ac:dyDescent="0.3">
      <c r="A33" t="str">
        <f t="shared" si="0"/>
        <v/>
      </c>
      <c r="B33" s="36" t="str">
        <f>IFERROR(INDEX(Tasks!B22:B42,MATCH(SMALL(Tasks!$X$3:$X$23,list!$A33),Tasks!$X$3:$X$23,0)),"")</f>
        <v/>
      </c>
      <c r="C33" s="36" t="str">
        <f>IFERROR(INDEX(Tasks!C22:C42,MATCH(SMALL(Tasks!$X$3:$X$23,list!$A33),Tasks!$X$3:$X$23,0)),"")</f>
        <v/>
      </c>
      <c r="D33" s="36" t="str">
        <f>IFERROR(INDEX(Tasks!D22:D42,MATCH(SMALL(Tasks!$X$3:$X$23,list!$A33),Tasks!$X$3:$X$23,0)),"")</f>
        <v/>
      </c>
      <c r="E33" s="36" t="str">
        <f>IFERROR(INDEX(Tasks!E22:E42,MATCH(SMALL(Tasks!$X$3:$X$23,list!$A33),Tasks!$X$3:$X$23,0)),"")</f>
        <v/>
      </c>
      <c r="F33" s="36" t="str">
        <f>IFERROR(INDEX(Tasks!F22:F42,MATCH(SMALL(Tasks!$X$3:$X$23,list!$A33),Tasks!$X$3:$X$23,0)),"")</f>
        <v/>
      </c>
      <c r="G33" s="36" t="str">
        <f>IFERROR(INDEX(Tasks!G22:G42,MATCH(SMALL(Tasks!$X$3:$X$23,list!$A33),Tasks!$X$3:$X$23,0)),"")</f>
        <v/>
      </c>
      <c r="H33" s="36" t="str">
        <f>IFERROR(INDEX(Tasks!H22:H42,MATCH(SMALL(Tasks!$X$3:$X$23,list!$A33),Tasks!$X$3:$X$23,0)),"")</f>
        <v/>
      </c>
      <c r="I33" s="36" t="str">
        <f>IFERROR(INDEX(Tasks!I22:I42,MATCH(SMALL(Tasks!$X$3:$X$23,list!$A33),Tasks!$X$3:$X$23,0)),"")</f>
        <v/>
      </c>
      <c r="J33" s="36" t="str">
        <f>IFERROR(INDEX(Tasks!J22:J42,MATCH(SMALL(Tasks!$X$3:$X$23,list!$A33),Tasks!$X$3:$X$23,0)),"")</f>
        <v/>
      </c>
      <c r="K33" s="36" t="str">
        <f>IFERROR(INDEX(Tasks!K22:K42,MATCH(SMALL(Tasks!$X$3:$X$23,list!$A33),Tasks!$X$3:$X$23,0)),"")</f>
        <v/>
      </c>
      <c r="L33" s="36" t="str">
        <f>IFERROR(INDEX(Tasks!L22:L42,MATCH(SMALL(Tasks!$X$3:$X$23,list!$A33),Tasks!$X$3:$X$23,0)),"")</f>
        <v/>
      </c>
      <c r="M33" s="36" t="str">
        <f>IFERROR(INDEX(Tasks!M22:M42,MATCH(SMALL(Tasks!$X$3:$X$23,list!$A33),Tasks!$X$3:$X$23,0)),"")</f>
        <v/>
      </c>
      <c r="N33" s="36" t="str">
        <f>IFERROR(INDEX(Tasks!N22:N42,MATCH(SMALL(Tasks!$X$3:$X$23,list!$A33),Tasks!$X$3:$X$23,0)),"")</f>
        <v/>
      </c>
      <c r="O33" s="36" t="str">
        <f>IFERROR(INDEX(Tasks!O22:O42,MATCH(SMALL(Tasks!$X$3:$X$23,list!$A33),Tasks!$X$3:$X$23,0)),"")</f>
        <v/>
      </c>
      <c r="P33" s="36" t="str">
        <f>IFERROR(INDEX(Tasks!P22:P42,MATCH(SMALL(Tasks!$X$3:$X$23,list!$A33),Tasks!$X$3:$X$23,0)),"")</f>
        <v/>
      </c>
      <c r="Q33" s="36" t="str">
        <f>IFERROR(INDEX(Tasks!Q22:Q42,MATCH(SMALL(Tasks!$X$3:$X$23,list!$A33),Tasks!$X$3:$X$23,0)),"")</f>
        <v/>
      </c>
      <c r="R33" s="36" t="str">
        <f>IFERROR(INDEX(Tasks!R22:R42,MATCH(SMALL(Tasks!$X$3:$X$23,list!$A33),Tasks!$X$3:$X$23,0)),"")</f>
        <v/>
      </c>
      <c r="S33" s="36" t="str">
        <f>IFERROR(INDEX(Tasks!S22:S42,MATCH(SMALL(Tasks!$X$3:$X$23,list!$A33),Tasks!$X$3:$X$23,0)),"")</f>
        <v/>
      </c>
      <c r="T33" s="36" t="str">
        <f>IFERROR(INDEX(Tasks!T22:T42,MATCH(SMALL(Tasks!$X$3:$X$23,list!$A33),Tasks!$X$3:$X$23,0)),"")</f>
        <v/>
      </c>
      <c r="U33" s="36" t="str">
        <f>IFERROR(INDEX(Tasks!U22:U42,MATCH(SMALL(Tasks!$X$3:$X$23,list!$A33),Tasks!$X$3:$X$23,0)),"")</f>
        <v/>
      </c>
      <c r="V33" s="36" t="str">
        <f>IFERROR(INDEX(Tasks!V22:V42,MATCH(SMALL(Tasks!$X$3:$X$23,list!$A33),Tasks!$X$3:$X$23,0)),"")</f>
        <v/>
      </c>
      <c r="W33" s="36" t="str">
        <f>IFERROR(INDEX(Tasks!W22:W42,MATCH(SMALL(Tasks!$X$3:$X$23,list!$A33),Tasks!$X$3:$X$23,0)),"")</f>
        <v/>
      </c>
      <c r="X33" s="36"/>
      <c r="Y33" t="str">
        <f t="shared" si="1"/>
        <v/>
      </c>
    </row>
    <row r="34" spans="1:25" x14ac:dyDescent="0.3">
      <c r="A34" t="str">
        <f t="shared" si="0"/>
        <v/>
      </c>
      <c r="B34" s="36" t="str">
        <f>IFERROR(INDEX(Tasks!B23:B43,MATCH(SMALL(Tasks!$X$3:$X$23,list!$A34),Tasks!$X$3:$X$23,0)),"")</f>
        <v/>
      </c>
      <c r="C34" s="36" t="str">
        <f>IFERROR(INDEX(Tasks!C23:C43,MATCH(SMALL(Tasks!$X$3:$X$23,list!$A34),Tasks!$X$3:$X$23,0)),"")</f>
        <v/>
      </c>
      <c r="D34" s="36" t="str">
        <f>IFERROR(INDEX(Tasks!D23:D43,MATCH(SMALL(Tasks!$X$3:$X$23,list!$A34),Tasks!$X$3:$X$23,0)),"")</f>
        <v/>
      </c>
      <c r="E34" s="36" t="str">
        <f>IFERROR(INDEX(Tasks!E23:E43,MATCH(SMALL(Tasks!$X$3:$X$23,list!$A34),Tasks!$X$3:$X$23,0)),"")</f>
        <v/>
      </c>
      <c r="F34" s="36" t="str">
        <f>IFERROR(INDEX(Tasks!F23:F43,MATCH(SMALL(Tasks!$X$3:$X$23,list!$A34),Tasks!$X$3:$X$23,0)),"")</f>
        <v/>
      </c>
      <c r="G34" s="36" t="str">
        <f>IFERROR(INDEX(Tasks!G23:G43,MATCH(SMALL(Tasks!$X$3:$X$23,list!$A34),Tasks!$X$3:$X$23,0)),"")</f>
        <v/>
      </c>
      <c r="H34" s="36" t="str">
        <f>IFERROR(INDEX(Tasks!H23:H43,MATCH(SMALL(Tasks!$X$3:$X$23,list!$A34),Tasks!$X$3:$X$23,0)),"")</f>
        <v/>
      </c>
      <c r="I34" s="36" t="str">
        <f>IFERROR(INDEX(Tasks!I23:I43,MATCH(SMALL(Tasks!$X$3:$X$23,list!$A34),Tasks!$X$3:$X$23,0)),"")</f>
        <v/>
      </c>
      <c r="J34" s="36" t="str">
        <f>IFERROR(INDEX(Tasks!J23:J43,MATCH(SMALL(Tasks!$X$3:$X$23,list!$A34),Tasks!$X$3:$X$23,0)),"")</f>
        <v/>
      </c>
      <c r="K34" s="36" t="str">
        <f>IFERROR(INDEX(Tasks!K23:K43,MATCH(SMALL(Tasks!$X$3:$X$23,list!$A34),Tasks!$X$3:$X$23,0)),"")</f>
        <v/>
      </c>
      <c r="L34" s="36" t="str">
        <f>IFERROR(INDEX(Tasks!L23:L43,MATCH(SMALL(Tasks!$X$3:$X$23,list!$A34),Tasks!$X$3:$X$23,0)),"")</f>
        <v/>
      </c>
      <c r="M34" s="36" t="str">
        <f>IFERROR(INDEX(Tasks!M23:M43,MATCH(SMALL(Tasks!$X$3:$X$23,list!$A34),Tasks!$X$3:$X$23,0)),"")</f>
        <v/>
      </c>
      <c r="N34" s="36" t="str">
        <f>IFERROR(INDEX(Tasks!N23:N43,MATCH(SMALL(Tasks!$X$3:$X$23,list!$A34),Tasks!$X$3:$X$23,0)),"")</f>
        <v/>
      </c>
      <c r="O34" s="36" t="str">
        <f>IFERROR(INDEX(Tasks!O23:O43,MATCH(SMALL(Tasks!$X$3:$X$23,list!$A34),Tasks!$X$3:$X$23,0)),"")</f>
        <v/>
      </c>
      <c r="P34" s="36" t="str">
        <f>IFERROR(INDEX(Tasks!P23:P43,MATCH(SMALL(Tasks!$X$3:$X$23,list!$A34),Tasks!$X$3:$X$23,0)),"")</f>
        <v/>
      </c>
      <c r="Q34" s="36" t="str">
        <f>IFERROR(INDEX(Tasks!Q23:Q43,MATCH(SMALL(Tasks!$X$3:$X$23,list!$A34),Tasks!$X$3:$X$23,0)),"")</f>
        <v/>
      </c>
      <c r="R34" s="36" t="str">
        <f>IFERROR(INDEX(Tasks!R23:R43,MATCH(SMALL(Tasks!$X$3:$X$23,list!$A34),Tasks!$X$3:$X$23,0)),"")</f>
        <v/>
      </c>
      <c r="S34" s="36" t="str">
        <f>IFERROR(INDEX(Tasks!S23:S43,MATCH(SMALL(Tasks!$X$3:$X$23,list!$A34),Tasks!$X$3:$X$23,0)),"")</f>
        <v/>
      </c>
      <c r="T34" s="36" t="str">
        <f>IFERROR(INDEX(Tasks!T23:T43,MATCH(SMALL(Tasks!$X$3:$X$23,list!$A34),Tasks!$X$3:$X$23,0)),"")</f>
        <v/>
      </c>
      <c r="U34" s="36" t="str">
        <f>IFERROR(INDEX(Tasks!U23:U43,MATCH(SMALL(Tasks!$X$3:$X$23,list!$A34),Tasks!$X$3:$X$23,0)),"")</f>
        <v/>
      </c>
      <c r="V34" s="36" t="str">
        <f>IFERROR(INDEX(Tasks!V23:V43,MATCH(SMALL(Tasks!$X$3:$X$23,list!$A34),Tasks!$X$3:$X$23,0)),"")</f>
        <v/>
      </c>
      <c r="W34" s="36" t="str">
        <f>IFERROR(INDEX(Tasks!W23:W43,MATCH(SMALL(Tasks!$X$3:$X$23,list!$A34),Tasks!$X$3:$X$23,0)),"")</f>
        <v/>
      </c>
      <c r="X34" s="36"/>
      <c r="Y34" t="str">
        <f t="shared" si="1"/>
        <v/>
      </c>
    </row>
    <row r="35" spans="1:25" x14ac:dyDescent="0.3">
      <c r="A35" t="str">
        <f t="shared" si="0"/>
        <v/>
      </c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2A31-51F2-41A3-8155-BAC2E5B6C86F}">
  <dimension ref="A1:Z35"/>
  <sheetViews>
    <sheetView showGridLines="0" tabSelected="1" zoomScale="90" zoomScaleNormal="90" workbookViewId="0">
      <selection activeCell="AB39" sqref="AB39"/>
    </sheetView>
  </sheetViews>
  <sheetFormatPr defaultRowHeight="14.4" x14ac:dyDescent="0.3"/>
  <cols>
    <col min="2" max="2" width="10.44140625" customWidth="1"/>
    <col min="3" max="3" width="17" customWidth="1"/>
    <col min="4" max="4" width="10.44140625" customWidth="1"/>
    <col min="5" max="6" width="12.44140625" customWidth="1"/>
    <col min="7" max="7" width="12.21875" customWidth="1"/>
    <col min="8" max="8" width="6.33203125" customWidth="1"/>
    <col min="13" max="13" width="28.5546875" customWidth="1"/>
    <col min="14" max="14" width="23.5546875" customWidth="1"/>
  </cols>
  <sheetData>
    <row r="1" spans="1:26" x14ac:dyDescent="0.3">
      <c r="A1" s="86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x14ac:dyDescent="0.3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spans="1:26" x14ac:dyDescent="0.3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spans="1:26" x14ac:dyDescent="0.3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spans="1:26" x14ac:dyDescent="0.3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spans="1:26" x14ac:dyDescent="0.3">
      <c r="A6" s="86"/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spans="1:26" x14ac:dyDescent="0.3">
      <c r="A7" s="86"/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spans="1:26" x14ac:dyDescent="0.3">
      <c r="A8" s="86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spans="1:26" x14ac:dyDescent="0.3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spans="1:26" x14ac:dyDescent="0.3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spans="1:26" x14ac:dyDescent="0.3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spans="1:26" x14ac:dyDescent="0.3">
      <c r="A12" s="86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spans="1:26" x14ac:dyDescent="0.3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spans="1:26" x14ac:dyDescent="0.3">
      <c r="A14" s="86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spans="1:26" x14ac:dyDescent="0.3">
      <c r="A15" s="86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spans="1:26" x14ac:dyDescent="0.3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spans="1:26" x14ac:dyDescent="0.3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spans="1:26" x14ac:dyDescent="0.3">
      <c r="A18" s="86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spans="1:26" x14ac:dyDescent="0.3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spans="1:26" x14ac:dyDescent="0.3">
      <c r="A20" s="86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spans="1:26" x14ac:dyDescent="0.3">
      <c r="A21" s="86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x14ac:dyDescent="0.3">
      <c r="A22" s="86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x14ac:dyDescent="0.3">
      <c r="A23" s="86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x14ac:dyDescent="0.3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x14ac:dyDescent="0.3">
      <c r="A25" s="86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x14ac:dyDescent="0.3">
      <c r="A26" s="86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 x14ac:dyDescent="0.3">
      <c r="A27" s="86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spans="1:26" x14ac:dyDescent="0.3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spans="1:26" x14ac:dyDescent="0.3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spans="1:26" x14ac:dyDescent="0.3">
      <c r="A30" s="94" t="s">
        <v>1</v>
      </c>
      <c r="B30" s="95" t="s">
        <v>0</v>
      </c>
      <c r="C30" s="96" t="s">
        <v>35</v>
      </c>
      <c r="D30" s="96" t="s">
        <v>34</v>
      </c>
      <c r="E30" s="96" t="s">
        <v>38</v>
      </c>
      <c r="F30" s="96" t="s">
        <v>39</v>
      </c>
      <c r="G30" s="97" t="s">
        <v>65</v>
      </c>
      <c r="H30" s="86"/>
      <c r="I30" s="94" t="s">
        <v>1</v>
      </c>
      <c r="J30" s="96" t="s">
        <v>2</v>
      </c>
      <c r="K30" s="96" t="s">
        <v>29</v>
      </c>
      <c r="L30" s="96" t="s">
        <v>26</v>
      </c>
      <c r="M30" s="97" t="s">
        <v>6</v>
      </c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spans="1:26" x14ac:dyDescent="0.3">
      <c r="A31" s="89">
        <v>1</v>
      </c>
      <c r="B31" s="91" t="str">
        <f>IFERROR(VLOOKUP(DashBoard!$A31,list!$A$14:$W$25,MATCH(B$30,Tasks!$A$2:$W$2,0),0),"")</f>
        <v>Activity 14</v>
      </c>
      <c r="C31" s="91" t="str">
        <f>IFERROR(VLOOKUP(DashBoard!$A31,list!$A$14:$W$25,MATCH(C$30,Tasks!$A$2:$W$2,0),0),"")</f>
        <v>BTS</v>
      </c>
      <c r="D31" s="91" t="str">
        <f>IFERROR(VLOOKUP(DashBoard!$A31,list!$A$14:$W$25,MATCH(D$30,Tasks!$A$2:$W$2,0),0),"")</f>
        <v>Civil</v>
      </c>
      <c r="E31" s="92">
        <f>IFERROR(VLOOKUP(DashBoard!$A31,list!$A$14:$W$25,MATCH(E$30,Tasks!$A$2:$W$2,0),0),"")</f>
        <v>43935</v>
      </c>
      <c r="F31" s="92">
        <f>IFERROR(VLOOKUP(DashBoard!$A31,list!$A$14:$W$25,MATCH(F$30,Tasks!$A$2:$W$2,0),0),"")</f>
        <v>43971</v>
      </c>
      <c r="G31" s="93">
        <f>IFERROR(VLOOKUP(DashBoard!$A31,list!$A$14:$W$25,MATCH(G$30,Tasks!$A$2:$W$2,0),0),"")</f>
        <v>0.1</v>
      </c>
      <c r="H31" s="86"/>
      <c r="I31" s="89">
        <v>1</v>
      </c>
      <c r="J31" s="91" t="str">
        <f>IFERROR(VLOOKUP($I31,list!$Y$13:$AJ$27,MATCH(J$30,list!$Y$13:$AJ$13,0),0),"")</f>
        <v>Issue#1</v>
      </c>
      <c r="K31" s="91">
        <f>IFERROR(VLOOKUP($I31,list!$Y$13:$AJ$27,MATCH(K$30,list!$Y$13:$AJ$13,0),0),"")</f>
        <v>622.38</v>
      </c>
      <c r="L31" s="91" t="str">
        <f>IFERROR(VLOOKUP($I31,list!$Y$13:$AJ$27,MATCH(L$30,list!$Y$13:$AJ$13,0),0),"")</f>
        <v>Akram</v>
      </c>
      <c r="M31" s="91" t="str">
        <f>IFERROR(VLOOKUP($I31,list!$Y$13:$AJ$27,MATCH(M$30,list!$Y$13:$AJ$13,0),0),"")</f>
        <v>Waiting Vendor feedback</v>
      </c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spans="1:26" x14ac:dyDescent="0.3">
      <c r="A32" s="89">
        <f>A31+1</f>
        <v>2</v>
      </c>
      <c r="B32" s="91" t="str">
        <f>IFERROR(VLOOKUP(DashBoard!$A32,list!$A$14:$W$25,MATCH(B$30,Tasks!$A$2:$W$2,0),0),"")</f>
        <v>Activity 15</v>
      </c>
      <c r="C32" s="91" t="str">
        <f>IFERROR(VLOOKUP(DashBoard!$A32,list!$A$14:$W$25,MATCH(C$30,Tasks!$A$2:$W$2,0),0),"")</f>
        <v>CVL</v>
      </c>
      <c r="D32" s="91" t="str">
        <f>IFERROR(VLOOKUP(DashBoard!$A32,list!$A$14:$W$25,MATCH(D$30,Tasks!$A$2:$W$2,0),0),"")</f>
        <v>Civil</v>
      </c>
      <c r="E32" s="92">
        <f>IFERROR(VLOOKUP(DashBoard!$A32,list!$A$14:$W$25,MATCH(E$30,Tasks!$A$2:$W$2,0),0),"")</f>
        <v>43940</v>
      </c>
      <c r="F32" s="92">
        <f>IFERROR(VLOOKUP(DashBoard!$A32,list!$A$14:$W$25,MATCH(F$30,Tasks!$A$2:$W$2,0),0),"")</f>
        <v>43972</v>
      </c>
      <c r="G32" s="93">
        <f>IFERROR(VLOOKUP(DashBoard!$A32,list!$A$14:$W$25,MATCH(G$30,Tasks!$A$2:$W$2,0),0),"")</f>
        <v>0</v>
      </c>
      <c r="H32" s="86"/>
      <c r="I32" s="89">
        <f>I31+1</f>
        <v>2</v>
      </c>
      <c r="J32" s="91" t="str">
        <f>IFERROR(VLOOKUP($I32,list!$Y$13:$AJ$27,MATCH(J$30,list!$Y$13:$AJ$13,0),0),"")</f>
        <v>Issue#3</v>
      </c>
      <c r="K32" s="91">
        <f>IFERROR(VLOOKUP($I32,list!$Y$13:$AJ$27,MATCH(K$30,list!$Y$13:$AJ$13,0),0),"")</f>
        <v>701.91000000000008</v>
      </c>
      <c r="L32" s="91" t="str">
        <f>IFERROR(VLOOKUP($I32,list!$Y$13:$AJ$27,MATCH(L$30,list!$Y$13:$AJ$13,0),0),"")</f>
        <v>Ashraf</v>
      </c>
      <c r="M32" s="91" t="str">
        <f>IFERROR(VLOOKUP($I32,list!$Y$13:$AJ$27,MATCH(M$30,list!$Y$13:$AJ$13,0),0),"")</f>
        <v>Solved wih the owner</v>
      </c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spans="1:26" x14ac:dyDescent="0.3">
      <c r="A33" s="89">
        <f t="shared" ref="A33:A35" si="0">A32+1</f>
        <v>3</v>
      </c>
      <c r="B33" s="91" t="str">
        <f>IFERROR(VLOOKUP(DashBoard!$A33,list!$A$14:$W$25,MATCH(B$30,Tasks!$A$2:$W$2,0),0),"")</f>
        <v>Activity 16</v>
      </c>
      <c r="C33" s="91" t="str">
        <f>IFERROR(VLOOKUP(DashBoard!$A33,list!$A$14:$W$25,MATCH(C$30,Tasks!$A$2:$W$2,0),0),"")</f>
        <v>BTS</v>
      </c>
      <c r="D33" s="91" t="str">
        <f>IFERROR(VLOOKUP(DashBoard!$A33,list!$A$14:$W$25,MATCH(D$30,Tasks!$A$2:$W$2,0),0),"")</f>
        <v>Civil</v>
      </c>
      <c r="E33" s="92">
        <f>IFERROR(VLOOKUP(DashBoard!$A33,list!$A$14:$W$25,MATCH(E$30,Tasks!$A$2:$W$2,0),0),"")</f>
        <v>43955</v>
      </c>
      <c r="F33" s="92">
        <f>IFERROR(VLOOKUP(DashBoard!$A33,list!$A$14:$W$25,MATCH(F$30,Tasks!$A$2:$W$2,0),0),"")</f>
        <v>43989</v>
      </c>
      <c r="G33" s="93">
        <f>IFERROR(VLOOKUP(DashBoard!$A33,list!$A$14:$W$25,MATCH(G$30,Tasks!$A$2:$W$2,0),0),"")</f>
        <v>0</v>
      </c>
      <c r="H33" s="86"/>
      <c r="I33" s="89">
        <f t="shared" ref="I33:I35" si="1">I32+1</f>
        <v>3</v>
      </c>
      <c r="J33" s="91" t="str">
        <f>IFERROR(VLOOKUP($I33,list!$Y$13:$AJ$27,MATCH(J$30,list!$Y$13:$AJ$13,0),0),"")</f>
        <v>Issue#4</v>
      </c>
      <c r="K33" s="91">
        <f>IFERROR(VLOOKUP($I33,list!$Y$13:$AJ$27,MATCH(K$30,list!$Y$13:$AJ$13,0),0),"")</f>
        <v>1600.0700000000002</v>
      </c>
      <c r="L33" s="91" t="str">
        <f>IFERROR(VLOOKUP($I33,list!$Y$13:$AJ$27,MATCH(L$30,list!$Y$13:$AJ$13,0),0),"")</f>
        <v>Ashraf</v>
      </c>
      <c r="M33" s="91" t="str">
        <f>IFERROR(VLOOKUP($I33,list!$Y$13:$AJ$27,MATCH(M$30,list!$Y$13:$AJ$13,0),0),"")</f>
        <v>Solved wih the owner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spans="1:26" x14ac:dyDescent="0.3">
      <c r="A34" s="89">
        <f t="shared" si="0"/>
        <v>4</v>
      </c>
      <c r="B34" s="91" t="str">
        <f>IFERROR(VLOOKUP(DashBoard!$A34,list!$A$14:$W$25,MATCH(B$30,Tasks!$A$2:$W$2,0),0),"")</f>
        <v>Activity 17</v>
      </c>
      <c r="C34" s="91" t="str">
        <f>IFERROR(VLOOKUP(DashBoard!$A34,list!$A$14:$W$25,MATCH(C$30,Tasks!$A$2:$W$2,0),0),"")</f>
        <v>ARC</v>
      </c>
      <c r="D34" s="91" t="str">
        <f>IFERROR(VLOOKUP(DashBoard!$A34,list!$A$14:$W$25,MATCH(D$30,Tasks!$A$2:$W$2,0),0),"")</f>
        <v>Acrhitict</v>
      </c>
      <c r="E34" s="92">
        <f>IFERROR(VLOOKUP(DashBoard!$A34,list!$A$14:$W$25,MATCH(E$30,Tasks!$A$2:$W$2,0),0),"")</f>
        <v>43979</v>
      </c>
      <c r="F34" s="92">
        <f>IFERROR(VLOOKUP(DashBoard!$A34,list!$A$14:$W$25,MATCH(F$30,Tasks!$A$2:$W$2,0),0),"")</f>
        <v>44006</v>
      </c>
      <c r="G34" s="93">
        <f>IFERROR(VLOOKUP(DashBoard!$A34,list!$A$14:$W$25,MATCH(G$30,Tasks!$A$2:$W$2,0),0),"")</f>
        <v>0</v>
      </c>
      <c r="H34" s="86"/>
      <c r="I34" s="89">
        <f t="shared" si="1"/>
        <v>4</v>
      </c>
      <c r="J34" s="91" t="str">
        <f>IFERROR(VLOOKUP($I34,list!$Y$13:$AJ$27,MATCH(J$30,list!$Y$13:$AJ$13,0),0),"")</f>
        <v>Issue#6</v>
      </c>
      <c r="K34" s="91">
        <f>IFERROR(VLOOKUP($I34,list!$Y$13:$AJ$27,MATCH(K$30,list!$Y$13:$AJ$13,0),0),"")</f>
        <v>399.24</v>
      </c>
      <c r="L34" s="91" t="str">
        <f>IFERROR(VLOOKUP($I34,list!$Y$13:$AJ$27,MATCH(L$30,list!$Y$13:$AJ$13,0),0),"")</f>
        <v>Ashraf</v>
      </c>
      <c r="M34" s="91" t="str">
        <f>IFERROR(VLOOKUP($I34,list!$Y$13:$AJ$27,MATCH(M$30,list!$Y$13:$AJ$13,0),0),"")</f>
        <v>Most likely solved with no cost</v>
      </c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spans="1:26" x14ac:dyDescent="0.3">
      <c r="A35" s="90">
        <f t="shared" si="0"/>
        <v>5</v>
      </c>
      <c r="B35" s="91" t="str">
        <f>IFERROR(VLOOKUP(DashBoard!$A35,list!$A$14:$W$25,MATCH(B$30,Tasks!$A$2:$W$2,0),0),"")</f>
        <v>Activity 18</v>
      </c>
      <c r="C35" s="91" t="str">
        <f>IFERROR(VLOOKUP(DashBoard!$A35,list!$A$14:$W$25,MATCH(C$30,Tasks!$A$2:$W$2,0),0),"")</f>
        <v>BTS</v>
      </c>
      <c r="D35" s="91" t="str">
        <f>IFERROR(VLOOKUP(DashBoard!$A35,list!$A$14:$W$25,MATCH(D$30,Tasks!$A$2:$W$2,0),0),"")</f>
        <v>Civil</v>
      </c>
      <c r="E35" s="92">
        <f>IFERROR(VLOOKUP(DashBoard!$A35,list!$A$14:$W$25,MATCH(E$30,Tasks!$A$2:$W$2,0),0),"")</f>
        <v>43994</v>
      </c>
      <c r="F35" s="92">
        <f>IFERROR(VLOOKUP(DashBoard!$A35,list!$A$14:$W$25,MATCH(F$30,Tasks!$A$2:$W$2,0),0),"")</f>
        <v>44012</v>
      </c>
      <c r="G35" s="93">
        <f>IFERROR(VLOOKUP(DashBoard!$A35,list!$A$14:$W$25,MATCH(G$30,Tasks!$A$2:$W$2,0),0),"")</f>
        <v>0</v>
      </c>
      <c r="H35" s="86"/>
      <c r="I35" s="90">
        <f t="shared" si="1"/>
        <v>5</v>
      </c>
      <c r="J35" s="91" t="str">
        <f>IFERROR(VLOOKUP($I35,list!$Y$13:$AJ$27,MATCH(J$30,list!$Y$13:$AJ$13,0),0),"")</f>
        <v>Issue#7</v>
      </c>
      <c r="K35" s="91">
        <f>IFERROR(VLOOKUP($I35,list!$Y$13:$AJ$27,MATCH(K$30,list!$Y$13:$AJ$13,0),0),"")</f>
        <v>48.24</v>
      </c>
      <c r="L35" s="91" t="str">
        <f>IFERROR(VLOOKUP($I35,list!$Y$13:$AJ$27,MATCH(L$30,list!$Y$13:$AJ$13,0),0),"")</f>
        <v>Ahmad</v>
      </c>
      <c r="M35" s="91" t="str">
        <f>IFERROR(VLOOKUP($I35,list!$Y$13:$AJ$27,MATCH(M$30,list!$Y$13:$AJ$13,0),0),"")</f>
        <v>Solved wih the owner</v>
      </c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</sheetData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Drop Down 1">
              <controlPr defaultSize="0" autoLine="0" autoPict="0">
                <anchor moveWithCells="1">
                  <from>
                    <xdr:col>8</xdr:col>
                    <xdr:colOff>15240</xdr:colOff>
                    <xdr:row>3</xdr:row>
                    <xdr:rowOff>0</xdr:rowOff>
                  </from>
                  <to>
                    <xdr:col>10</xdr:col>
                    <xdr:colOff>335280</xdr:colOff>
                    <xdr:row>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12</xdr:col>
                    <xdr:colOff>777240</xdr:colOff>
                    <xdr:row>2</xdr:row>
                    <xdr:rowOff>121920</xdr:rowOff>
                  </from>
                  <to>
                    <xdr:col>12</xdr:col>
                    <xdr:colOff>1882140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11</xdr:col>
                    <xdr:colOff>220980</xdr:colOff>
                    <xdr:row>2</xdr:row>
                    <xdr:rowOff>160020</xdr:rowOff>
                  </from>
                  <to>
                    <xdr:col>12</xdr:col>
                    <xdr:colOff>739140</xdr:colOff>
                    <xdr:row>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7" r:id="rId6" name="Option Button 17">
              <controlPr defaultSize="0" autoFill="0" autoLine="0" autoPict="0">
                <anchor moveWithCells="1">
                  <from>
                    <xdr:col>3</xdr:col>
                    <xdr:colOff>480060</xdr:colOff>
                    <xdr:row>27</xdr:row>
                    <xdr:rowOff>76200</xdr:rowOff>
                  </from>
                  <to>
                    <xdr:col>4</xdr:col>
                    <xdr:colOff>22860</xdr:colOff>
                    <xdr:row>28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8" r:id="rId7" name="Option Button 18">
              <controlPr defaultSize="0" autoFill="0" autoLine="0" autoPict="0">
                <anchor moveWithCells="1">
                  <from>
                    <xdr:col>4</xdr:col>
                    <xdr:colOff>556260</xdr:colOff>
                    <xdr:row>27</xdr:row>
                    <xdr:rowOff>83820</xdr:rowOff>
                  </from>
                  <to>
                    <xdr:col>4</xdr:col>
                    <xdr:colOff>815340</xdr:colOff>
                    <xdr:row>28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9" r:id="rId8" name="Option Button 19">
              <controlPr defaultSize="0" autoFill="0" autoLine="0" autoPict="0">
                <anchor moveWithCells="1">
                  <from>
                    <xdr:col>5</xdr:col>
                    <xdr:colOff>662940</xdr:colOff>
                    <xdr:row>27</xdr:row>
                    <xdr:rowOff>60960</xdr:rowOff>
                  </from>
                  <to>
                    <xdr:col>6</xdr:col>
                    <xdr:colOff>68580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0" r:id="rId9" name="Option Button 20">
              <controlPr defaultSize="0" autoFill="0" autoLine="0" autoPict="0">
                <anchor moveWithCells="1">
                  <from>
                    <xdr:col>6</xdr:col>
                    <xdr:colOff>662940</xdr:colOff>
                    <xdr:row>27</xdr:row>
                    <xdr:rowOff>76200</xdr:rowOff>
                  </from>
                  <to>
                    <xdr:col>7</xdr:col>
                    <xdr:colOff>83820</xdr:colOff>
                    <xdr:row>28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10" name="Option Button 23">
              <controlPr defaultSize="0" autoFill="0" autoLine="0" autoPict="0">
                <anchor moveWithCells="1">
                  <from>
                    <xdr:col>11</xdr:col>
                    <xdr:colOff>243840</xdr:colOff>
                    <xdr:row>26</xdr:row>
                    <xdr:rowOff>45720</xdr:rowOff>
                  </from>
                  <to>
                    <xdr:col>11</xdr:col>
                    <xdr:colOff>525780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11" name="Option Button 29">
              <controlPr defaultSize="0" autoFill="0" autoLine="0" autoPict="0">
                <anchor moveWithCells="1">
                  <from>
                    <xdr:col>12</xdr:col>
                    <xdr:colOff>510540</xdr:colOff>
                    <xdr:row>26</xdr:row>
                    <xdr:rowOff>45720</xdr:rowOff>
                  </from>
                  <to>
                    <xdr:col>12</xdr:col>
                    <xdr:colOff>792480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12" name="Scroll Bar 34">
              <controlPr defaultSize="0" autoPict="0">
                <anchor moveWithCells="1">
                  <from>
                    <xdr:col>7</xdr:col>
                    <xdr:colOff>83820</xdr:colOff>
                    <xdr:row>28</xdr:row>
                    <xdr:rowOff>182880</xdr:rowOff>
                  </from>
                  <to>
                    <xdr:col>7</xdr:col>
                    <xdr:colOff>350520</xdr:colOff>
                    <xdr:row>34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13" name="Scroll Bar 37">
              <controlPr defaultSize="0" autoPict="0">
                <anchor moveWithCells="1">
                  <from>
                    <xdr:col>13</xdr:col>
                    <xdr:colOff>7620</xdr:colOff>
                    <xdr:row>29</xdr:row>
                    <xdr:rowOff>0</xdr:rowOff>
                  </from>
                  <to>
                    <xdr:col>13</xdr:col>
                    <xdr:colOff>205740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2" r:id="rId14" name="Group Box 42">
              <controlPr defaultSize="0" autoFill="0" autoPict="0">
                <anchor moveWithCells="1">
                  <from>
                    <xdr:col>3</xdr:col>
                    <xdr:colOff>129540</xdr:colOff>
                    <xdr:row>26</xdr:row>
                    <xdr:rowOff>175260</xdr:rowOff>
                  </from>
                  <to>
                    <xdr:col>7</xdr:col>
                    <xdr:colOff>190500</xdr:colOff>
                    <xdr:row>28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3" r:id="rId15" name="Group Box 43">
              <controlPr defaultSize="0" autoFill="0" autoPict="0">
                <anchor moveWithCells="1">
                  <from>
                    <xdr:col>10</xdr:col>
                    <xdr:colOff>419100</xdr:colOff>
                    <xdr:row>26</xdr:row>
                    <xdr:rowOff>22860</xdr:rowOff>
                  </from>
                  <to>
                    <xdr:col>12</xdr:col>
                    <xdr:colOff>1767840</xdr:colOff>
                    <xdr:row>27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5" r:id="rId16" name="Option Button 45">
              <controlPr defaultSize="0" autoFill="0" autoLine="0" autoPict="0">
                <anchor moveWithCells="1">
                  <from>
                    <xdr:col>12</xdr:col>
                    <xdr:colOff>1249680</xdr:colOff>
                    <xdr:row>26</xdr:row>
                    <xdr:rowOff>76200</xdr:rowOff>
                  </from>
                  <to>
                    <xdr:col>12</xdr:col>
                    <xdr:colOff>1531620</xdr:colOff>
                    <xdr:row>27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053B-4436-4FE9-8EE6-1591B915000C}">
  <dimension ref="A1:O19"/>
  <sheetViews>
    <sheetView showGridLines="0" workbookViewId="0">
      <selection activeCell="A3" sqref="A3:K3"/>
    </sheetView>
  </sheetViews>
  <sheetFormatPr defaultRowHeight="14.4" x14ac:dyDescent="0.3"/>
  <cols>
    <col min="1" max="1" width="13.44140625" bestFit="1" customWidth="1"/>
    <col min="2" max="2" width="8.109375" bestFit="1" customWidth="1"/>
    <col min="3" max="3" width="10.77734375" bestFit="1" customWidth="1"/>
    <col min="4" max="4" width="18.77734375" bestFit="1" customWidth="1"/>
    <col min="5" max="5" width="10.77734375" customWidth="1"/>
    <col min="6" max="7" width="9" customWidth="1"/>
    <col min="8" max="8" width="12.109375" bestFit="1" customWidth="1"/>
    <col min="9" max="9" width="12" bestFit="1" customWidth="1"/>
    <col min="10" max="10" width="28.33203125" bestFit="1" customWidth="1"/>
    <col min="11" max="11" width="12" customWidth="1"/>
    <col min="13" max="13" width="7.88671875" bestFit="1" customWidth="1"/>
    <col min="14" max="14" width="9.33203125" bestFit="1" customWidth="1"/>
    <col min="15" max="15" width="13.77734375" bestFit="1" customWidth="1"/>
    <col min="16" max="16" width="9" customWidth="1"/>
    <col min="17" max="17" width="13.44140625" customWidth="1"/>
  </cols>
  <sheetData>
    <row r="1" spans="1:15" ht="18" x14ac:dyDescent="0.35">
      <c r="A1" s="29" t="s">
        <v>91</v>
      </c>
      <c r="M1" s="30"/>
      <c r="N1" s="30"/>
    </row>
    <row r="2" spans="1:15" x14ac:dyDescent="0.3">
      <c r="D2" s="27" t="s">
        <v>30</v>
      </c>
      <c r="E2" s="28">
        <f>SUBTOTAL(109,Issues!$E$4:$E$19)</f>
        <v>26855.300000000003</v>
      </c>
    </row>
    <row r="3" spans="1:15" x14ac:dyDescent="0.3">
      <c r="A3" s="6" t="s">
        <v>1</v>
      </c>
      <c r="B3" s="7" t="s">
        <v>2</v>
      </c>
      <c r="C3" s="7" t="s">
        <v>27</v>
      </c>
      <c r="D3" s="26" t="s">
        <v>28</v>
      </c>
      <c r="E3" s="26" t="s">
        <v>29</v>
      </c>
      <c r="F3" s="7" t="s">
        <v>3</v>
      </c>
      <c r="G3" s="7" t="s">
        <v>26</v>
      </c>
      <c r="H3" s="7" t="s">
        <v>4</v>
      </c>
      <c r="I3" s="7" t="s">
        <v>5</v>
      </c>
      <c r="J3" s="7" t="s">
        <v>6</v>
      </c>
      <c r="K3" s="20" t="s">
        <v>74</v>
      </c>
      <c r="M3" s="11" t="s">
        <v>29</v>
      </c>
      <c r="N3" s="12" t="s">
        <v>3</v>
      </c>
      <c r="O3" s="13" t="s">
        <v>88</v>
      </c>
    </row>
    <row r="4" spans="1:15" x14ac:dyDescent="0.3">
      <c r="A4" s="21">
        <v>1</v>
      </c>
      <c r="B4" s="22" t="s">
        <v>10</v>
      </c>
      <c r="C4" s="23">
        <v>0.46</v>
      </c>
      <c r="D4" s="22">
        <v>1353</v>
      </c>
      <c r="E4" s="24">
        <f>Issues!$C4*Issues!$D4</f>
        <v>622.38</v>
      </c>
      <c r="F4" s="22" t="str">
        <f>VLOOKUP(Issues!$E4,Issues!$M$4:$N$6,2,1)</f>
        <v>Low</v>
      </c>
      <c r="G4" s="22" t="s">
        <v>93</v>
      </c>
      <c r="H4" s="22"/>
      <c r="I4" s="22"/>
      <c r="J4" s="22" t="s">
        <v>100</v>
      </c>
      <c r="K4" s="25" t="s">
        <v>89</v>
      </c>
      <c r="L4">
        <f>IF(F4=list!$AC$2,ROW(),1000)</f>
        <v>4</v>
      </c>
      <c r="M4" s="14">
        <v>0</v>
      </c>
      <c r="N4" s="15" t="s">
        <v>8</v>
      </c>
      <c r="O4" s="16">
        <f>COUNTIFS(Issues!$F$4:$F$19,N4,$K$4:$K$19,"Open")</f>
        <v>4</v>
      </c>
    </row>
    <row r="5" spans="1:15" x14ac:dyDescent="0.3">
      <c r="A5" s="21">
        <v>2</v>
      </c>
      <c r="B5" s="22" t="s">
        <v>16</v>
      </c>
      <c r="C5" s="23">
        <v>0.23</v>
      </c>
      <c r="D5" s="22">
        <v>8703</v>
      </c>
      <c r="E5" s="24">
        <f>Issues!$C5*Issues!$D5</f>
        <v>2001.69</v>
      </c>
      <c r="F5" s="22" t="str">
        <f>VLOOKUP(Issues!$E5,Issues!$M$4:$N$6,2,1)</f>
        <v>Medium</v>
      </c>
      <c r="G5" s="22" t="s">
        <v>94</v>
      </c>
      <c r="H5" s="22"/>
      <c r="I5" s="22"/>
      <c r="J5" s="22" t="s">
        <v>95</v>
      </c>
      <c r="K5" s="25" t="s">
        <v>90</v>
      </c>
      <c r="L5">
        <f>IF(F5=list!$AC$2,ROW(),1000)</f>
        <v>1000</v>
      </c>
      <c r="M5" s="14">
        <v>2000</v>
      </c>
      <c r="N5" s="15" t="s">
        <v>9</v>
      </c>
      <c r="O5" s="16">
        <f>COUNTIFS(Issues!$F$4:$F$19,N5,$K$4:$K$19,"Open")</f>
        <v>2</v>
      </c>
    </row>
    <row r="6" spans="1:15" x14ac:dyDescent="0.3">
      <c r="A6" s="21">
        <v>3</v>
      </c>
      <c r="B6" s="22" t="s">
        <v>17</v>
      </c>
      <c r="C6" s="23">
        <v>0.33</v>
      </c>
      <c r="D6" s="22">
        <v>2127</v>
      </c>
      <c r="E6" s="24">
        <f>Issues!$C6*Issues!$D6</f>
        <v>701.91000000000008</v>
      </c>
      <c r="F6" s="22" t="str">
        <f>VLOOKUP(Issues!$E6,Issues!$M$4:$N$6,2,1)</f>
        <v>Low</v>
      </c>
      <c r="G6" s="22" t="s">
        <v>94</v>
      </c>
      <c r="H6" s="22"/>
      <c r="I6" s="22"/>
      <c r="J6" s="22" t="s">
        <v>99</v>
      </c>
      <c r="K6" s="25" t="s">
        <v>90</v>
      </c>
      <c r="L6">
        <f>IF(F6=list!$AC$2,ROW(),1000)</f>
        <v>6</v>
      </c>
      <c r="M6" s="17">
        <v>4000</v>
      </c>
      <c r="N6" s="18" t="s">
        <v>7</v>
      </c>
      <c r="O6" s="19">
        <f>COUNTIFS(Issues!$F$4:$F$19,N6,$K$4:$K$19,"Open")</f>
        <v>1</v>
      </c>
    </row>
    <row r="7" spans="1:15" x14ac:dyDescent="0.3">
      <c r="A7" s="21">
        <v>4</v>
      </c>
      <c r="B7" s="22" t="s">
        <v>18</v>
      </c>
      <c r="C7" s="23">
        <v>0.53</v>
      </c>
      <c r="D7" s="22">
        <v>3019</v>
      </c>
      <c r="E7" s="24">
        <f>Issues!$C7*Issues!$D7</f>
        <v>1600.0700000000002</v>
      </c>
      <c r="F7" s="22" t="str">
        <f>VLOOKUP(Issues!$E7,Issues!$M$4:$N$6,2,1)</f>
        <v>Low</v>
      </c>
      <c r="G7" s="22" t="s">
        <v>94</v>
      </c>
      <c r="H7" s="22"/>
      <c r="I7" s="22"/>
      <c r="J7" s="22" t="s">
        <v>99</v>
      </c>
      <c r="K7" s="25" t="s">
        <v>90</v>
      </c>
      <c r="L7">
        <f>IF(F7=list!$AC$2,ROW(),1000)</f>
        <v>7</v>
      </c>
    </row>
    <row r="8" spans="1:15" x14ac:dyDescent="0.3">
      <c r="A8" s="21">
        <v>5</v>
      </c>
      <c r="B8" s="22" t="s">
        <v>11</v>
      </c>
      <c r="C8" s="23">
        <v>0.9</v>
      </c>
      <c r="D8" s="22">
        <v>4004</v>
      </c>
      <c r="E8" s="24">
        <f>Issues!$C8*Issues!$D8</f>
        <v>3603.6</v>
      </c>
      <c r="F8" s="22" t="str">
        <f>VLOOKUP(Issues!$E8,Issues!$M$4:$N$6,2,1)</f>
        <v>Medium</v>
      </c>
      <c r="G8" s="22" t="s">
        <v>92</v>
      </c>
      <c r="H8" s="22"/>
      <c r="I8" s="22"/>
      <c r="J8" s="22" t="s">
        <v>101</v>
      </c>
      <c r="K8" s="25" t="s">
        <v>89</v>
      </c>
      <c r="L8">
        <f>IF(F8=list!$AC$2,ROW(),1000)</f>
        <v>1000</v>
      </c>
    </row>
    <row r="9" spans="1:15" x14ac:dyDescent="0.3">
      <c r="A9" s="21">
        <v>6</v>
      </c>
      <c r="B9" s="22" t="s">
        <v>12</v>
      </c>
      <c r="C9" s="23">
        <v>0.09</v>
      </c>
      <c r="D9" s="22">
        <v>4436</v>
      </c>
      <c r="E9" s="24">
        <f>Issues!$C9*Issues!$D9</f>
        <v>399.24</v>
      </c>
      <c r="F9" s="22" t="str">
        <f>VLOOKUP(Issues!$E9,Issues!$M$4:$N$6,2,1)</f>
        <v>Low</v>
      </c>
      <c r="G9" s="22" t="s">
        <v>94</v>
      </c>
      <c r="H9" s="22"/>
      <c r="I9" s="22"/>
      <c r="J9" s="22" t="s">
        <v>105</v>
      </c>
      <c r="K9" s="25" t="s">
        <v>89</v>
      </c>
      <c r="L9">
        <f>IF(F9=list!$AC$2,ROW(),1000)</f>
        <v>9</v>
      </c>
    </row>
    <row r="10" spans="1:15" x14ac:dyDescent="0.3">
      <c r="A10" s="21">
        <v>7</v>
      </c>
      <c r="B10" s="22" t="s">
        <v>13</v>
      </c>
      <c r="C10" s="23">
        <v>0.04</v>
      </c>
      <c r="D10" s="22">
        <v>1206</v>
      </c>
      <c r="E10" s="24">
        <f>Issues!$C10*Issues!$D10</f>
        <v>48.24</v>
      </c>
      <c r="F10" s="22" t="str">
        <f>VLOOKUP(Issues!$E10,Issues!$M$4:$N$6,2,1)</f>
        <v>Low</v>
      </c>
      <c r="G10" s="22" t="s">
        <v>92</v>
      </c>
      <c r="H10" s="22"/>
      <c r="I10" s="22"/>
      <c r="J10" s="22" t="s">
        <v>99</v>
      </c>
      <c r="K10" s="25" t="s">
        <v>90</v>
      </c>
      <c r="L10">
        <f>IF(F10=list!$AC$2,ROW(),1000)</f>
        <v>10</v>
      </c>
    </row>
    <row r="11" spans="1:15" x14ac:dyDescent="0.3">
      <c r="A11" s="21">
        <v>8</v>
      </c>
      <c r="B11" s="22" t="s">
        <v>14</v>
      </c>
      <c r="C11" s="23">
        <v>0.46</v>
      </c>
      <c r="D11" s="22">
        <v>1318</v>
      </c>
      <c r="E11" s="24">
        <f>Issues!$C11*Issues!$D11</f>
        <v>606.28</v>
      </c>
      <c r="F11" s="22" t="str">
        <f>VLOOKUP(Issues!$E11,Issues!$M$4:$N$6,2,1)</f>
        <v>Low</v>
      </c>
      <c r="G11" s="22" t="s">
        <v>93</v>
      </c>
      <c r="H11" s="22"/>
      <c r="I11" s="22"/>
      <c r="J11" s="22" t="s">
        <v>99</v>
      </c>
      <c r="K11" s="25" t="s">
        <v>90</v>
      </c>
      <c r="L11">
        <f>IF(F11=list!$AC$2,ROW(),1000)</f>
        <v>11</v>
      </c>
    </row>
    <row r="12" spans="1:15" x14ac:dyDescent="0.3">
      <c r="A12" s="21">
        <v>9</v>
      </c>
      <c r="B12" s="22" t="s">
        <v>15</v>
      </c>
      <c r="C12" s="23">
        <v>0.17</v>
      </c>
      <c r="D12" s="22">
        <v>3187</v>
      </c>
      <c r="E12" s="24">
        <f>Issues!$C12*Issues!$D12</f>
        <v>541.79000000000008</v>
      </c>
      <c r="F12" s="22" t="str">
        <f>VLOOKUP(Issues!$E12,Issues!$M$4:$N$6,2,1)</f>
        <v>Low</v>
      </c>
      <c r="G12" s="22" t="s">
        <v>92</v>
      </c>
      <c r="H12" s="22"/>
      <c r="I12" s="22"/>
      <c r="J12" s="22" t="s">
        <v>105</v>
      </c>
      <c r="K12" s="25" t="s">
        <v>89</v>
      </c>
      <c r="L12">
        <f>IF(F12=list!$AC$2,ROW(),1000)</f>
        <v>12</v>
      </c>
    </row>
    <row r="13" spans="1:15" x14ac:dyDescent="0.3">
      <c r="A13" s="21">
        <v>10</v>
      </c>
      <c r="B13" s="22" t="s">
        <v>19</v>
      </c>
      <c r="C13" s="23">
        <v>0.12</v>
      </c>
      <c r="D13" s="22">
        <v>9007</v>
      </c>
      <c r="E13" s="24">
        <f>Issues!$C13*Issues!$D13</f>
        <v>1080.8399999999999</v>
      </c>
      <c r="F13" s="22" t="str">
        <f>VLOOKUP(Issues!$E13,Issues!$M$4:$N$6,2,1)</f>
        <v>Low</v>
      </c>
      <c r="G13" s="22" t="s">
        <v>92</v>
      </c>
      <c r="H13" s="22"/>
      <c r="I13" s="22"/>
      <c r="J13" s="22" t="s">
        <v>99</v>
      </c>
      <c r="K13" s="25" t="s">
        <v>90</v>
      </c>
      <c r="L13">
        <f>IF(F13=list!$AC$2,ROW(),1000)</f>
        <v>13</v>
      </c>
    </row>
    <row r="14" spans="1:15" x14ac:dyDescent="0.3">
      <c r="A14" s="21">
        <v>11</v>
      </c>
      <c r="B14" s="22" t="s">
        <v>20</v>
      </c>
      <c r="C14" s="23">
        <v>0.62</v>
      </c>
      <c r="D14" s="22">
        <v>9771</v>
      </c>
      <c r="E14" s="24">
        <f>Issues!$C14*Issues!$D14</f>
        <v>6058.0199999999995</v>
      </c>
      <c r="F14" s="22" t="str">
        <f>VLOOKUP(Issues!$E14,Issues!$M$4:$N$6,2,1)</f>
        <v>High</v>
      </c>
      <c r="G14" s="22" t="s">
        <v>93</v>
      </c>
      <c r="H14" s="22"/>
      <c r="I14" s="22"/>
      <c r="J14" s="22" t="s">
        <v>104</v>
      </c>
      <c r="K14" s="25" t="s">
        <v>89</v>
      </c>
      <c r="L14">
        <f>IF(F14=list!$AC$2,ROW(),1000)</f>
        <v>1000</v>
      </c>
    </row>
    <row r="15" spans="1:15" x14ac:dyDescent="0.3">
      <c r="A15" s="21">
        <v>12</v>
      </c>
      <c r="B15" s="22" t="s">
        <v>21</v>
      </c>
      <c r="C15" s="23">
        <v>0.47</v>
      </c>
      <c r="D15" s="22">
        <v>9044</v>
      </c>
      <c r="E15" s="24">
        <f>Issues!$C15*Issues!$D15</f>
        <v>4250.6799999999994</v>
      </c>
      <c r="F15" s="22" t="str">
        <f>VLOOKUP(Issues!$E15,Issues!$M$4:$N$6,2,1)</f>
        <v>High</v>
      </c>
      <c r="G15" s="22" t="s">
        <v>93</v>
      </c>
      <c r="H15" s="22"/>
      <c r="I15" s="22"/>
      <c r="J15" s="22" t="s">
        <v>96</v>
      </c>
      <c r="K15" s="25" t="s">
        <v>90</v>
      </c>
      <c r="L15">
        <f>IF(F15=list!$AC$2,ROW(),1000)</f>
        <v>1000</v>
      </c>
    </row>
    <row r="16" spans="1:15" x14ac:dyDescent="0.3">
      <c r="A16" s="21">
        <v>13</v>
      </c>
      <c r="B16" s="22" t="s">
        <v>22</v>
      </c>
      <c r="C16" s="23">
        <v>0.26</v>
      </c>
      <c r="D16" s="22">
        <v>8632</v>
      </c>
      <c r="E16" s="24">
        <f>Issues!$C16*Issues!$D16</f>
        <v>2244.3200000000002</v>
      </c>
      <c r="F16" s="22" t="str">
        <f>VLOOKUP(Issues!$E16,Issues!$M$4:$N$6,2,1)</f>
        <v>Medium</v>
      </c>
      <c r="G16" s="22" t="s">
        <v>92</v>
      </c>
      <c r="H16" s="22"/>
      <c r="I16" s="22"/>
      <c r="J16" s="22" t="s">
        <v>102</v>
      </c>
      <c r="K16" s="25" t="s">
        <v>89</v>
      </c>
      <c r="L16">
        <f>IF(F16=list!$AC$2,ROW(),1000)</f>
        <v>1000</v>
      </c>
    </row>
    <row r="17" spans="1:12" x14ac:dyDescent="0.3">
      <c r="A17" s="21">
        <v>14</v>
      </c>
      <c r="B17" s="22" t="s">
        <v>23</v>
      </c>
      <c r="C17" s="23">
        <v>0.35</v>
      </c>
      <c r="D17" s="22">
        <v>3232</v>
      </c>
      <c r="E17" s="24">
        <f>Issues!$C17*Issues!$D17</f>
        <v>1131.1999999999998</v>
      </c>
      <c r="F17" s="22" t="str">
        <f>VLOOKUP(Issues!$E17,Issues!$M$4:$N$6,2,1)</f>
        <v>Low</v>
      </c>
      <c r="G17" s="22" t="s">
        <v>94</v>
      </c>
      <c r="H17" s="22"/>
      <c r="I17" s="22"/>
      <c r="J17" s="22" t="s">
        <v>97</v>
      </c>
      <c r="K17" s="25" t="s">
        <v>90</v>
      </c>
      <c r="L17">
        <f>IF(F17=list!$AC$2,ROW(),1000)</f>
        <v>17</v>
      </c>
    </row>
    <row r="18" spans="1:12" x14ac:dyDescent="0.3">
      <c r="A18" s="21">
        <v>15</v>
      </c>
      <c r="B18" s="22" t="s">
        <v>24</v>
      </c>
      <c r="C18" s="23">
        <v>0.56000000000000005</v>
      </c>
      <c r="D18" s="22">
        <v>2006</v>
      </c>
      <c r="E18" s="24">
        <f>Issues!$C18*Issues!$D18</f>
        <v>1123.3600000000001</v>
      </c>
      <c r="F18" s="22" t="str">
        <f>VLOOKUP(Issues!$E18,Issues!$M$4:$N$6,2,1)</f>
        <v>Low</v>
      </c>
      <c r="G18" s="22" t="s">
        <v>94</v>
      </c>
      <c r="H18" s="22"/>
      <c r="I18" s="22"/>
      <c r="J18" s="22" t="s">
        <v>103</v>
      </c>
      <c r="K18" s="25" t="s">
        <v>89</v>
      </c>
      <c r="L18">
        <f>IF(F18=list!$AC$2,ROW(),1000)</f>
        <v>18</v>
      </c>
    </row>
    <row r="19" spans="1:12" x14ac:dyDescent="0.3">
      <c r="A19" s="21">
        <v>16</v>
      </c>
      <c r="B19" s="22" t="s">
        <v>25</v>
      </c>
      <c r="C19" s="23">
        <v>0.21</v>
      </c>
      <c r="D19" s="22">
        <v>4008</v>
      </c>
      <c r="E19" s="24">
        <f>Issues!$C19*Issues!$D19</f>
        <v>841.68</v>
      </c>
      <c r="F19" s="22" t="str">
        <f>VLOOKUP(Issues!$E19,Issues!$M$4:$N$6,2,1)</f>
        <v>Low</v>
      </c>
      <c r="G19" s="22" t="s">
        <v>93</v>
      </c>
      <c r="H19" s="22"/>
      <c r="I19" s="22"/>
      <c r="J19" s="22" t="s">
        <v>98</v>
      </c>
      <c r="K19" s="25" t="s">
        <v>90</v>
      </c>
      <c r="L19">
        <f>IF(F19=list!$AC$2,ROW(),1000)</f>
        <v>19</v>
      </c>
    </row>
  </sheetData>
  <autoFilter ref="A3:K19" xr:uid="{B581D144-AF07-433E-B001-98B558AD6BEF}"/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2DFC114E-C2E9-4C44-9673-1515B62A481C}">
            <x14:iconSet custom="1">
              <x14:cfvo type="percent">
                <xm:f>0</xm:f>
              </x14:cfvo>
              <x14:cfvo type="num">
                <xm:f>$M$5</xm:f>
              </x14:cfvo>
              <x14:cfvo type="num">
                <xm:f>$M$6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E4:E19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50C6-BD02-443B-8DC6-0140F56DF7EA}">
  <dimension ref="A2:J26"/>
  <sheetViews>
    <sheetView showGridLines="0" workbookViewId="0">
      <selection activeCell="U9" sqref="U9"/>
    </sheetView>
  </sheetViews>
  <sheetFormatPr defaultRowHeight="13.8" x14ac:dyDescent="0.25"/>
  <cols>
    <col min="1" max="1" width="21" style="64" customWidth="1"/>
    <col min="2" max="4" width="8.88671875" style="64"/>
    <col min="5" max="5" width="21" style="64" customWidth="1"/>
    <col min="6" max="8" width="8.88671875" style="64"/>
    <col min="9" max="9" width="21" style="64" customWidth="1"/>
    <col min="10" max="16384" width="8.88671875" style="64"/>
  </cols>
  <sheetData>
    <row r="2" spans="1:10" s="66" customFormat="1" ht="22.8" customHeight="1" thickBot="1" x14ac:dyDescent="0.35">
      <c r="A2" s="68" t="s">
        <v>121</v>
      </c>
      <c r="B2" s="69"/>
      <c r="E2" s="68" t="s">
        <v>122</v>
      </c>
      <c r="F2" s="69"/>
      <c r="I2" s="68" t="s">
        <v>126</v>
      </c>
      <c r="J2" s="69"/>
    </row>
    <row r="3" spans="1:10" s="66" customFormat="1" ht="22.8" customHeight="1" thickTop="1" thickBot="1" x14ac:dyDescent="0.35">
      <c r="A3" s="70" t="s">
        <v>117</v>
      </c>
      <c r="B3" s="71">
        <f>Tasks!M24</f>
        <v>0.5714285714285714</v>
      </c>
      <c r="E3" s="70" t="s">
        <v>117</v>
      </c>
      <c r="F3" s="71">
        <f>Tasks!Q1/Tasks!L1</f>
        <v>0.50761421319796951</v>
      </c>
      <c r="I3" s="70" t="s">
        <v>117</v>
      </c>
      <c r="J3" s="71">
        <f>'Budget Plan'!H2/'Budget Plan'!C8</f>
        <v>0.6396551724137931</v>
      </c>
    </row>
    <row r="4" spans="1:10" s="66" customFormat="1" ht="22.8" customHeight="1" thickTop="1" thickBot="1" x14ac:dyDescent="0.35">
      <c r="A4" s="70" t="s">
        <v>67</v>
      </c>
      <c r="B4" s="76">
        <f>1-B3</f>
        <v>0.4285714285714286</v>
      </c>
      <c r="E4" s="70" t="s">
        <v>67</v>
      </c>
      <c r="F4" s="76">
        <f>1-F3</f>
        <v>0.49238578680203049</v>
      </c>
      <c r="I4" s="70" t="s">
        <v>67</v>
      </c>
      <c r="J4" s="76">
        <f>1-J3</f>
        <v>0.3603448275862069</v>
      </c>
    </row>
    <row r="5" spans="1:10" s="66" customFormat="1" ht="22.8" customHeight="1" thickTop="1" thickBot="1" x14ac:dyDescent="0.35">
      <c r="A5" s="70" t="s">
        <v>73</v>
      </c>
      <c r="B5" s="76">
        <f>SUM(B3:B4)</f>
        <v>1</v>
      </c>
      <c r="E5" s="70" t="s">
        <v>73</v>
      </c>
      <c r="F5" s="76">
        <f>SUM(F3:F4)</f>
        <v>1</v>
      </c>
      <c r="I5" s="70" t="s">
        <v>73</v>
      </c>
      <c r="J5" s="76">
        <f>SUM(J3:J4)</f>
        <v>1</v>
      </c>
    </row>
    <row r="6" spans="1:10" s="66" customFormat="1" ht="22.8" customHeight="1" thickTop="1" x14ac:dyDescent="0.3">
      <c r="A6" s="65"/>
      <c r="B6" s="67"/>
      <c r="E6" s="65"/>
      <c r="F6" s="67"/>
      <c r="I6" s="65"/>
      <c r="J6" s="67"/>
    </row>
    <row r="7" spans="1:10" s="66" customFormat="1" ht="22.8" customHeight="1" thickBot="1" x14ac:dyDescent="0.35">
      <c r="A7" s="68" t="s">
        <v>127</v>
      </c>
      <c r="B7" s="69"/>
      <c r="E7" s="68" t="s">
        <v>127</v>
      </c>
      <c r="F7" s="69"/>
      <c r="I7" s="68" t="s">
        <v>127</v>
      </c>
      <c r="J7" s="69"/>
    </row>
    <row r="8" spans="1:10" s="66" customFormat="1" ht="22.8" customHeight="1" thickTop="1" thickBot="1" x14ac:dyDescent="0.35">
      <c r="A8" s="72" t="s">
        <v>117</v>
      </c>
      <c r="B8" s="75">
        <f>B3</f>
        <v>0.5714285714285714</v>
      </c>
      <c r="E8" s="72" t="s">
        <v>117</v>
      </c>
      <c r="F8" s="75">
        <f>F3</f>
        <v>0.50761421319796951</v>
      </c>
      <c r="I8" s="72" t="s">
        <v>117</v>
      </c>
      <c r="J8" s="75">
        <f>J3</f>
        <v>0.6396551724137931</v>
      </c>
    </row>
    <row r="9" spans="1:10" s="66" customFormat="1" ht="22.8" customHeight="1" thickTop="1" thickBot="1" x14ac:dyDescent="0.35">
      <c r="A9" s="72" t="s">
        <v>118</v>
      </c>
      <c r="B9" s="75">
        <v>0.02</v>
      </c>
      <c r="E9" s="72" t="s">
        <v>118</v>
      </c>
      <c r="F9" s="75">
        <v>0.02</v>
      </c>
      <c r="I9" s="72" t="s">
        <v>118</v>
      </c>
      <c r="J9" s="75">
        <v>0.02</v>
      </c>
    </row>
    <row r="10" spans="1:10" s="66" customFormat="1" ht="22.8" customHeight="1" thickTop="1" thickBot="1" x14ac:dyDescent="0.35">
      <c r="A10" s="72" t="s">
        <v>119</v>
      </c>
      <c r="B10" s="75">
        <f>2-SUM(B8:B9)</f>
        <v>1.4085714285714286</v>
      </c>
      <c r="E10" s="72" t="s">
        <v>119</v>
      </c>
      <c r="F10" s="75">
        <f>2-SUM(F8:F9)</f>
        <v>1.4723857868020305</v>
      </c>
      <c r="I10" s="72" t="s">
        <v>119</v>
      </c>
      <c r="J10" s="75">
        <f>2-SUM(J8:J9)</f>
        <v>1.3403448275862069</v>
      </c>
    </row>
    <row r="11" spans="1:10" s="66" customFormat="1" ht="22.8" customHeight="1" thickTop="1" x14ac:dyDescent="0.3">
      <c r="A11" s="65"/>
      <c r="B11" s="67"/>
      <c r="E11" s="65"/>
      <c r="F11" s="67"/>
      <c r="I11" s="65"/>
      <c r="J11" s="67"/>
    </row>
    <row r="12" spans="1:10" s="66" customFormat="1" ht="22.8" customHeight="1" thickBot="1" x14ac:dyDescent="0.35">
      <c r="A12" s="68" t="s">
        <v>120</v>
      </c>
      <c r="B12" s="69"/>
      <c r="E12" s="68" t="s">
        <v>120</v>
      </c>
      <c r="F12" s="69"/>
      <c r="I12" s="68" t="s">
        <v>120</v>
      </c>
      <c r="J12" s="69"/>
    </row>
    <row r="13" spans="1:10" s="66" customFormat="1" ht="22.8" customHeight="1" thickTop="1" thickBot="1" x14ac:dyDescent="0.35">
      <c r="A13" s="73">
        <v>0.2</v>
      </c>
      <c r="B13" s="71">
        <v>0.1</v>
      </c>
      <c r="E13" s="73">
        <v>0.2</v>
      </c>
      <c r="F13" s="71">
        <v>0.1</v>
      </c>
      <c r="I13" s="73">
        <v>0.2</v>
      </c>
      <c r="J13" s="71">
        <v>0.1</v>
      </c>
    </row>
    <row r="14" spans="1:10" s="66" customFormat="1" ht="22.8" customHeight="1" thickTop="1" thickBot="1" x14ac:dyDescent="0.35">
      <c r="A14" s="73">
        <v>0.2</v>
      </c>
      <c r="B14" s="71">
        <v>0.3</v>
      </c>
      <c r="E14" s="73">
        <v>0.2</v>
      </c>
      <c r="F14" s="71">
        <v>0.3</v>
      </c>
      <c r="I14" s="73">
        <v>0.2</v>
      </c>
      <c r="J14" s="71">
        <v>0.3</v>
      </c>
    </row>
    <row r="15" spans="1:10" s="66" customFormat="1" ht="22.8" customHeight="1" thickTop="1" thickBot="1" x14ac:dyDescent="0.35">
      <c r="A15" s="73">
        <v>0.2</v>
      </c>
      <c r="B15" s="71">
        <v>0.5</v>
      </c>
      <c r="E15" s="73">
        <v>0.2</v>
      </c>
      <c r="F15" s="71">
        <v>0.5</v>
      </c>
      <c r="I15" s="73">
        <v>0.2</v>
      </c>
      <c r="J15" s="71">
        <v>0.5</v>
      </c>
    </row>
    <row r="16" spans="1:10" s="66" customFormat="1" ht="22.8" customHeight="1" thickTop="1" thickBot="1" x14ac:dyDescent="0.35">
      <c r="A16" s="73">
        <v>0.2</v>
      </c>
      <c r="B16" s="71">
        <v>0.7</v>
      </c>
      <c r="E16" s="73">
        <v>0.2</v>
      </c>
      <c r="F16" s="71">
        <v>0.7</v>
      </c>
      <c r="I16" s="73">
        <v>0.2</v>
      </c>
      <c r="J16" s="71">
        <v>0.7</v>
      </c>
    </row>
    <row r="17" spans="1:10" s="66" customFormat="1" ht="22.8" customHeight="1" thickTop="1" thickBot="1" x14ac:dyDescent="0.35">
      <c r="A17" s="73">
        <v>0.2</v>
      </c>
      <c r="B17" s="71">
        <v>0.9</v>
      </c>
      <c r="E17" s="73">
        <v>0.2</v>
      </c>
      <c r="F17" s="71">
        <v>0.9</v>
      </c>
      <c r="I17" s="73">
        <v>0.2</v>
      </c>
      <c r="J17" s="71">
        <v>0.9</v>
      </c>
    </row>
    <row r="18" spans="1:10" s="66" customFormat="1" ht="22.8" customHeight="1" thickTop="1" thickBot="1" x14ac:dyDescent="0.35">
      <c r="A18" s="73">
        <v>1</v>
      </c>
      <c r="B18" s="77">
        <v>1</v>
      </c>
      <c r="E18" s="73">
        <v>1</v>
      </c>
      <c r="F18" s="77">
        <v>1</v>
      </c>
      <c r="I18" s="73">
        <v>1</v>
      </c>
      <c r="J18" s="77">
        <v>1</v>
      </c>
    </row>
    <row r="19" spans="1:10" s="66" customFormat="1" ht="22.8" customHeight="1" thickTop="1" x14ac:dyDescent="0.3">
      <c r="A19" s="65"/>
      <c r="B19" s="67"/>
      <c r="E19" s="65"/>
      <c r="F19" s="67"/>
      <c r="I19" s="65"/>
      <c r="J19" s="67"/>
    </row>
    <row r="20" spans="1:10" s="66" customFormat="1" ht="22.8" customHeight="1" x14ac:dyDescent="0.3">
      <c r="A20" s="65"/>
      <c r="B20" s="67"/>
      <c r="E20" s="65"/>
      <c r="F20" s="67"/>
      <c r="I20" s="65"/>
      <c r="J20" s="67"/>
    </row>
    <row r="21" spans="1:10" s="66" customFormat="1" ht="22.8" customHeight="1" x14ac:dyDescent="0.3">
      <c r="A21" s="65"/>
      <c r="B21" s="67"/>
      <c r="E21" s="65"/>
      <c r="F21" s="67"/>
      <c r="I21" s="65"/>
      <c r="J21" s="67"/>
    </row>
    <row r="22" spans="1:10" s="66" customFormat="1" ht="22.8" customHeight="1" x14ac:dyDescent="0.3">
      <c r="A22" s="65"/>
      <c r="B22" s="67"/>
      <c r="E22" s="65"/>
      <c r="F22" s="67"/>
      <c r="I22" s="65"/>
      <c r="J22" s="67"/>
    </row>
    <row r="23" spans="1:10" s="66" customFormat="1" ht="22.8" customHeight="1" x14ac:dyDescent="0.3">
      <c r="B23" s="67"/>
      <c r="F23" s="67"/>
      <c r="J23" s="67"/>
    </row>
    <row r="24" spans="1:10" s="66" customFormat="1" ht="22.8" customHeight="1" x14ac:dyDescent="0.3">
      <c r="B24" s="67"/>
      <c r="F24" s="67"/>
      <c r="J24" s="67"/>
    </row>
    <row r="25" spans="1:10" s="66" customFormat="1" ht="22.8" customHeight="1" x14ac:dyDescent="0.3"/>
    <row r="26" spans="1:10" s="66" customFormat="1" ht="22.8" customHeight="1" x14ac:dyDescent="0.3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Picture</vt:lpstr>
      <vt:lpstr>Tasks</vt:lpstr>
      <vt:lpstr>Budget Plan</vt:lpstr>
      <vt:lpstr>list</vt:lpstr>
      <vt:lpstr>DashBoard</vt:lpstr>
      <vt:lpstr>Issues</vt:lpstr>
      <vt:lpstr>SpeedoMeters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>ahmed rostom</cp:lastModifiedBy>
  <dcterms:created xsi:type="dcterms:W3CDTF">2019-10-15T15:25:37Z</dcterms:created>
  <dcterms:modified xsi:type="dcterms:W3CDTF">2025-01-12T18:59:17Z</dcterms:modified>
</cp:coreProperties>
</file>