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3" windowWidth="21073" windowHeight="8253"/>
  </bookViews>
  <sheets>
    <sheet name="Sheet1 (2)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D2" i="4" l="1"/>
  <c r="H2" i="4" s="1"/>
  <c r="M2" i="4" s="1"/>
  <c r="C4" i="4" l="1"/>
  <c r="B21" i="4" l="1"/>
  <c r="B14" i="4"/>
  <c r="D3" i="4" l="1"/>
  <c r="H3" i="4" s="1"/>
  <c r="M3" i="4" s="1"/>
  <c r="N3" i="4" l="1"/>
  <c r="G3" i="4"/>
  <c r="K3" i="4" l="1"/>
  <c r="B9" i="4"/>
  <c r="E21" i="1"/>
  <c r="B8" i="4"/>
  <c r="B11" i="4" s="1"/>
  <c r="B10" i="4" l="1"/>
  <c r="E8" i="1"/>
  <c r="E12" i="1" s="1"/>
  <c r="G2" i="4" l="1"/>
  <c r="B12" i="4"/>
  <c r="E25" i="1"/>
  <c r="E24" i="1"/>
  <c r="E27" i="1" s="1"/>
  <c r="E15" i="1"/>
  <c r="E14" i="1"/>
  <c r="E9" i="1"/>
  <c r="N2" i="4" l="1"/>
  <c r="K2" i="4"/>
  <c r="B23" i="4"/>
  <c r="L2" i="4" s="1"/>
  <c r="E17" i="1"/>
  <c r="E18" i="1"/>
  <c r="E10" i="1"/>
  <c r="M4" i="4" l="1"/>
  <c r="M6" i="4" s="1"/>
  <c r="M7" i="4" s="1"/>
  <c r="B25" i="4"/>
  <c r="E13" i="1"/>
  <c r="D3" i="1" l="1"/>
  <c r="B6" i="1"/>
  <c r="D2" i="1"/>
  <c r="H2" i="1" s="1"/>
  <c r="K2" i="1" s="1"/>
  <c r="H3" i="1" l="1"/>
  <c r="K3" i="1" s="1"/>
  <c r="E16" i="1"/>
  <c r="E28" i="1" l="1"/>
  <c r="E19" i="1"/>
  <c r="E22" i="1" l="1"/>
  <c r="E20" i="1"/>
  <c r="B22" i="4"/>
  <c r="B24" i="4" s="1"/>
  <c r="B13" i="4"/>
  <c r="L3" i="4" l="1"/>
  <c r="B26" i="4" s="1"/>
  <c r="B16" i="4"/>
  <c r="B15" i="4" s="1"/>
  <c r="B18" i="4" l="1"/>
  <c r="B17" i="4"/>
  <c r="B28" i="4" l="1"/>
  <c r="B19" i="4"/>
</calcChain>
</file>

<file path=xl/sharedStrings.xml><?xml version="1.0" encoding="utf-8"?>
<sst xmlns="http://schemas.openxmlformats.org/spreadsheetml/2006/main" count="69" uniqueCount="64">
  <si>
    <t>Amount</t>
  </si>
  <si>
    <t>Price</t>
  </si>
  <si>
    <t>Fee</t>
  </si>
  <si>
    <t>Target Profit</t>
  </si>
  <si>
    <t>Bl3p Long</t>
  </si>
  <si>
    <t>theRock Short</t>
  </si>
  <si>
    <t>Target Entry</t>
  </si>
  <si>
    <t>amount per trade</t>
  </si>
  <si>
    <t>total fees%</t>
  </si>
  <si>
    <t>total in fees</t>
  </si>
  <si>
    <t>target profit on capital employed</t>
  </si>
  <si>
    <t>target profit</t>
  </si>
  <si>
    <t>target profit with fees</t>
  </si>
  <si>
    <t>entry price long</t>
  </si>
  <si>
    <t>entry price short</t>
  </si>
  <si>
    <t>vol traded</t>
  </si>
  <si>
    <t>entry spread</t>
  </si>
  <si>
    <t>entry price spread</t>
  </si>
  <si>
    <t>total target price spread</t>
  </si>
  <si>
    <t>target sell spread</t>
  </si>
  <si>
    <t>total target spread %</t>
  </si>
  <si>
    <t>target sell spread %</t>
  </si>
  <si>
    <t>example exit sell</t>
  </si>
  <si>
    <t>example exit buy</t>
  </si>
  <si>
    <t>exit spread</t>
  </si>
  <si>
    <t>next profit</t>
  </si>
  <si>
    <t>Exchanges</t>
  </si>
  <si>
    <t>Target profit</t>
  </si>
  <si>
    <t>Open Amount</t>
  </si>
  <si>
    <t>Open Price</t>
  </si>
  <si>
    <t>Open Fee</t>
  </si>
  <si>
    <t>Close Amount</t>
  </si>
  <si>
    <t>Close Price</t>
  </si>
  <si>
    <t>Close Fee</t>
  </si>
  <si>
    <t>Open Balance</t>
  </si>
  <si>
    <t xml:space="preserve"> Fee p/c</t>
  </si>
  <si>
    <t>Fee p/c</t>
  </si>
  <si>
    <t>Price change long</t>
  </si>
  <si>
    <t>Price change short</t>
  </si>
  <si>
    <t>Gross profit long</t>
  </si>
  <si>
    <t>Trade size</t>
  </si>
  <si>
    <t>Gross profit short</t>
  </si>
  <si>
    <t>Net Profit long</t>
  </si>
  <si>
    <t>Net Profit short</t>
  </si>
  <si>
    <t>Total fees%</t>
  </si>
  <si>
    <t>Total in fees</t>
  </si>
  <si>
    <t>Target profit with fees</t>
  </si>
  <si>
    <t>Volume traded</t>
  </si>
  <si>
    <t>Long</t>
  </si>
  <si>
    <t>Short</t>
  </si>
  <si>
    <t>Position</t>
  </si>
  <si>
    <t>Target spread price delta</t>
  </si>
  <si>
    <t>Entry spread price change</t>
  </si>
  <si>
    <t>Target spread price change</t>
  </si>
  <si>
    <t>Entry spread (%)</t>
  </si>
  <si>
    <t>Total target spread (%)</t>
  </si>
  <si>
    <t>Close Balance PN</t>
  </si>
  <si>
    <t>Close Balance GMB</t>
  </si>
  <si>
    <t>Net Profit PN</t>
  </si>
  <si>
    <t>Net Profit GMB</t>
  </si>
  <si>
    <t>Return</t>
  </si>
  <si>
    <t>Profit</t>
  </si>
  <si>
    <t>Kraken</t>
  </si>
  <si>
    <t>Quoinex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</si>
</sst>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"/>
    <numFmt numFmtId="165" formatCode="0.00000000"/>
    <numFmt numFmtId="166" formatCode="0.00000"/>
    <numFmt numFmtId="167" formatCode="0.0000"/>
    <numFmt numFmtId="168" formatCode="0.0000000"/>
    <numFmt numFmtId="169" formatCode="0.000"/>
    <numFmt numFmtId="170" formatCode="0.000%"/>
    <numFmt numFmtId="171" formatCode="0.000000000000"/>
    <numFmt numFmtId="172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165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/>
    </xf>
    <xf numFmtId="168" fontId="0" fillId="0" borderId="0" xfId="0" applyNumberFormat="1"/>
    <xf numFmtId="166" fontId="0" fillId="0" borderId="0" xfId="0" applyNumberFormat="1"/>
    <xf numFmtId="169" fontId="0" fillId="0" borderId="0" xfId="0" applyNumberFormat="1"/>
    <xf numFmtId="170" fontId="0" fillId="0" borderId="0" xfId="1" applyNumberFormat="1" applyFont="1" applyAlignment="1">
      <alignment horizontal="center"/>
    </xf>
    <xf numFmtId="170" fontId="0" fillId="0" borderId="0" xfId="0" applyNumberFormat="1"/>
    <xf numFmtId="167" fontId="0" fillId="0" borderId="0" xfId="0" applyNumberFormat="1"/>
    <xf numFmtId="165" fontId="0" fillId="4" borderId="0" xfId="0" applyNumberFormat="1" applyFill="1" applyAlignment="1">
      <alignment horizontal="center" vertical="center"/>
    </xf>
    <xf numFmtId="171" fontId="0" fillId="0" borderId="0" xfId="0" applyNumberFormat="1"/>
    <xf numFmtId="0" fontId="0" fillId="2" borderId="0" xfId="0" applyFont="1" applyFill="1"/>
    <xf numFmtId="10" fontId="0" fillId="0" borderId="0" xfId="1" applyNumberFormat="1" applyFont="1" applyFill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2" fontId="0" fillId="4" borderId="0" xfId="0" applyNumberFormat="1" applyFill="1" applyAlignment="1">
      <alignment horizontal="center" vertical="center"/>
    </xf>
    <xf numFmtId="10" fontId="0" fillId="0" borderId="0" xfId="0" applyNumberFormat="1"/>
    <xf numFmtId="172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F15" sqref="F15"/>
    </sheetView>
  </sheetViews>
  <sheetFormatPr defaultColWidth="9.1171875" defaultRowHeight="14.35" x14ac:dyDescent="0.5"/>
  <cols>
    <col min="1" max="1" width="25" style="4" customWidth="1"/>
    <col min="2" max="2" width="13.87890625" style="4" customWidth="1"/>
    <col min="3" max="3" width="15.703125" style="4" customWidth="1"/>
    <col min="4" max="4" width="23.29296875" style="4" customWidth="1"/>
    <col min="5" max="6" width="11" style="4" customWidth="1"/>
    <col min="7" max="7" width="13" style="4" customWidth="1"/>
    <col min="8" max="8" width="13.703125" style="4" customWidth="1"/>
    <col min="9" max="10" width="12.703125" style="4" customWidth="1"/>
    <col min="11" max="11" width="10.87890625" style="4" customWidth="1"/>
    <col min="12" max="12" width="18" style="4" customWidth="1"/>
    <col min="13" max="13" width="19.41015625" style="4" customWidth="1"/>
    <col min="14" max="16384" width="9.1171875" style="4"/>
  </cols>
  <sheetData>
    <row r="1" spans="1:14" x14ac:dyDescent="0.25">
      <c r="A1" s="15" t="s">
        <v>26</v>
      </c>
      <c r="B1" s="15" t="s">
        <v>50</v>
      </c>
      <c r="C1" s="16" t="s">
        <v>34</v>
      </c>
      <c r="D1" s="16" t="s">
        <v>28</v>
      </c>
      <c r="E1" s="16" t="s">
        <v>29</v>
      </c>
      <c r="F1" s="16" t="s">
        <v>35</v>
      </c>
      <c r="G1" s="16" t="s">
        <v>30</v>
      </c>
      <c r="H1" s="16" t="s">
        <v>31</v>
      </c>
      <c r="I1" s="16" t="s">
        <v>32</v>
      </c>
      <c r="J1" s="16" t="s">
        <v>36</v>
      </c>
      <c r="K1" s="16" t="s">
        <v>33</v>
      </c>
      <c r="L1" s="16" t="s">
        <v>56</v>
      </c>
      <c r="M1" s="16" t="s">
        <v>57</v>
      </c>
      <c r="N1" s="16" t="s">
        <v>61</v>
      </c>
    </row>
    <row r="2" spans="1:14" x14ac:dyDescent="0.25">
      <c r="A2" s="17" t="s">
        <v>62</v>
      </c>
      <c r="B2" s="33" t="s">
        <v>48</v>
      </c>
      <c r="C2" s="21">
        <v>18.10945255</v>
      </c>
      <c r="D2" s="18">
        <f>C2/E2-(C2/E2)*F2</f>
        <v>1.9999964537791215E-3</v>
      </c>
      <c r="E2" s="19">
        <v>9031.2000000000007</v>
      </c>
      <c r="F2" s="20">
        <v>2.5999999999999999E-3</v>
      </c>
      <c r="G2" s="21">
        <f>C2-D2*E2</f>
        <v>4.7084576629998764E-2</v>
      </c>
      <c r="H2" s="31">
        <f>D2-(D2*J2)</f>
        <v>1.9947964629992957E-3</v>
      </c>
      <c r="I2" s="22">
        <v>9025.1</v>
      </c>
      <c r="J2" s="23">
        <v>2.5999999999999999E-3</v>
      </c>
      <c r="K2" s="24">
        <f>(D2-H2)*I2</f>
        <v>4.6930436787005883E-2</v>
      </c>
      <c r="L2" s="24">
        <f>C2+B23-G2-K2</f>
        <v>18.003269278158701</v>
      </c>
      <c r="M2" s="37">
        <f>H2*I2</f>
        <v>18.003237558214945</v>
      </c>
      <c r="N2" s="1">
        <f>M2-C2</f>
        <v>-0.10621499178505545</v>
      </c>
    </row>
    <row r="3" spans="1:14" x14ac:dyDescent="0.25">
      <c r="A3" s="17" t="s">
        <v>63</v>
      </c>
      <c r="B3" s="33" t="s">
        <v>49</v>
      </c>
      <c r="C3" s="21">
        <v>18.22944</v>
      </c>
      <c r="D3" s="18">
        <f>-(C3/E3+(C3/E3)*F3)</f>
        <v>-2E-3</v>
      </c>
      <c r="E3" s="19">
        <v>9114.7199999999993</v>
      </c>
      <c r="F3" s="20">
        <v>0</v>
      </c>
      <c r="G3" s="21">
        <f>-(C3+D3*E3)</f>
        <v>0</v>
      </c>
      <c r="H3" s="31">
        <f>-D3+(-D3*J3)</f>
        <v>2E-3</v>
      </c>
      <c r="I3" s="22">
        <v>9035.33</v>
      </c>
      <c r="J3" s="23">
        <v>0</v>
      </c>
      <c r="K3" s="24">
        <f>(H3+D3)*I3</f>
        <v>0</v>
      </c>
      <c r="L3" s="24">
        <f>C3+B24-G3-K3</f>
        <v>18.38822</v>
      </c>
      <c r="M3" s="37">
        <f>2*C3-(H3*I3)</f>
        <v>18.38822</v>
      </c>
      <c r="N3" s="1">
        <f>M3-C3</f>
        <v>0.15878000000000014</v>
      </c>
    </row>
    <row r="4" spans="1:14" x14ac:dyDescent="0.25">
      <c r="C4" s="13">
        <f>SUM(C2:C3)</f>
        <v>36.338892549999997</v>
      </c>
      <c r="L4" s="1"/>
      <c r="M4" s="1">
        <f>SUM(M2:M3)</f>
        <v>36.391457558214945</v>
      </c>
    </row>
    <row r="5" spans="1:14" x14ac:dyDescent="0.25">
      <c r="E5" s="26"/>
      <c r="F5" s="1"/>
      <c r="G5" s="32"/>
      <c r="H5" s="3"/>
    </row>
    <row r="6" spans="1:14" x14ac:dyDescent="0.25">
      <c r="A6" s="4" t="s">
        <v>27</v>
      </c>
      <c r="B6" s="12">
        <v>2E-3</v>
      </c>
      <c r="D6" s="1"/>
      <c r="E6" s="27"/>
      <c r="G6" s="3"/>
      <c r="H6" s="3"/>
      <c r="L6" s="14" t="s">
        <v>59</v>
      </c>
      <c r="M6" s="39">
        <f>M4-C4</f>
        <v>5.256500821494825E-2</v>
      </c>
    </row>
    <row r="7" spans="1:14" x14ac:dyDescent="0.25">
      <c r="B7" s="12"/>
      <c r="D7" s="27"/>
      <c r="H7" s="27"/>
      <c r="I7" s="3"/>
      <c r="L7" s="4" t="s">
        <v>60</v>
      </c>
      <c r="M7" s="38">
        <f>M6/M4</f>
        <v>1.4444326152878236E-3</v>
      </c>
    </row>
    <row r="8" spans="1:14" x14ac:dyDescent="0.25">
      <c r="A8" s="4" t="s">
        <v>40</v>
      </c>
      <c r="B8" s="13">
        <f>MIN(C2:C3)</f>
        <v>18.10945255</v>
      </c>
      <c r="D8" s="25"/>
      <c r="E8" s="3"/>
      <c r="F8" s="27"/>
      <c r="H8" s="3"/>
    </row>
    <row r="9" spans="1:14" x14ac:dyDescent="0.25">
      <c r="A9" s="4" t="s">
        <v>44</v>
      </c>
      <c r="B9" s="7">
        <f>(J3+J2+F3+F2)</f>
        <v>5.1999999999999998E-3</v>
      </c>
      <c r="E9" s="26"/>
      <c r="H9" s="3"/>
    </row>
    <row r="10" spans="1:14" x14ac:dyDescent="0.25">
      <c r="A10" s="4" t="s">
        <v>45</v>
      </c>
      <c r="B10" s="8">
        <f>B9*B8</f>
        <v>9.4169153259999999E-2</v>
      </c>
      <c r="D10" s="27"/>
      <c r="E10" s="1"/>
      <c r="H10" s="3"/>
    </row>
    <row r="11" spans="1:14" x14ac:dyDescent="0.25">
      <c r="A11" s="4" t="s">
        <v>27</v>
      </c>
      <c r="B11" s="8">
        <f>B6*B8*2</f>
        <v>7.2437810200000008E-2</v>
      </c>
      <c r="D11" s="27"/>
      <c r="E11" s="27"/>
    </row>
    <row r="12" spans="1:14" x14ac:dyDescent="0.25">
      <c r="A12" s="4" t="s">
        <v>46</v>
      </c>
      <c r="B12" s="8">
        <f>B11+B10</f>
        <v>0.16660696346000001</v>
      </c>
      <c r="D12" s="3"/>
      <c r="E12" s="25"/>
    </row>
    <row r="13" spans="1:14" x14ac:dyDescent="0.25">
      <c r="A13" s="4" t="s">
        <v>47</v>
      </c>
      <c r="B13" s="36">
        <f>(D2-D3)/2</f>
        <v>1.9999982268895608E-3</v>
      </c>
    </row>
    <row r="14" spans="1:14" x14ac:dyDescent="0.25">
      <c r="A14" s="4" t="s">
        <v>54</v>
      </c>
      <c r="B14" s="6">
        <f>(E3-E2)/E3</f>
        <v>9.1631997472219253E-3</v>
      </c>
      <c r="D14" s="1"/>
      <c r="E14" s="27"/>
    </row>
    <row r="15" spans="1:14" x14ac:dyDescent="0.25">
      <c r="A15" s="4" t="s">
        <v>52</v>
      </c>
      <c r="B15" s="9">
        <f>B16/2</f>
        <v>41.651777791601006</v>
      </c>
      <c r="E15" s="27"/>
      <c r="G15" s="30"/>
    </row>
    <row r="16" spans="1:14" x14ac:dyDescent="0.25">
      <c r="A16" s="4" t="s">
        <v>53</v>
      </c>
      <c r="B16" s="8">
        <f>B12/B13</f>
        <v>83.303555583202012</v>
      </c>
      <c r="E16" s="27"/>
    </row>
    <row r="17" spans="1:8" x14ac:dyDescent="0.25">
      <c r="A17" s="4" t="s">
        <v>55</v>
      </c>
      <c r="B17" s="34">
        <f>B16/((E2+E3)/2)</f>
        <v>9.1815191054740695E-3</v>
      </c>
      <c r="E17" s="27"/>
    </row>
    <row r="18" spans="1:8" x14ac:dyDescent="0.25">
      <c r="A18" s="4" t="s">
        <v>51</v>
      </c>
      <c r="B18" s="8">
        <f>B16-B15</f>
        <v>41.651777791601006</v>
      </c>
      <c r="E18" s="27"/>
    </row>
    <row r="19" spans="1:8" x14ac:dyDescent="0.25">
      <c r="A19" s="4" t="s">
        <v>21</v>
      </c>
      <c r="B19" s="7">
        <f>-(B17-B14)</f>
        <v>-1.8319358252144244E-5</v>
      </c>
      <c r="C19" s="29"/>
      <c r="E19" s="27"/>
    </row>
    <row r="20" spans="1:8" x14ac:dyDescent="0.25">
      <c r="B20" s="12"/>
      <c r="D20" s="27"/>
      <c r="H20" s="27"/>
    </row>
    <row r="21" spans="1:8" x14ac:dyDescent="0.25">
      <c r="A21" s="4" t="s">
        <v>37</v>
      </c>
      <c r="B21" s="13">
        <f>I2-E2</f>
        <v>-6.1000000000003638</v>
      </c>
      <c r="D21" s="3"/>
    </row>
    <row r="22" spans="1:8" x14ac:dyDescent="0.25">
      <c r="A22" s="4" t="s">
        <v>38</v>
      </c>
      <c r="B22" s="13">
        <f>(E3-I3)</f>
        <v>79.389999999999418</v>
      </c>
      <c r="C22" s="1"/>
    </row>
    <row r="23" spans="1:8" x14ac:dyDescent="0.25">
      <c r="A23" s="4" t="s">
        <v>39</v>
      </c>
      <c r="B23" s="13">
        <f>B21*H2</f>
        <v>-1.2168258424296429E-2</v>
      </c>
    </row>
    <row r="24" spans="1:8" x14ac:dyDescent="0.25">
      <c r="A24" s="4" t="s">
        <v>41</v>
      </c>
      <c r="B24" s="13">
        <f>B22*H3</f>
        <v>0.15877999999999884</v>
      </c>
    </row>
    <row r="25" spans="1:8" x14ac:dyDescent="0.25">
      <c r="A25" s="4" t="s">
        <v>42</v>
      </c>
      <c r="B25" s="13">
        <f>L2-C2</f>
        <v>-0.10618327184129939</v>
      </c>
    </row>
    <row r="26" spans="1:8" x14ac:dyDescent="0.25">
      <c r="A26" s="4" t="s">
        <v>43</v>
      </c>
      <c r="B26" s="13">
        <f>L3-C3</f>
        <v>0.15878000000000014</v>
      </c>
    </row>
    <row r="27" spans="1:8" x14ac:dyDescent="0.25">
      <c r="B27" s="13"/>
    </row>
    <row r="28" spans="1:8" x14ac:dyDescent="0.25">
      <c r="A28" s="14" t="s">
        <v>58</v>
      </c>
      <c r="B28" s="35">
        <f>SUM(B25:B26)</f>
        <v>5.2596728158700756E-2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A8" sqref="A8:E22"/>
    </sheetView>
  </sheetViews>
  <sheetFormatPr defaultRowHeight="14.35" x14ac:dyDescent="0.5"/>
  <cols>
    <col min="1" max="1" width="33.41015625" customWidth="1"/>
    <col min="4" max="4" width="19.29296875" customWidth="1"/>
    <col min="5" max="5" width="9.5859375" bestFit="1" customWidth="1"/>
    <col min="6" max="6" width="10.5859375" bestFit="1" customWidth="1"/>
    <col min="8" max="8" width="12" customWidth="1"/>
    <col min="9" max="9" width="10.5859375" bestFit="1" customWidth="1"/>
    <col min="10" max="10" width="10.5859375" customWidth="1"/>
    <col min="11" max="11" width="9.87890625" customWidth="1"/>
  </cols>
  <sheetData>
    <row r="1" spans="1:13" x14ac:dyDescent="0.25">
      <c r="D1" t="s">
        <v>0</v>
      </c>
      <c r="E1" t="s">
        <v>1</v>
      </c>
      <c r="F1" t="s">
        <v>2</v>
      </c>
      <c r="H1" t="s">
        <v>0</v>
      </c>
      <c r="I1" t="s">
        <v>1</v>
      </c>
      <c r="J1" t="s">
        <v>2</v>
      </c>
    </row>
    <row r="2" spans="1:13" x14ac:dyDescent="0.25">
      <c r="A2" t="s">
        <v>4</v>
      </c>
      <c r="B2">
        <v>1000</v>
      </c>
      <c r="D2" s="3">
        <f>B2/E2-(B2/E2)*F2</f>
        <v>0.27355448053443904</v>
      </c>
      <c r="E2">
        <v>3646.44</v>
      </c>
      <c r="F2">
        <v>2.5000000000000001E-3</v>
      </c>
      <c r="H2">
        <f>D2-(D2*J2)</f>
        <v>0.27287059433310296</v>
      </c>
      <c r="I2">
        <v>3665.5</v>
      </c>
      <c r="J2">
        <v>2.5000000000000001E-3</v>
      </c>
      <c r="K2">
        <f>H2*I2</f>
        <v>1000.2071635279889</v>
      </c>
    </row>
    <row r="3" spans="1:13" x14ac:dyDescent="0.25">
      <c r="A3" t="s">
        <v>5</v>
      </c>
      <c r="B3">
        <v>1000</v>
      </c>
      <c r="D3" s="3">
        <f>-(B3/E3-(B3/E3)*F3)</f>
        <v>-0.27191978638766284</v>
      </c>
      <c r="E3">
        <v>3670.2</v>
      </c>
      <c r="F3">
        <v>2E-3</v>
      </c>
      <c r="H3">
        <f>-D3-(-D3*J3)</f>
        <v>0.27137594681488753</v>
      </c>
      <c r="I3">
        <v>3641.5</v>
      </c>
      <c r="J3">
        <v>2E-3</v>
      </c>
      <c r="K3" s="4">
        <f>998+998-(H3*I3)</f>
        <v>1007.7844896735871</v>
      </c>
      <c r="L3" s="4"/>
      <c r="M3" s="4"/>
    </row>
    <row r="5" spans="1:13" x14ac:dyDescent="0.25">
      <c r="A5" t="s">
        <v>3</v>
      </c>
      <c r="B5">
        <v>0.2</v>
      </c>
      <c r="E5" s="1"/>
      <c r="H5" s="3"/>
    </row>
    <row r="6" spans="1:13" x14ac:dyDescent="0.25">
      <c r="A6" t="s">
        <v>6</v>
      </c>
      <c r="B6">
        <f>E6/2+B5/2</f>
        <v>0.1</v>
      </c>
      <c r="E6" s="1"/>
      <c r="I6" s="3"/>
    </row>
    <row r="7" spans="1:13" x14ac:dyDescent="0.25">
      <c r="E7" s="1"/>
    </row>
    <row r="8" spans="1:13" x14ac:dyDescent="0.25">
      <c r="A8" s="4" t="s">
        <v>7</v>
      </c>
      <c r="B8" s="4"/>
      <c r="C8" s="4"/>
      <c r="D8" s="4"/>
      <c r="E8" s="5">
        <f>MIN(B2:B3)</f>
        <v>1000</v>
      </c>
    </row>
    <row r="9" spans="1:13" x14ac:dyDescent="0.25">
      <c r="A9" s="4" t="s">
        <v>8</v>
      </c>
      <c r="B9" s="4"/>
      <c r="C9" s="4"/>
      <c r="D9" s="4"/>
      <c r="E9" s="7">
        <f>(J3+J2+F3+F2)</f>
        <v>9.0000000000000011E-3</v>
      </c>
    </row>
    <row r="10" spans="1:13" x14ac:dyDescent="0.25">
      <c r="A10" s="4" t="s">
        <v>9</v>
      </c>
      <c r="B10" s="4"/>
      <c r="C10" s="4"/>
      <c r="D10" s="4"/>
      <c r="E10" s="5">
        <f>E9*E8</f>
        <v>9.0000000000000018</v>
      </c>
    </row>
    <row r="11" spans="1:13" x14ac:dyDescent="0.25">
      <c r="A11" s="4" t="s">
        <v>10</v>
      </c>
      <c r="B11" s="4"/>
      <c r="C11" s="4"/>
      <c r="D11" s="4"/>
      <c r="E11" s="7">
        <v>2E-3</v>
      </c>
    </row>
    <row r="12" spans="1:13" x14ac:dyDescent="0.25">
      <c r="A12" s="4" t="s">
        <v>11</v>
      </c>
      <c r="B12" s="4"/>
      <c r="C12" s="4"/>
      <c r="D12" s="4"/>
      <c r="E12" s="5">
        <f>E11*E8*2</f>
        <v>4</v>
      </c>
    </row>
    <row r="13" spans="1:13" x14ac:dyDescent="0.25">
      <c r="A13" s="4" t="s">
        <v>12</v>
      </c>
      <c r="B13" s="4"/>
      <c r="C13" s="4"/>
      <c r="D13" s="4"/>
      <c r="E13" s="5">
        <f>E12+E10</f>
        <v>13.000000000000002</v>
      </c>
    </row>
    <row r="14" spans="1:13" x14ac:dyDescent="0.25">
      <c r="A14" s="4" t="s">
        <v>13</v>
      </c>
      <c r="B14" s="4"/>
      <c r="C14" s="4"/>
      <c r="D14" s="4"/>
      <c r="E14" s="10">
        <f>E2</f>
        <v>3646.44</v>
      </c>
    </row>
    <row r="15" spans="1:13" x14ac:dyDescent="0.25">
      <c r="A15" s="4" t="s">
        <v>14</v>
      </c>
      <c r="B15" s="4"/>
      <c r="C15" s="4"/>
      <c r="D15" s="4"/>
      <c r="E15" s="5">
        <f>E3</f>
        <v>3670.2</v>
      </c>
    </row>
    <row r="16" spans="1:13" x14ac:dyDescent="0.25">
      <c r="A16" s="4" t="s">
        <v>15</v>
      </c>
      <c r="B16" s="4"/>
      <c r="C16" s="4"/>
      <c r="D16" s="4"/>
      <c r="E16" s="11">
        <f>(D2+H2-D3+H3)/4</f>
        <v>0.2724302020175231</v>
      </c>
      <c r="F16" s="3"/>
    </row>
    <row r="17" spans="1:14" x14ac:dyDescent="0.25">
      <c r="A17" s="4" t="s">
        <v>16</v>
      </c>
      <c r="B17" s="4"/>
      <c r="C17" s="4"/>
      <c r="D17" s="4"/>
      <c r="E17" s="28">
        <f>(E15-E14)/E15</f>
        <v>6.4737616478665371E-3</v>
      </c>
    </row>
    <row r="18" spans="1:14" x14ac:dyDescent="0.25">
      <c r="A18" s="4" t="s">
        <v>17</v>
      </c>
      <c r="B18" s="4"/>
      <c r="C18" s="4"/>
      <c r="D18" s="4"/>
      <c r="E18" s="9">
        <f>E15-E14</f>
        <v>23.759999999999764</v>
      </c>
    </row>
    <row r="19" spans="1:14" x14ac:dyDescent="0.25">
      <c r="A19" s="4" t="s">
        <v>18</v>
      </c>
      <c r="B19" s="4"/>
      <c r="C19" s="4"/>
      <c r="D19" s="4"/>
      <c r="E19" s="5">
        <f>E13/E16</f>
        <v>47.718644642651711</v>
      </c>
      <c r="N19" s="1"/>
    </row>
    <row r="20" spans="1:14" x14ac:dyDescent="0.25">
      <c r="A20" s="4" t="s">
        <v>19</v>
      </c>
      <c r="B20" s="4"/>
      <c r="C20" s="4"/>
      <c r="D20" s="4"/>
      <c r="E20" s="8">
        <f>E19-E18</f>
        <v>23.958644642651947</v>
      </c>
      <c r="N20" s="1"/>
    </row>
    <row r="21" spans="1:14" x14ac:dyDescent="0.25">
      <c r="A21" s="4" t="s">
        <v>20</v>
      </c>
      <c r="B21" s="4"/>
      <c r="C21" s="4"/>
      <c r="D21" s="4"/>
      <c r="E21" s="6">
        <f>E19/((E14+E15)/2)</f>
        <v>1.3043868399334043E-2</v>
      </c>
    </row>
    <row r="22" spans="1:14" x14ac:dyDescent="0.25">
      <c r="A22" s="4" t="s">
        <v>21</v>
      </c>
      <c r="B22" s="4"/>
      <c r="C22" s="4"/>
      <c r="D22" s="4"/>
      <c r="E22" s="7">
        <f>-(E21-E17)</f>
        <v>-6.5701067514675063E-3</v>
      </c>
    </row>
    <row r="23" spans="1:14" x14ac:dyDescent="0.25">
      <c r="A23" s="4"/>
      <c r="B23" s="4"/>
      <c r="C23" s="4"/>
      <c r="D23" s="4"/>
      <c r="E23" s="5"/>
    </row>
    <row r="24" spans="1:14" x14ac:dyDescent="0.25">
      <c r="A24" s="4" t="s">
        <v>22</v>
      </c>
      <c r="B24" s="4"/>
      <c r="C24" s="4"/>
      <c r="D24" s="4"/>
      <c r="E24" s="5">
        <f>I2</f>
        <v>3665.5</v>
      </c>
    </row>
    <row r="25" spans="1:14" x14ac:dyDescent="0.25">
      <c r="A25" s="4" t="s">
        <v>23</v>
      </c>
      <c r="B25" s="4"/>
      <c r="C25" s="4"/>
      <c r="D25" s="4"/>
      <c r="E25" s="5">
        <f>I3</f>
        <v>3641.5</v>
      </c>
    </row>
    <row r="26" spans="1:14" x14ac:dyDescent="0.25">
      <c r="A26" s="4"/>
      <c r="B26" s="4"/>
      <c r="C26" s="4"/>
      <c r="D26" s="4"/>
      <c r="E26" s="5"/>
    </row>
    <row r="27" spans="1:14" x14ac:dyDescent="0.25">
      <c r="A27" s="4" t="s">
        <v>24</v>
      </c>
      <c r="B27" s="4"/>
      <c r="C27" s="4"/>
      <c r="D27" s="4"/>
      <c r="E27" s="6">
        <f>(E25-E24)/E25</f>
        <v>-6.5906906494576411E-3</v>
      </c>
    </row>
    <row r="28" spans="1:14" x14ac:dyDescent="0.25">
      <c r="A28" s="4" t="s">
        <v>25</v>
      </c>
      <c r="B28" s="4"/>
      <c r="C28" s="4"/>
      <c r="D28" s="4"/>
      <c r="E28" s="8">
        <f>E16*((E24-E14)+(E15-E25))-E10</f>
        <v>4.011266448356837</v>
      </c>
    </row>
    <row r="29" spans="1:14" x14ac:dyDescent="0.25">
      <c r="N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Geoff</cp:lastModifiedBy>
  <dcterms:created xsi:type="dcterms:W3CDTF">2017-09-05T20:31:35Z</dcterms:created>
  <dcterms:modified xsi:type="dcterms:W3CDTF">2018-03-06T18:25:40Z</dcterms:modified>
</cp:coreProperties>
</file>