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2DD178B0-E334-4038-AD11-2738FA7CFD88}" xr6:coauthVersionLast="47" xr6:coauthVersionMax="47" xr10:uidLastSave="{00000000-0000-0000-0000-000000000000}"/>
  <bookViews>
    <workbookView xWindow="-24120" yWindow="-930" windowWidth="24240" windowHeight="17790" xr2:uid="{00000000-000D-0000-FFFF-FFFF00000000}"/>
  </bookViews>
  <sheets>
    <sheet name="REALISATIONS BUDGET 2022" sheetId="4" r:id="rId1"/>
    <sheet name="REALISATIONS BUDGET 2021" sheetId="5" r:id="rId2"/>
    <sheet name="REALISATIONS BUDGET 2020" sheetId="6" r:id="rId3"/>
    <sheet name="REALISATIONS BUDGET 2019" sheetId="7" r:id="rId4"/>
    <sheet name="REALISATIONS BUDGET 2018" sheetId="8" r:id="rId5"/>
    <sheet name="REALISATIONS BUDGET 2017" sheetId="9" r:id="rId6"/>
    <sheet name="Feuil1" sheetId="1" r:id="rId7"/>
    <sheet name="Feuil2" sheetId="2" r:id="rId8"/>
    <sheet name="Feuil3" sheetId="3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5" hidden="1">'REALISATIONS BUDGET 2017'!$B$4:$H$72</definedName>
    <definedName name="_xlnm._FilterDatabase" localSheetId="4" hidden="1">'REALISATIONS BUDGET 2018'!$B$4:$H$65</definedName>
    <definedName name="_xlnm._FilterDatabase" localSheetId="3" hidden="1">'REALISATIONS BUDGET 2019'!$B$4:$H$97</definedName>
    <definedName name="_xlnm._FilterDatabase" localSheetId="2" hidden="1">'REALISATIONS BUDGET 2020'!$C$4:$Q$124</definedName>
    <definedName name="_xlnm._FilterDatabase" localSheetId="1" hidden="1">'REALISATIONS BUDGET 2021'!$C$4:$Q$131</definedName>
    <definedName name="_xlnm._FilterDatabase" localSheetId="0" hidden="1">'REALISATIONS BUDGET 2022'!$C$4:$Q$131</definedName>
    <definedName name="A" localSheetId="5">#REF!</definedName>
    <definedName name="A" localSheetId="4">#REF!</definedName>
    <definedName name="A" localSheetId="3">#REF!</definedName>
    <definedName name="A" localSheetId="2">#REF!</definedName>
    <definedName name="A" localSheetId="1">#REF!</definedName>
    <definedName name="A" localSheetId="0">#REF!</definedName>
    <definedName name="A">#REF!</definedName>
    <definedName name="Agence" localSheetId="5">#REF!</definedName>
    <definedName name="Agence" localSheetId="4">#REF!</definedName>
    <definedName name="Agence" localSheetId="3">#REF!</definedName>
    <definedName name="Agence" localSheetId="2">#REF!</definedName>
    <definedName name="Agence" localSheetId="1">#REF!</definedName>
    <definedName name="Agence" localSheetId="0">#REF!</definedName>
    <definedName name="Agence">#REF!</definedName>
    <definedName name="bul" localSheetId="5">#REF!</definedName>
    <definedName name="bul" localSheetId="4">#REF!</definedName>
    <definedName name="bul" localSheetId="3">#REF!</definedName>
    <definedName name="bul" localSheetId="2">#REF!</definedName>
    <definedName name="bul" localSheetId="1">#REF!</definedName>
    <definedName name="bul" localSheetId="0">#REF!</definedName>
    <definedName name="bul">#REF!</definedName>
    <definedName name="CLASSEMENT" localSheetId="5">#REF!</definedName>
    <definedName name="CLASSEMENT" localSheetId="4">#REF!</definedName>
    <definedName name="CLASSEMENT" localSheetId="3">#REF!</definedName>
    <definedName name="CLASSEMENT" localSheetId="2">#REF!</definedName>
    <definedName name="CLASSEMENT" localSheetId="1">#REF!</definedName>
    <definedName name="CLASSEMENT" localSheetId="0">#REF!</definedName>
    <definedName name="CLASSEMENT">#REF!</definedName>
    <definedName name="Classement2" localSheetId="5">#REF!</definedName>
    <definedName name="Classement2" localSheetId="4">#REF!</definedName>
    <definedName name="Classement2" localSheetId="3">#REF!</definedName>
    <definedName name="Classement2" localSheetId="2">#REF!</definedName>
    <definedName name="Classement2" localSheetId="1">#REF!</definedName>
    <definedName name="Classement2" localSheetId="0">#REF!</definedName>
    <definedName name="Classement2">#REF!</definedName>
    <definedName name="copie" localSheetId="5">#REF!</definedName>
    <definedName name="copie" localSheetId="4">#REF!</definedName>
    <definedName name="copie" localSheetId="3">#REF!</definedName>
    <definedName name="copie" localSheetId="2">#REF!</definedName>
    <definedName name="copie" localSheetId="1">#REF!</definedName>
    <definedName name="copie" localSheetId="0">#REF!</definedName>
    <definedName name="copie">#REF!</definedName>
    <definedName name="copie1" localSheetId="5">#REF!</definedName>
    <definedName name="copie1" localSheetId="4">#REF!</definedName>
    <definedName name="copie1" localSheetId="3">#REF!</definedName>
    <definedName name="copie1" localSheetId="2">#REF!</definedName>
    <definedName name="copie1" localSheetId="1">#REF!</definedName>
    <definedName name="copie1" localSheetId="0">#REF!</definedName>
    <definedName name="copie1">#REF!</definedName>
    <definedName name="Credit" localSheetId="5">#REF!</definedName>
    <definedName name="Credit" localSheetId="4">#REF!</definedName>
    <definedName name="Credit" localSheetId="3">#REF!</definedName>
    <definedName name="Credit" localSheetId="2">#REF!</definedName>
    <definedName name="Credit" localSheetId="1">#REF!</definedName>
    <definedName name="Credit" localSheetId="0">#REF!</definedName>
    <definedName name="Credit">#REF!</definedName>
    <definedName name="Debit" localSheetId="5">#REF!</definedName>
    <definedName name="Debit" localSheetId="4">#REF!</definedName>
    <definedName name="Debit" localSheetId="3">#REF!</definedName>
    <definedName name="Debit" localSheetId="2">#REF!</definedName>
    <definedName name="Debit" localSheetId="1">#REF!</definedName>
    <definedName name="Debit" localSheetId="0">#REF!</definedName>
    <definedName name="Debit">#REF!</definedName>
    <definedName name="DFD" localSheetId="5">#REF!</definedName>
    <definedName name="DFD" localSheetId="4">#REF!</definedName>
    <definedName name="DFD" localSheetId="3">#REF!</definedName>
    <definedName name="DFD" localSheetId="2">#REF!</definedName>
    <definedName name="DFD" localSheetId="1">#REF!</definedName>
    <definedName name="DFD" localSheetId="0">#REF!</definedName>
    <definedName name="DFD">#REF!</definedName>
    <definedName name="FinT">#N/A</definedName>
    <definedName name="G" localSheetId="5">#REF!</definedName>
    <definedName name="G" localSheetId="4">#REF!</definedName>
    <definedName name="G" localSheetId="3">#REF!</definedName>
    <definedName name="G" localSheetId="2">#REF!</definedName>
    <definedName name="G" localSheetId="1">#REF!</definedName>
    <definedName name="G" localSheetId="0">#REF!</definedName>
    <definedName name="G">#REF!</definedName>
    <definedName name="GRANDLJ" localSheetId="5">#REF!</definedName>
    <definedName name="GRANDLJ" localSheetId="4">#REF!</definedName>
    <definedName name="GRANDLJ" localSheetId="3">#REF!</definedName>
    <definedName name="GRANDLJ" localSheetId="2">#REF!</definedName>
    <definedName name="GRANDLJ" localSheetId="1">#REF!</definedName>
    <definedName name="GRANDLJ" localSheetId="0">#REF!</definedName>
    <definedName name="GRANDLJ">#REF!</definedName>
    <definedName name="ISSAM" localSheetId="5">#REF!</definedName>
    <definedName name="ISSAM" localSheetId="4">#REF!</definedName>
    <definedName name="ISSAM" localSheetId="3">#REF!</definedName>
    <definedName name="ISSAM" localSheetId="2">#REF!</definedName>
    <definedName name="ISSAM" localSheetId="1">#REF!</definedName>
    <definedName name="ISSAM" localSheetId="0">#REF!</definedName>
    <definedName name="ISSAM">#REF!</definedName>
    <definedName name="JOURNALG" localSheetId="5">#REF!</definedName>
    <definedName name="JOURNALG" localSheetId="4">#REF!</definedName>
    <definedName name="JOURNALG" localSheetId="3">#REF!</definedName>
    <definedName name="JOURNALG" localSheetId="2">#REF!</definedName>
    <definedName name="JOURNALG" localSheetId="1">#REF!</definedName>
    <definedName name="JOURNALG" localSheetId="0">#REF!</definedName>
    <definedName name="JOURNALG">#REF!</definedName>
    <definedName name="lol" localSheetId="5">#REF!</definedName>
    <definedName name="lol" localSheetId="4">#REF!</definedName>
    <definedName name="lol" localSheetId="3">#REF!</definedName>
    <definedName name="lol" localSheetId="2">#REF!</definedName>
    <definedName name="lol" localSheetId="1">#REF!</definedName>
    <definedName name="lol" localSheetId="0">#REF!</definedName>
    <definedName name="lol">#REF!</definedName>
    <definedName name="N?N" localSheetId="5">#REF!</definedName>
    <definedName name="N?N" localSheetId="4">#REF!</definedName>
    <definedName name="N?N" localSheetId="3">#REF!</definedName>
    <definedName name="N?N" localSheetId="2">#REF!</definedName>
    <definedName name="N?N" localSheetId="1">#REF!</definedName>
    <definedName name="N?N" localSheetId="0">#REF!</definedName>
    <definedName name="N?N">#REF!</definedName>
    <definedName name="NbItems" localSheetId="5">#REF!</definedName>
    <definedName name="NbItems" localSheetId="4">#REF!</definedName>
    <definedName name="NbItems" localSheetId="3">#REF!</definedName>
    <definedName name="NbItems" localSheetId="2">#REF!</definedName>
    <definedName name="NbItems" localSheetId="1">#REF!</definedName>
    <definedName name="NbItems" localSheetId="0">#REF!</definedName>
    <definedName name="NbItems">#REF!</definedName>
    <definedName name="oo" localSheetId="5">#REF!</definedName>
    <definedName name="oo" localSheetId="4">#REF!</definedName>
    <definedName name="oo" localSheetId="3">#REF!</definedName>
    <definedName name="oo" localSheetId="2">#REF!</definedName>
    <definedName name="oo" localSheetId="1">#REF!</definedName>
    <definedName name="oo" localSheetId="0">#REF!</definedName>
    <definedName name="oo">#REF!</definedName>
    <definedName name="OOO" localSheetId="5">#REF!</definedName>
    <definedName name="OOO" localSheetId="4">#REF!</definedName>
    <definedName name="OOO" localSheetId="3">#REF!</definedName>
    <definedName name="OOO" localSheetId="2">#REF!</definedName>
    <definedName name="OOO" localSheetId="1">#REF!</definedName>
    <definedName name="OOO" localSheetId="0">#REF!</definedName>
    <definedName name="OOO">#REF!</definedName>
    <definedName name="pop" localSheetId="5">#REF!</definedName>
    <definedName name="pop" localSheetId="4">#REF!</definedName>
    <definedName name="pop" localSheetId="3">#REF!</definedName>
    <definedName name="pop" localSheetId="2">#REF!</definedName>
    <definedName name="pop" localSheetId="1">#REF!</definedName>
    <definedName name="pop" localSheetId="0">#REF!</definedName>
    <definedName name="pop">#REF!</definedName>
    <definedName name="_xlnm.Print_Area" localSheetId="5">'REALISATIONS BUDGET 2017'!$A$1:$I$73</definedName>
    <definedName name="_xlnm.Print_Area" localSheetId="4">'REALISATIONS BUDGET 2018'!$A$1:$I$99</definedName>
    <definedName name="_xlnm.Print_Area" localSheetId="3">'REALISATIONS BUDGET 2019'!$A$1:$I$125</definedName>
    <definedName name="_xlnm.Print_Area" localSheetId="2">'REALISATIONS BUDGET 2020'!$B$1:$R$125</definedName>
    <definedName name="_xlnm.Print_Area" localSheetId="1">'REALISATIONS BUDGET 2021'!$B$1:$R$132</definedName>
    <definedName name="_xlnm.Print_Area" localSheetId="0">'REALISATIONS BUDGET 2022'!$B$1:$R$132</definedName>
    <definedName name="_xlnm.Print_Titles" localSheetId="5">'REALISATIONS BUDGET 2017'!$1:$5</definedName>
    <definedName name="_xlnm.Print_Titles" localSheetId="4">'REALISATIONS BUDGET 2018'!$1:$5</definedName>
    <definedName name="_xlnm.Print_Titles" localSheetId="3">'REALISATIONS BUDGET 2019'!$1:$5</definedName>
    <definedName name="_xlnm.Print_Titles" localSheetId="2">'REALISATIONS BUDGET 2020'!$1:$5</definedName>
    <definedName name="_xlnm.Print_Titles" localSheetId="1">'REALISATIONS BUDGET 2021'!$1:$5</definedName>
    <definedName name="_xlnm.Print_Titles" localSheetId="0">'REALISATIONS BUDGET 2022'!$1:$5</definedName>
    <definedName name="RAPPERSONNEL" localSheetId="5">#REF!</definedName>
    <definedName name="RAPPERSONNEL" localSheetId="4">#REF!</definedName>
    <definedName name="RAPPERSONNEL" localSheetId="3">#REF!</definedName>
    <definedName name="RAPPERSONNEL" localSheetId="2">#REF!</definedName>
    <definedName name="RAPPERSONNEL" localSheetId="1">#REF!</definedName>
    <definedName name="RAPPERSONNEL" localSheetId="0">#REF!</definedName>
    <definedName name="RAPPERSONNEL">#REF!</definedName>
    <definedName name="recap_2009" localSheetId="5">#REF!</definedName>
    <definedName name="recap_2009" localSheetId="4">#REF!</definedName>
    <definedName name="recap_2009" localSheetId="3">#REF!</definedName>
    <definedName name="recap_2009" localSheetId="2">#REF!</definedName>
    <definedName name="recap_2009" localSheetId="1">#REF!</definedName>
    <definedName name="recap_2009" localSheetId="0">#REF!</definedName>
    <definedName name="recap_2009">#REF!</definedName>
    <definedName name="rfgtr" localSheetId="5">#REF!</definedName>
    <definedName name="rfgtr" localSheetId="4">#REF!</definedName>
    <definedName name="rfgtr" localSheetId="3">#REF!</definedName>
    <definedName name="rfgtr" localSheetId="2">#REF!</definedName>
    <definedName name="rfgtr" localSheetId="1">#REF!</definedName>
    <definedName name="rfgtr" localSheetId="0">#REF!</definedName>
    <definedName name="rfgtr">#REF!</definedName>
    <definedName name="situation" localSheetId="5">#REF!</definedName>
    <definedName name="situation" localSheetId="4">#REF!</definedName>
    <definedName name="situation" localSheetId="3">#REF!</definedName>
    <definedName name="situation" localSheetId="2">#REF!</definedName>
    <definedName name="situation" localSheetId="1">#REF!</definedName>
    <definedName name="situation" localSheetId="0">#REF!</definedName>
    <definedName name="situation">#REF!</definedName>
    <definedName name="VBV" localSheetId="5">#REF!</definedName>
    <definedName name="VBV" localSheetId="4">#REF!</definedName>
    <definedName name="VBV" localSheetId="3">#REF!</definedName>
    <definedName name="VBV" localSheetId="2">#REF!</definedName>
    <definedName name="VBV" localSheetId="1">#REF!</definedName>
    <definedName name="VBV" localSheetId="0">#REF!</definedName>
    <definedName name="VBV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6" l="1"/>
  <c r="G87" i="9" l="1"/>
  <c r="G86" i="9"/>
  <c r="G85" i="9"/>
  <c r="G84" i="9"/>
  <c r="G72" i="9"/>
  <c r="E72" i="9"/>
  <c r="H71" i="9"/>
  <c r="D71" i="9"/>
  <c r="F71" i="9" s="1"/>
  <c r="H70" i="9"/>
  <c r="D70" i="9"/>
  <c r="F70" i="9" s="1"/>
  <c r="H68" i="9"/>
  <c r="D68" i="9"/>
  <c r="F68" i="9" s="1"/>
  <c r="H67" i="9"/>
  <c r="D67" i="9"/>
  <c r="F67" i="9" s="1"/>
  <c r="H66" i="9"/>
  <c r="D66" i="9"/>
  <c r="F66" i="9" s="1"/>
  <c r="H64" i="9"/>
  <c r="D64" i="9"/>
  <c r="F64" i="9" s="1"/>
  <c r="H63" i="9"/>
  <c r="D63" i="9"/>
  <c r="F63" i="9" s="1"/>
  <c r="H62" i="9"/>
  <c r="D62" i="9"/>
  <c r="F62" i="9" s="1"/>
  <c r="H61" i="9"/>
  <c r="D61" i="9"/>
  <c r="H60" i="9"/>
  <c r="F60" i="9"/>
  <c r="H55" i="9"/>
  <c r="F55" i="9"/>
  <c r="H54" i="9"/>
  <c r="F54" i="9"/>
  <c r="H53" i="9"/>
  <c r="D53" i="9"/>
  <c r="F53" i="9" s="1"/>
  <c r="H52" i="9"/>
  <c r="D52" i="9"/>
  <c r="F52" i="9" s="1"/>
  <c r="H51" i="9"/>
  <c r="D51" i="9"/>
  <c r="F51" i="9" s="1"/>
  <c r="H50" i="9"/>
  <c r="D50" i="9"/>
  <c r="F50" i="9" s="1"/>
  <c r="E48" i="9"/>
  <c r="H48" i="9" s="1"/>
  <c r="D48" i="9"/>
  <c r="J40" i="9"/>
  <c r="H40" i="9"/>
  <c r="D40" i="9"/>
  <c r="F40" i="9" s="1"/>
  <c r="H37" i="9"/>
  <c r="F37" i="9"/>
  <c r="H36" i="9"/>
  <c r="D36" i="9"/>
  <c r="F36" i="9" s="1"/>
  <c r="E35" i="9"/>
  <c r="H34" i="9" s="1"/>
  <c r="H33" i="9"/>
  <c r="D33" i="9"/>
  <c r="F33" i="9" s="1"/>
  <c r="H32" i="9"/>
  <c r="D32" i="9"/>
  <c r="F32" i="9" s="1"/>
  <c r="H31" i="9"/>
  <c r="D31" i="9"/>
  <c r="F31" i="9" s="1"/>
  <c r="H30" i="9"/>
  <c r="D30" i="9"/>
  <c r="F30" i="9" s="1"/>
  <c r="H27" i="9"/>
  <c r="D27" i="9"/>
  <c r="F27" i="9" s="1"/>
  <c r="H26" i="9"/>
  <c r="D26" i="9"/>
  <c r="F26" i="9" s="1"/>
  <c r="H25" i="9"/>
  <c r="D25" i="9"/>
  <c r="F25" i="9" s="1"/>
  <c r="G24" i="9"/>
  <c r="H24" i="9" s="1"/>
  <c r="D24" i="9"/>
  <c r="F24" i="9" s="1"/>
  <c r="H23" i="9"/>
  <c r="D23" i="9"/>
  <c r="F23" i="9" s="1"/>
  <c r="H21" i="9"/>
  <c r="D21" i="9"/>
  <c r="F21" i="9" s="1"/>
  <c r="H20" i="9"/>
  <c r="D20" i="9"/>
  <c r="F20" i="9" s="1"/>
  <c r="H18" i="9"/>
  <c r="D18" i="9"/>
  <c r="F18" i="9" s="1"/>
  <c r="Q17" i="9"/>
  <c r="R17" i="9" s="1"/>
  <c r="N17" i="9"/>
  <c r="H17" i="9"/>
  <c r="D17" i="9"/>
  <c r="F17" i="9" s="1"/>
  <c r="G16" i="9"/>
  <c r="G15" i="9"/>
  <c r="G14" i="9"/>
  <c r="G13" i="9"/>
  <c r="D13" i="9"/>
  <c r="F13" i="9" s="1"/>
  <c r="H12" i="9"/>
  <c r="D12" i="9"/>
  <c r="F12" i="9" s="1"/>
  <c r="H10" i="9"/>
  <c r="F10" i="9"/>
  <c r="H9" i="9"/>
  <c r="D9" i="9"/>
  <c r="F9" i="9" s="1"/>
  <c r="H8" i="9"/>
  <c r="F8" i="9"/>
  <c r="H6" i="9"/>
  <c r="D6" i="9"/>
  <c r="G56" i="9" l="1"/>
  <c r="D56" i="9"/>
  <c r="H13" i="9"/>
  <c r="D72" i="9"/>
  <c r="H72" i="9"/>
  <c r="F48" i="9"/>
  <c r="H56" i="9"/>
  <c r="E56" i="9"/>
  <c r="F6" i="9"/>
  <c r="F61" i="9"/>
  <c r="F72" i="9" s="1"/>
  <c r="F34" i="9"/>
  <c r="F56" i="9" l="1"/>
  <c r="G108" i="8" l="1"/>
  <c r="G107" i="8"/>
  <c r="G106" i="8"/>
  <c r="G105" i="8"/>
  <c r="E93" i="8"/>
  <c r="D93" i="8"/>
  <c r="G91" i="8"/>
  <c r="H91" i="8" s="1"/>
  <c r="F91" i="8"/>
  <c r="G88" i="8"/>
  <c r="H88" i="8" s="1"/>
  <c r="F88" i="8"/>
  <c r="G86" i="8"/>
  <c r="H86" i="8" s="1"/>
  <c r="F86" i="8"/>
  <c r="H85" i="8"/>
  <c r="F85" i="8"/>
  <c r="G82" i="8"/>
  <c r="H82" i="8" s="1"/>
  <c r="F82" i="8"/>
  <c r="H81" i="8"/>
  <c r="F81" i="8"/>
  <c r="G76" i="8"/>
  <c r="H76" i="8" s="1"/>
  <c r="F76" i="8"/>
  <c r="H74" i="8"/>
  <c r="F74" i="8"/>
  <c r="H72" i="8"/>
  <c r="F72" i="8"/>
  <c r="H70" i="8"/>
  <c r="F70" i="8"/>
  <c r="H69" i="8"/>
  <c r="F69" i="8"/>
  <c r="H64" i="8"/>
  <c r="F64" i="8"/>
  <c r="H63" i="8"/>
  <c r="F63" i="8"/>
  <c r="H62" i="8"/>
  <c r="F62" i="8"/>
  <c r="G61" i="8"/>
  <c r="H61" i="8" s="1"/>
  <c r="F61" i="8"/>
  <c r="G60" i="8"/>
  <c r="H60" i="8" s="1"/>
  <c r="F60" i="8"/>
  <c r="H59" i="8"/>
  <c r="G59" i="8"/>
  <c r="F59" i="8"/>
  <c r="G57" i="8"/>
  <c r="H57" i="8" s="1"/>
  <c r="F57" i="8"/>
  <c r="H56" i="8"/>
  <c r="F56" i="8"/>
  <c r="H55" i="8"/>
  <c r="D55" i="8"/>
  <c r="F55" i="8" s="1"/>
  <c r="G47" i="8"/>
  <c r="H47" i="8" s="1"/>
  <c r="D47" i="8"/>
  <c r="F47" i="8" s="1"/>
  <c r="H46" i="8"/>
  <c r="F46" i="8"/>
  <c r="H45" i="8"/>
  <c r="F45" i="8"/>
  <c r="H43" i="8"/>
  <c r="D43" i="8"/>
  <c r="F43" i="8" s="1"/>
  <c r="H42" i="8"/>
  <c r="F42" i="8"/>
  <c r="E41" i="8"/>
  <c r="D40" i="8"/>
  <c r="F40" i="8" s="1"/>
  <c r="H39" i="8"/>
  <c r="F39" i="8"/>
  <c r="H38" i="8"/>
  <c r="F38" i="8"/>
  <c r="G37" i="8"/>
  <c r="H37" i="8" s="1"/>
  <c r="F37" i="8"/>
  <c r="H36" i="8"/>
  <c r="F36" i="8"/>
  <c r="G33" i="8"/>
  <c r="H33" i="8" s="1"/>
  <c r="F33" i="8"/>
  <c r="E32" i="8"/>
  <c r="H32" i="8" s="1"/>
  <c r="E31" i="8"/>
  <c r="F31" i="8" s="1"/>
  <c r="G30" i="8"/>
  <c r="E30" i="8"/>
  <c r="F30" i="8" s="1"/>
  <c r="H29" i="8"/>
  <c r="F29" i="8"/>
  <c r="H26" i="8"/>
  <c r="D26" i="8"/>
  <c r="F26" i="8" s="1"/>
  <c r="E25" i="8"/>
  <c r="E24" i="8"/>
  <c r="H24" i="8" s="1"/>
  <c r="D24" i="8"/>
  <c r="F24" i="8" s="1"/>
  <c r="H23" i="8"/>
  <c r="F23" i="8"/>
  <c r="H21" i="8"/>
  <c r="F21" i="8"/>
  <c r="Q20" i="8"/>
  <c r="R20" i="8" s="1"/>
  <c r="N20" i="8"/>
  <c r="H20" i="8"/>
  <c r="F20" i="8"/>
  <c r="E17" i="8"/>
  <c r="E16" i="8"/>
  <c r="G15" i="8"/>
  <c r="E15" i="8"/>
  <c r="H14" i="8"/>
  <c r="F14" i="8"/>
  <c r="G11" i="8"/>
  <c r="H11" i="8" s="1"/>
  <c r="D11" i="8"/>
  <c r="F11" i="8" s="1"/>
  <c r="H10" i="8"/>
  <c r="D10" i="8"/>
  <c r="F10" i="8" s="1"/>
  <c r="H9" i="8"/>
  <c r="F9" i="8"/>
  <c r="H6" i="8"/>
  <c r="D6" i="8"/>
  <c r="F6" i="8" s="1"/>
  <c r="E65" i="8" l="1"/>
  <c r="H31" i="8"/>
  <c r="F93" i="8"/>
  <c r="G93" i="8"/>
  <c r="H15" i="8"/>
  <c r="F32" i="8"/>
  <c r="F15" i="8"/>
  <c r="F65" i="8" s="1"/>
  <c r="H30" i="8"/>
  <c r="H93" i="8"/>
  <c r="D65" i="8"/>
  <c r="G40" i="8"/>
  <c r="G65" i="8" s="1"/>
  <c r="H40" i="8" l="1"/>
  <c r="H65" i="8" s="1"/>
  <c r="E119" i="7" l="1"/>
  <c r="D119" i="7"/>
  <c r="F117" i="7"/>
  <c r="H117" i="7" s="1"/>
  <c r="G116" i="7"/>
  <c r="H116" i="7" s="1"/>
  <c r="F116" i="7"/>
  <c r="H115" i="7"/>
  <c r="F115" i="7"/>
  <c r="H114" i="7"/>
  <c r="F114" i="7"/>
  <c r="H113" i="7"/>
  <c r="F113" i="7"/>
  <c r="H112" i="7"/>
  <c r="F112" i="7"/>
  <c r="F109" i="7"/>
  <c r="H109" i="7" s="1"/>
  <c r="H108" i="7"/>
  <c r="F108" i="7"/>
  <c r="H107" i="7"/>
  <c r="F107" i="7"/>
  <c r="F105" i="7"/>
  <c r="H105" i="7" s="1"/>
  <c r="F102" i="7"/>
  <c r="F119" i="7" s="1"/>
  <c r="F120" i="7" s="1"/>
  <c r="H101" i="7"/>
  <c r="F101" i="7"/>
  <c r="E96" i="7"/>
  <c r="H96" i="7" s="1"/>
  <c r="E95" i="7"/>
  <c r="F95" i="7" s="1"/>
  <c r="E94" i="7"/>
  <c r="H94" i="7" s="1"/>
  <c r="E93" i="7"/>
  <c r="F93" i="7" s="1"/>
  <c r="E92" i="7"/>
  <c r="H92" i="7" s="1"/>
  <c r="E91" i="7"/>
  <c r="F91" i="7" s="1"/>
  <c r="E90" i="7"/>
  <c r="H90" i="7" s="1"/>
  <c r="E89" i="7"/>
  <c r="F89" i="7" s="1"/>
  <c r="E88" i="7"/>
  <c r="H88" i="7" s="1"/>
  <c r="E87" i="7"/>
  <c r="F87" i="7" s="1"/>
  <c r="E86" i="7"/>
  <c r="H86" i="7" s="1"/>
  <c r="H85" i="7"/>
  <c r="F85" i="7"/>
  <c r="H83" i="7"/>
  <c r="F83" i="7"/>
  <c r="H82" i="7"/>
  <c r="F82" i="7"/>
  <c r="H81" i="7"/>
  <c r="F81" i="7"/>
  <c r="H80" i="7"/>
  <c r="F80" i="7"/>
  <c r="G79" i="7"/>
  <c r="H79" i="7" s="1"/>
  <c r="F79" i="7"/>
  <c r="G78" i="7"/>
  <c r="H78" i="7" s="1"/>
  <c r="F78" i="7"/>
  <c r="G77" i="7"/>
  <c r="G76" i="7"/>
  <c r="G75" i="7"/>
  <c r="F75" i="7"/>
  <c r="G74" i="7"/>
  <c r="H74" i="7" s="1"/>
  <c r="F74" i="7"/>
  <c r="H73" i="7"/>
  <c r="F73" i="7"/>
  <c r="H72" i="7"/>
  <c r="F72" i="7"/>
  <c r="G65" i="7"/>
  <c r="G64" i="7"/>
  <c r="F64" i="7"/>
  <c r="H64" i="7" s="1"/>
  <c r="G63" i="7"/>
  <c r="F63" i="7"/>
  <c r="G62" i="7"/>
  <c r="G61" i="7"/>
  <c r="G60" i="7"/>
  <c r="F60" i="7"/>
  <c r="G57" i="7"/>
  <c r="G56" i="7"/>
  <c r="G55" i="7"/>
  <c r="G54" i="7"/>
  <c r="G53" i="7"/>
  <c r="G52" i="7"/>
  <c r="D52" i="7"/>
  <c r="F52" i="7" s="1"/>
  <c r="G50" i="7"/>
  <c r="G49" i="7"/>
  <c r="G48" i="7"/>
  <c r="D48" i="7"/>
  <c r="F48" i="7" s="1"/>
  <c r="G47" i="7"/>
  <c r="H47" i="7" s="1"/>
  <c r="F47" i="7"/>
  <c r="G46" i="7"/>
  <c r="H46" i="7" s="1"/>
  <c r="F46" i="7"/>
  <c r="H45" i="7"/>
  <c r="F45" i="7"/>
  <c r="G44" i="7"/>
  <c r="H44" i="7" s="1"/>
  <c r="F44" i="7"/>
  <c r="G42" i="7"/>
  <c r="G41" i="7"/>
  <c r="F41" i="7"/>
  <c r="G39" i="7"/>
  <c r="G38" i="7"/>
  <c r="G37" i="7"/>
  <c r="G36" i="7"/>
  <c r="F36" i="7"/>
  <c r="G34" i="7"/>
  <c r="G33" i="7"/>
  <c r="G32" i="7"/>
  <c r="F32" i="7"/>
  <c r="G31" i="7"/>
  <c r="H31" i="7" s="1"/>
  <c r="F31" i="7"/>
  <c r="H30" i="7"/>
  <c r="F30" i="7"/>
  <c r="F28" i="7"/>
  <c r="H28" i="7" s="1"/>
  <c r="G27" i="7"/>
  <c r="G26" i="7"/>
  <c r="G25" i="7"/>
  <c r="G24" i="7"/>
  <c r="F24" i="7"/>
  <c r="G23" i="7"/>
  <c r="H23" i="7" s="1"/>
  <c r="F23" i="7"/>
  <c r="G22" i="7"/>
  <c r="G21" i="7"/>
  <c r="G20" i="7"/>
  <c r="F20" i="7"/>
  <c r="H19" i="7"/>
  <c r="F19" i="7"/>
  <c r="F15" i="7"/>
  <c r="H15" i="7" s="1"/>
  <c r="G14" i="7"/>
  <c r="H14" i="7" s="1"/>
  <c r="F14" i="7"/>
  <c r="H13" i="7"/>
  <c r="F13" i="7"/>
  <c r="H12" i="7"/>
  <c r="F12" i="7"/>
  <c r="H11" i="7"/>
  <c r="F11" i="7"/>
  <c r="H10" i="7"/>
  <c r="F10" i="7"/>
  <c r="F6" i="7"/>
  <c r="F86" i="7" l="1"/>
  <c r="H20" i="7"/>
  <c r="H60" i="7"/>
  <c r="F90" i="7"/>
  <c r="H32" i="7"/>
  <c r="H48" i="7"/>
  <c r="H52" i="7"/>
  <c r="F94" i="7"/>
  <c r="H24" i="7"/>
  <c r="H102" i="7"/>
  <c r="H119" i="7" s="1"/>
  <c r="H120" i="7" s="1"/>
  <c r="F88" i="7"/>
  <c r="F92" i="7"/>
  <c r="F96" i="7"/>
  <c r="E120" i="7"/>
  <c r="H41" i="7"/>
  <c r="H75" i="7"/>
  <c r="D97" i="7"/>
  <c r="H6" i="7"/>
  <c r="H36" i="7"/>
  <c r="E97" i="7"/>
  <c r="G119" i="7"/>
  <c r="G120" i="7" s="1"/>
  <c r="H87" i="7"/>
  <c r="H89" i="7"/>
  <c r="H91" i="7"/>
  <c r="H93" i="7"/>
  <c r="H95" i="7"/>
  <c r="G97" i="7"/>
  <c r="G98" i="7" l="1"/>
  <c r="F97" i="7"/>
  <c r="F98" i="7" s="1"/>
  <c r="E98" i="7"/>
  <c r="H97" i="7"/>
  <c r="H98" i="7" s="1"/>
  <c r="H122" i="6" l="1"/>
  <c r="G122" i="6"/>
  <c r="N120" i="6"/>
  <c r="Q119" i="6"/>
  <c r="Q120" i="6" s="1"/>
  <c r="P119" i="6"/>
  <c r="N119" i="6"/>
  <c r="M119" i="6"/>
  <c r="K119" i="6"/>
  <c r="K120" i="6" s="1"/>
  <c r="J119" i="6"/>
  <c r="J120" i="6" s="1"/>
  <c r="I119" i="6"/>
  <c r="I120" i="6" s="1"/>
  <c r="H119" i="6"/>
  <c r="H120" i="6" s="1"/>
  <c r="G119" i="6"/>
  <c r="E119" i="6"/>
  <c r="E120" i="6" s="1"/>
  <c r="O118" i="6"/>
  <c r="L118" i="6"/>
  <c r="O117" i="6"/>
  <c r="L117" i="6"/>
  <c r="O116" i="6"/>
  <c r="L116" i="6"/>
  <c r="F114" i="6"/>
  <c r="O114" i="6" s="1"/>
  <c r="Q111" i="6"/>
  <c r="P111" i="6"/>
  <c r="N111" i="6"/>
  <c r="M111" i="6"/>
  <c r="K111" i="6"/>
  <c r="J111" i="6"/>
  <c r="I111" i="6"/>
  <c r="H111" i="6"/>
  <c r="G111" i="6"/>
  <c r="E111" i="6"/>
  <c r="O109" i="6"/>
  <c r="L109" i="6"/>
  <c r="F107" i="6"/>
  <c r="O107" i="6" s="1"/>
  <c r="F105" i="6"/>
  <c r="O105" i="6" s="1"/>
  <c r="F103" i="6"/>
  <c r="O103" i="6" s="1"/>
  <c r="Q98" i="6"/>
  <c r="Q99" i="6" s="1"/>
  <c r="P98" i="6"/>
  <c r="P99" i="6" s="1"/>
  <c r="N98" i="6"/>
  <c r="M98" i="6"/>
  <c r="K98" i="6"/>
  <c r="K99" i="6" s="1"/>
  <c r="J98" i="6"/>
  <c r="I98" i="6"/>
  <c r="H98" i="6"/>
  <c r="G98" i="6"/>
  <c r="G99" i="6" s="1"/>
  <c r="F98" i="6"/>
  <c r="E98" i="6"/>
  <c r="O97" i="6"/>
  <c r="O98" i="6" s="1"/>
  <c r="L97" i="6"/>
  <c r="L98" i="6" s="1"/>
  <c r="Q94" i="6"/>
  <c r="P94" i="6"/>
  <c r="N94" i="6"/>
  <c r="N99" i="6" s="1"/>
  <c r="M94" i="6"/>
  <c r="M99" i="6" s="1"/>
  <c r="K94" i="6"/>
  <c r="J94" i="6"/>
  <c r="J99" i="6" s="1"/>
  <c r="I94" i="6"/>
  <c r="I99" i="6" s="1"/>
  <c r="I121" i="6" s="1"/>
  <c r="I122" i="6" s="1"/>
  <c r="H94" i="6"/>
  <c r="H99" i="6" s="1"/>
  <c r="G94" i="6"/>
  <c r="F94" i="6"/>
  <c r="E94" i="6"/>
  <c r="O93" i="6"/>
  <c r="L93" i="6"/>
  <c r="O92" i="6"/>
  <c r="L92" i="6"/>
  <c r="O91" i="6"/>
  <c r="L91" i="6"/>
  <c r="O90" i="6"/>
  <c r="L90" i="6"/>
  <c r="L94" i="6" s="1"/>
  <c r="Q81" i="6"/>
  <c r="Q82" i="6" s="1"/>
  <c r="Q83" i="6" s="1"/>
  <c r="Q80" i="6"/>
  <c r="P80" i="6"/>
  <c r="N80" i="6"/>
  <c r="M80" i="6"/>
  <c r="K80" i="6"/>
  <c r="J80" i="6"/>
  <c r="I80" i="6"/>
  <c r="H80" i="6"/>
  <c r="G80" i="6"/>
  <c r="E80" i="6"/>
  <c r="F79" i="6"/>
  <c r="O79" i="6" s="1"/>
  <c r="F78" i="6"/>
  <c r="O78" i="6" s="1"/>
  <c r="F77" i="6"/>
  <c r="O77" i="6" s="1"/>
  <c r="O76" i="6"/>
  <c r="L76" i="6"/>
  <c r="Q73" i="6"/>
  <c r="P73" i="6"/>
  <c r="P81" i="6" s="1"/>
  <c r="P82" i="6" s="1"/>
  <c r="N73" i="6"/>
  <c r="M73" i="6"/>
  <c r="M81" i="6" s="1"/>
  <c r="M82" i="6" s="1"/>
  <c r="K73" i="6"/>
  <c r="K81" i="6" s="1"/>
  <c r="K82" i="6" s="1"/>
  <c r="J73" i="6"/>
  <c r="J81" i="6" s="1"/>
  <c r="J82" i="6" s="1"/>
  <c r="H73" i="6"/>
  <c r="H81" i="6" s="1"/>
  <c r="H82" i="6" s="1"/>
  <c r="G73" i="6"/>
  <c r="G81" i="6" s="1"/>
  <c r="G82" i="6" s="1"/>
  <c r="F72" i="6"/>
  <c r="O72" i="6" s="1"/>
  <c r="O71" i="6"/>
  <c r="F71" i="6"/>
  <c r="L71" i="6" s="1"/>
  <c r="F69" i="6"/>
  <c r="O69" i="6" s="1"/>
  <c r="O68" i="6"/>
  <c r="L68" i="6"/>
  <c r="I68" i="6"/>
  <c r="O66" i="6"/>
  <c r="L66" i="6"/>
  <c r="F65" i="6"/>
  <c r="O65" i="6" s="1"/>
  <c r="F64" i="6"/>
  <c r="L64" i="6" s="1"/>
  <c r="F63" i="6"/>
  <c r="I63" i="6" s="1"/>
  <c r="O63" i="6" s="1"/>
  <c r="E63" i="6"/>
  <c r="L63" i="6" s="1"/>
  <c r="L62" i="6"/>
  <c r="F62" i="6"/>
  <c r="I62" i="6" s="1"/>
  <c r="O62" i="6" s="1"/>
  <c r="E62" i="6"/>
  <c r="F61" i="6"/>
  <c r="L61" i="6" s="1"/>
  <c r="O59" i="6"/>
  <c r="L59" i="6"/>
  <c r="F58" i="6"/>
  <c r="L58" i="6" s="1"/>
  <c r="F56" i="6"/>
  <c r="L56" i="6" s="1"/>
  <c r="O55" i="6"/>
  <c r="L55" i="6"/>
  <c r="O53" i="6"/>
  <c r="L53" i="6"/>
  <c r="O52" i="6"/>
  <c r="L52" i="6"/>
  <c r="F51" i="6"/>
  <c r="L51" i="6" s="1"/>
  <c r="F50" i="6"/>
  <c r="I50" i="6" s="1"/>
  <c r="F49" i="6"/>
  <c r="O49" i="6" s="1"/>
  <c r="F47" i="6"/>
  <c r="L47" i="6" s="1"/>
  <c r="F45" i="6"/>
  <c r="O45" i="6" s="1"/>
  <c r="L44" i="6"/>
  <c r="I44" i="6"/>
  <c r="O44" i="6" s="1"/>
  <c r="O43" i="6"/>
  <c r="L43" i="6"/>
  <c r="L42" i="6"/>
  <c r="I42" i="6"/>
  <c r="O42" i="6" s="1"/>
  <c r="F41" i="6"/>
  <c r="O41" i="6" s="1"/>
  <c r="F39" i="6"/>
  <c r="L39" i="6" s="1"/>
  <c r="F38" i="6"/>
  <c r="L38" i="6" s="1"/>
  <c r="F37" i="6"/>
  <c r="L37" i="6" s="1"/>
  <c r="L36" i="6"/>
  <c r="I36" i="6"/>
  <c r="O36" i="6" s="1"/>
  <c r="L35" i="6"/>
  <c r="I35" i="6"/>
  <c r="O35" i="6" s="1"/>
  <c r="L34" i="6"/>
  <c r="I34" i="6"/>
  <c r="O34" i="6" s="1"/>
  <c r="F33" i="6"/>
  <c r="O33" i="6" s="1"/>
  <c r="Q26" i="6"/>
  <c r="Q27" i="6" s="1"/>
  <c r="Q28" i="6" s="1"/>
  <c r="P26" i="6"/>
  <c r="P27" i="6" s="1"/>
  <c r="P28" i="6" s="1"/>
  <c r="N26" i="6"/>
  <c r="N27" i="6" s="1"/>
  <c r="N28" i="6" s="1"/>
  <c r="M26" i="6"/>
  <c r="M27" i="6" s="1"/>
  <c r="M28" i="6" s="1"/>
  <c r="K26" i="6"/>
  <c r="K27" i="6" s="1"/>
  <c r="K28" i="6" s="1"/>
  <c r="J26" i="6"/>
  <c r="J27" i="6" s="1"/>
  <c r="J28" i="6" s="1"/>
  <c r="O25" i="6"/>
  <c r="L25" i="6"/>
  <c r="F24" i="6"/>
  <c r="O24" i="6" s="1"/>
  <c r="F23" i="6"/>
  <c r="I23" i="6" s="1"/>
  <c r="O23" i="6" s="1"/>
  <c r="O22" i="6"/>
  <c r="L22" i="6"/>
  <c r="O21" i="6"/>
  <c r="L21" i="6"/>
  <c r="F19" i="6"/>
  <c r="L19" i="6" s="1"/>
  <c r="O18" i="6"/>
  <c r="L18" i="6"/>
  <c r="F17" i="6"/>
  <c r="L17" i="6" s="1"/>
  <c r="L16" i="6"/>
  <c r="I16" i="6"/>
  <c r="O16" i="6" s="1"/>
  <c r="F16" i="6"/>
  <c r="F15" i="6"/>
  <c r="E15" i="6"/>
  <c r="L15" i="6" s="1"/>
  <c r="F13" i="6"/>
  <c r="I13" i="6" s="1"/>
  <c r="E13" i="6"/>
  <c r="F12" i="6"/>
  <c r="L12" i="6" s="1"/>
  <c r="F11" i="6"/>
  <c r="E11" i="6"/>
  <c r="L11" i="6" s="1"/>
  <c r="L41" i="6" l="1"/>
  <c r="E73" i="6"/>
  <c r="L78" i="6"/>
  <c r="L23" i="6"/>
  <c r="O80" i="6"/>
  <c r="L107" i="6"/>
  <c r="J83" i="6"/>
  <c r="P83" i="6"/>
  <c r="K121" i="6"/>
  <c r="K122" i="6" s="1"/>
  <c r="I12" i="6"/>
  <c r="L33" i="6"/>
  <c r="L45" i="6"/>
  <c r="L49" i="6"/>
  <c r="E81" i="6"/>
  <c r="E82" i="6" s="1"/>
  <c r="F80" i="6"/>
  <c r="L99" i="6"/>
  <c r="N121" i="6"/>
  <c r="N122" i="6" s="1"/>
  <c r="Q121" i="6"/>
  <c r="Q122" i="6" s="1"/>
  <c r="Q124" i="6" s="1"/>
  <c r="L105" i="6"/>
  <c r="O119" i="6"/>
  <c r="M120" i="6"/>
  <c r="M121" i="6" s="1"/>
  <c r="M122" i="6" s="1"/>
  <c r="F73" i="6"/>
  <c r="L65" i="6"/>
  <c r="M83" i="6"/>
  <c r="L77" i="6"/>
  <c r="O94" i="6"/>
  <c r="O99" i="6" s="1"/>
  <c r="E99" i="6"/>
  <c r="E121" i="6" s="1"/>
  <c r="E122" i="6" s="1"/>
  <c r="L114" i="6"/>
  <c r="L119" i="6" s="1"/>
  <c r="F119" i="6"/>
  <c r="F26" i="6"/>
  <c r="F27" i="6" s="1"/>
  <c r="F28" i="6" s="1"/>
  <c r="L13" i="6"/>
  <c r="I37" i="6"/>
  <c r="O37" i="6" s="1"/>
  <c r="O50" i="6"/>
  <c r="N81" i="6"/>
  <c r="N82" i="6" s="1"/>
  <c r="N83" i="6" s="1"/>
  <c r="N124" i="6" s="1"/>
  <c r="L79" i="6"/>
  <c r="F99" i="6"/>
  <c r="L103" i="6"/>
  <c r="G120" i="6"/>
  <c r="P120" i="6"/>
  <c r="P121" i="6" s="1"/>
  <c r="P122" i="6" s="1"/>
  <c r="O111" i="6"/>
  <c r="O120" i="6" s="1"/>
  <c r="M124" i="6"/>
  <c r="K83" i="6"/>
  <c r="K124" i="6" s="1"/>
  <c r="J121" i="6"/>
  <c r="J122" i="6" s="1"/>
  <c r="J124" i="6" s="1"/>
  <c r="I11" i="6"/>
  <c r="I15" i="6"/>
  <c r="O15" i="6" s="1"/>
  <c r="E26" i="6"/>
  <c r="E27" i="6" s="1"/>
  <c r="E28" i="6" s="1"/>
  <c r="E83" i="6" s="1"/>
  <c r="I39" i="6"/>
  <c r="I47" i="6"/>
  <c r="O47" i="6" s="1"/>
  <c r="O51" i="6"/>
  <c r="I58" i="6"/>
  <c r="O61" i="6"/>
  <c r="I64" i="6"/>
  <c r="O64" i="6" s="1"/>
  <c r="L69" i="6"/>
  <c r="L72" i="6"/>
  <c r="F111" i="6"/>
  <c r="I17" i="6"/>
  <c r="O17" i="6" s="1"/>
  <c r="I19" i="6"/>
  <c r="O19" i="6" s="1"/>
  <c r="L24" i="6"/>
  <c r="I38" i="6"/>
  <c r="O38" i="6" s="1"/>
  <c r="O39" i="6"/>
  <c r="L50" i="6"/>
  <c r="I56" i="6"/>
  <c r="O56" i="6" s="1"/>
  <c r="L26" i="6" l="1"/>
  <c r="L27" i="6" s="1"/>
  <c r="L28" i="6" s="1"/>
  <c r="L80" i="6"/>
  <c r="P124" i="6"/>
  <c r="L73" i="6"/>
  <c r="F81" i="6"/>
  <c r="F82" i="6" s="1"/>
  <c r="F83" i="6" s="1"/>
  <c r="F124" i="6" s="1"/>
  <c r="I26" i="6"/>
  <c r="I27" i="6" s="1"/>
  <c r="I28" i="6" s="1"/>
  <c r="O121" i="6"/>
  <c r="O122" i="6" s="1"/>
  <c r="L111" i="6"/>
  <c r="L120" i="6" s="1"/>
  <c r="L121" i="6" s="1"/>
  <c r="L122" i="6" s="1"/>
  <c r="F120" i="6"/>
  <c r="F121" i="6" s="1"/>
  <c r="F122" i="6" s="1"/>
  <c r="O73" i="6"/>
  <c r="O81" i="6" s="1"/>
  <c r="O82" i="6" s="1"/>
  <c r="I73" i="6"/>
  <c r="I81" i="6" s="1"/>
  <c r="I82" i="6" s="1"/>
  <c r="E124" i="6"/>
  <c r="O11" i="6"/>
  <c r="O26" i="6" s="1"/>
  <c r="O27" i="6" s="1"/>
  <c r="O28" i="6" s="1"/>
  <c r="L81" i="6" l="1"/>
  <c r="L82" i="6" s="1"/>
  <c r="L83" i="6" s="1"/>
  <c r="L124" i="6"/>
  <c r="I83" i="6"/>
  <c r="I124" i="6" s="1"/>
  <c r="O83" i="6"/>
  <c r="O124" i="6" s="1"/>
  <c r="H129" i="5" l="1"/>
  <c r="G129" i="5"/>
  <c r="K127" i="5"/>
  <c r="Q126" i="5"/>
  <c r="P126" i="5"/>
  <c r="N126" i="5"/>
  <c r="N127" i="5" s="1"/>
  <c r="M126" i="5"/>
  <c r="M127" i="5" s="1"/>
  <c r="I126" i="5"/>
  <c r="F126" i="5"/>
  <c r="O125" i="5"/>
  <c r="E125" i="5"/>
  <c r="L125" i="5" s="1"/>
  <c r="O124" i="5"/>
  <c r="E124" i="5"/>
  <c r="L124" i="5" s="1"/>
  <c r="O123" i="5"/>
  <c r="E123" i="5"/>
  <c r="L123" i="5" s="1"/>
  <c r="O121" i="5"/>
  <c r="E121" i="5"/>
  <c r="L121" i="5" s="1"/>
  <c r="Q118" i="5"/>
  <c r="Q127" i="5" s="1"/>
  <c r="P118" i="5"/>
  <c r="N118" i="5"/>
  <c r="M118" i="5"/>
  <c r="K118" i="5"/>
  <c r="J118" i="5"/>
  <c r="J127" i="5" s="1"/>
  <c r="H118" i="5"/>
  <c r="H127" i="5" s="1"/>
  <c r="G118" i="5"/>
  <c r="G127" i="5" s="1"/>
  <c r="O116" i="5"/>
  <c r="E116" i="5"/>
  <c r="L116" i="5" s="1"/>
  <c r="F114" i="5"/>
  <c r="O114" i="5" s="1"/>
  <c r="F112" i="5"/>
  <c r="I112" i="5" s="1"/>
  <c r="E112" i="5"/>
  <c r="E118" i="5" s="1"/>
  <c r="F111" i="5"/>
  <c r="O111" i="5" s="1"/>
  <c r="F109" i="5"/>
  <c r="O109" i="5" s="1"/>
  <c r="Q104" i="5"/>
  <c r="P104" i="5"/>
  <c r="N104" i="5"/>
  <c r="M104" i="5"/>
  <c r="I104" i="5"/>
  <c r="F104" i="5"/>
  <c r="O103" i="5"/>
  <c r="O104" i="5" s="1"/>
  <c r="E103" i="5"/>
  <c r="E104" i="5" s="1"/>
  <c r="M100" i="5"/>
  <c r="E100" i="5"/>
  <c r="O99" i="5"/>
  <c r="E99" i="5"/>
  <c r="L99" i="5" s="1"/>
  <c r="L100" i="5" s="1"/>
  <c r="Q96" i="5"/>
  <c r="Q105" i="5" s="1"/>
  <c r="P96" i="5"/>
  <c r="P105" i="5" s="1"/>
  <c r="N96" i="5"/>
  <c r="N105" i="5" s="1"/>
  <c r="M96" i="5"/>
  <c r="M105" i="5" s="1"/>
  <c r="K96" i="5"/>
  <c r="K105" i="5" s="1"/>
  <c r="J96" i="5"/>
  <c r="J105" i="5" s="1"/>
  <c r="I96" i="5"/>
  <c r="I100" i="5" s="1"/>
  <c r="H96" i="5"/>
  <c r="H105" i="5" s="1"/>
  <c r="G96" i="5"/>
  <c r="G105" i="5" s="1"/>
  <c r="F96" i="5"/>
  <c r="F105" i="5" s="1"/>
  <c r="O95" i="5"/>
  <c r="E95" i="5"/>
  <c r="L95" i="5" s="1"/>
  <c r="O94" i="5"/>
  <c r="L94" i="5"/>
  <c r="O93" i="5"/>
  <c r="E93" i="5"/>
  <c r="E96" i="5" s="1"/>
  <c r="O92" i="5"/>
  <c r="L92" i="5"/>
  <c r="Q82" i="5"/>
  <c r="P82" i="5"/>
  <c r="N82" i="5"/>
  <c r="M82" i="5"/>
  <c r="M83" i="5" s="1"/>
  <c r="M84" i="5" s="1"/>
  <c r="I82" i="5"/>
  <c r="O81" i="5"/>
  <c r="L81" i="5"/>
  <c r="O80" i="5"/>
  <c r="E80" i="5"/>
  <c r="L80" i="5" s="1"/>
  <c r="O79" i="5"/>
  <c r="L79" i="5"/>
  <c r="O78" i="5"/>
  <c r="L78" i="5"/>
  <c r="F77" i="5"/>
  <c r="O77" i="5" s="1"/>
  <c r="E77" i="5"/>
  <c r="Q74" i="5"/>
  <c r="Q83" i="5" s="1"/>
  <c r="Q84" i="5" s="1"/>
  <c r="P74" i="5"/>
  <c r="N74" i="5"/>
  <c r="M74" i="5"/>
  <c r="K74" i="5"/>
  <c r="K83" i="5" s="1"/>
  <c r="K84" i="5" s="1"/>
  <c r="J74" i="5"/>
  <c r="J83" i="5" s="1"/>
  <c r="J84" i="5" s="1"/>
  <c r="I73" i="5"/>
  <c r="F73" i="5"/>
  <c r="E73" i="5"/>
  <c r="L73" i="5" s="1"/>
  <c r="O72" i="5"/>
  <c r="E72" i="5"/>
  <c r="L72" i="5" s="1"/>
  <c r="O70" i="5"/>
  <c r="E70" i="5"/>
  <c r="L70" i="5" s="1"/>
  <c r="O69" i="5"/>
  <c r="E69" i="5"/>
  <c r="L69" i="5" s="1"/>
  <c r="F67" i="5"/>
  <c r="O67" i="5" s="1"/>
  <c r="E67" i="5"/>
  <c r="L67" i="5" s="1"/>
  <c r="F66" i="5"/>
  <c r="O66" i="5" s="1"/>
  <c r="E66" i="5"/>
  <c r="L66" i="5" s="1"/>
  <c r="L65" i="5"/>
  <c r="F65" i="5"/>
  <c r="O65" i="5" s="1"/>
  <c r="F64" i="5"/>
  <c r="E64" i="5"/>
  <c r="F63" i="5"/>
  <c r="E63" i="5"/>
  <c r="F62" i="5"/>
  <c r="O62" i="5" s="1"/>
  <c r="E62" i="5"/>
  <c r="O60" i="5"/>
  <c r="E60" i="5"/>
  <c r="L60" i="5" s="1"/>
  <c r="F59" i="5"/>
  <c r="E59" i="5"/>
  <c r="O57" i="5"/>
  <c r="E57" i="5"/>
  <c r="L57" i="5" s="1"/>
  <c r="O56" i="5"/>
  <c r="E56" i="5"/>
  <c r="L56" i="5" s="1"/>
  <c r="F54" i="5"/>
  <c r="O54" i="5" s="1"/>
  <c r="E54" i="5"/>
  <c r="O53" i="5"/>
  <c r="E53" i="5"/>
  <c r="L53" i="5" s="1"/>
  <c r="F52" i="5"/>
  <c r="E52" i="5"/>
  <c r="F51" i="5"/>
  <c r="I51" i="5" s="1"/>
  <c r="O51" i="5" s="1"/>
  <c r="E51" i="5"/>
  <c r="O50" i="5"/>
  <c r="E50" i="5"/>
  <c r="L50" i="5" s="1"/>
  <c r="F48" i="5"/>
  <c r="E48" i="5"/>
  <c r="L48" i="5" s="1"/>
  <c r="O46" i="5"/>
  <c r="L46" i="5"/>
  <c r="F45" i="5"/>
  <c r="E45" i="5"/>
  <c r="E44" i="5"/>
  <c r="L44" i="5" s="1"/>
  <c r="O43" i="5"/>
  <c r="E43" i="5"/>
  <c r="L43" i="5" s="1"/>
  <c r="F42" i="5"/>
  <c r="E42" i="5"/>
  <c r="L42" i="5" s="1"/>
  <c r="O41" i="5"/>
  <c r="E41" i="5"/>
  <c r="L41" i="5" s="1"/>
  <c r="F39" i="5"/>
  <c r="E39" i="5"/>
  <c r="H38" i="5"/>
  <c r="G38" i="5"/>
  <c r="F38" i="5"/>
  <c r="I38" i="5" s="1"/>
  <c r="O38" i="5" s="1"/>
  <c r="E38" i="5"/>
  <c r="I37" i="5"/>
  <c r="H37" i="5"/>
  <c r="G37" i="5"/>
  <c r="F37" i="5"/>
  <c r="E37" i="5"/>
  <c r="I36" i="5"/>
  <c r="O36" i="5" s="1"/>
  <c r="H36" i="5"/>
  <c r="G36" i="5"/>
  <c r="F36" i="5"/>
  <c r="E36" i="5"/>
  <c r="L36" i="5" s="1"/>
  <c r="H35" i="5"/>
  <c r="G35" i="5"/>
  <c r="F35" i="5"/>
  <c r="I35" i="5" s="1"/>
  <c r="O35" i="5" s="1"/>
  <c r="E35" i="5"/>
  <c r="L35" i="5" s="1"/>
  <c r="H34" i="5"/>
  <c r="G34" i="5"/>
  <c r="F34" i="5"/>
  <c r="E34" i="5"/>
  <c r="L34" i="5" s="1"/>
  <c r="O33" i="5"/>
  <c r="E33" i="5"/>
  <c r="N27" i="5"/>
  <c r="N28" i="5" s="1"/>
  <c r="M27" i="5"/>
  <c r="M28" i="5" s="1"/>
  <c r="K27" i="5"/>
  <c r="K28" i="5" s="1"/>
  <c r="J27" i="5"/>
  <c r="J28" i="5" s="1"/>
  <c r="Q26" i="5"/>
  <c r="Q27" i="5" s="1"/>
  <c r="Q28" i="5" s="1"/>
  <c r="P26" i="5"/>
  <c r="P27" i="5" s="1"/>
  <c r="P28" i="5" s="1"/>
  <c r="O25" i="5"/>
  <c r="E25" i="5"/>
  <c r="L25" i="5" s="1"/>
  <c r="O24" i="5"/>
  <c r="E24" i="5"/>
  <c r="L24" i="5" s="1"/>
  <c r="F23" i="5"/>
  <c r="E23" i="5"/>
  <c r="L23" i="5" s="1"/>
  <c r="O22" i="5"/>
  <c r="E22" i="5"/>
  <c r="L22" i="5" s="1"/>
  <c r="O21" i="5"/>
  <c r="E21" i="5"/>
  <c r="L21" i="5" s="1"/>
  <c r="F19" i="5"/>
  <c r="E19" i="5"/>
  <c r="L19" i="5" s="1"/>
  <c r="O18" i="5"/>
  <c r="L18" i="5"/>
  <c r="E18" i="5"/>
  <c r="F17" i="5"/>
  <c r="E17" i="5"/>
  <c r="F16" i="5"/>
  <c r="E16" i="5"/>
  <c r="F15" i="5"/>
  <c r="E15" i="5"/>
  <c r="F13" i="5"/>
  <c r="O13" i="5" s="1"/>
  <c r="E13" i="5"/>
  <c r="I12" i="5"/>
  <c r="O12" i="5" s="1"/>
  <c r="F12" i="5"/>
  <c r="E12" i="5"/>
  <c r="F11" i="5"/>
  <c r="E11" i="5"/>
  <c r="L13" i="5" l="1"/>
  <c r="L16" i="5"/>
  <c r="L51" i="5"/>
  <c r="L62" i="5"/>
  <c r="L64" i="5"/>
  <c r="O73" i="5"/>
  <c r="L77" i="5"/>
  <c r="L82" i="5" s="1"/>
  <c r="L112" i="5"/>
  <c r="F27" i="5"/>
  <c r="F28" i="5" s="1"/>
  <c r="L15" i="5"/>
  <c r="L52" i="5"/>
  <c r="L54" i="5"/>
  <c r="M85" i="5"/>
  <c r="K85" i="5"/>
  <c r="L11" i="5"/>
  <c r="I17" i="5"/>
  <c r="O17" i="5" s="1"/>
  <c r="E74" i="5"/>
  <c r="P100" i="5"/>
  <c r="I16" i="5"/>
  <c r="O16" i="5" s="1"/>
  <c r="L17" i="5"/>
  <c r="L33" i="5"/>
  <c r="G74" i="5"/>
  <c r="G83" i="5" s="1"/>
  <c r="G84" i="5" s="1"/>
  <c r="I39" i="5"/>
  <c r="O39" i="5" s="1"/>
  <c r="I45" i="5"/>
  <c r="O45" i="5" s="1"/>
  <c r="N83" i="5"/>
  <c r="N84" i="5" s="1"/>
  <c r="O82" i="5"/>
  <c r="O96" i="5"/>
  <c r="K128" i="5"/>
  <c r="K129" i="5" s="1"/>
  <c r="Q128" i="5"/>
  <c r="Q129" i="5" s="1"/>
  <c r="G100" i="5"/>
  <c r="L114" i="5"/>
  <c r="L126" i="5"/>
  <c r="P127" i="5"/>
  <c r="P128" i="5" s="1"/>
  <c r="P129" i="5" s="1"/>
  <c r="E26" i="5"/>
  <c r="E27" i="5" s="1"/>
  <c r="E28" i="5" s="1"/>
  <c r="L12" i="5"/>
  <c r="I23" i="5"/>
  <c r="O23" i="5" s="1"/>
  <c r="H74" i="5"/>
  <c r="H83" i="5" s="1"/>
  <c r="H84" i="5" s="1"/>
  <c r="O37" i="5"/>
  <c r="L38" i="5"/>
  <c r="L59" i="5"/>
  <c r="L63" i="5"/>
  <c r="J85" i="5"/>
  <c r="J131" i="5" s="1"/>
  <c r="P83" i="5"/>
  <c r="P84" i="5" s="1"/>
  <c r="E105" i="5"/>
  <c r="M128" i="5"/>
  <c r="M129" i="5" s="1"/>
  <c r="J100" i="5"/>
  <c r="L103" i="5"/>
  <c r="L104" i="5" s="1"/>
  <c r="I105" i="5"/>
  <c r="O126" i="5"/>
  <c r="J128" i="5"/>
  <c r="J129" i="5" s="1"/>
  <c r="Q85" i="5"/>
  <c r="O100" i="5"/>
  <c r="O105" i="5"/>
  <c r="O42" i="5"/>
  <c r="I118" i="5"/>
  <c r="I127" i="5" s="1"/>
  <c r="I128" i="5" s="1"/>
  <c r="I129" i="5" s="1"/>
  <c r="O112" i="5"/>
  <c r="O118" i="5" s="1"/>
  <c r="O127" i="5" s="1"/>
  <c r="N85" i="5"/>
  <c r="P85" i="5"/>
  <c r="K131" i="5"/>
  <c r="N128" i="5"/>
  <c r="N129" i="5" s="1"/>
  <c r="I15" i="5"/>
  <c r="O15" i="5" s="1"/>
  <c r="I19" i="5"/>
  <c r="O19" i="5" s="1"/>
  <c r="L37" i="5"/>
  <c r="L74" i="5" s="1"/>
  <c r="L83" i="5" s="1"/>
  <c r="L84" i="5" s="1"/>
  <c r="L39" i="5"/>
  <c r="L45" i="5"/>
  <c r="I48" i="5"/>
  <c r="O48" i="5" s="1"/>
  <c r="I64" i="5"/>
  <c r="O64" i="5" s="1"/>
  <c r="E82" i="5"/>
  <c r="K100" i="5"/>
  <c r="Q100" i="5"/>
  <c r="L111" i="5"/>
  <c r="I42" i="5"/>
  <c r="I52" i="5"/>
  <c r="O52" i="5" s="1"/>
  <c r="I59" i="5"/>
  <c r="O59" i="5" s="1"/>
  <c r="I63" i="5"/>
  <c r="O63" i="5" s="1"/>
  <c r="F82" i="5"/>
  <c r="L93" i="5"/>
  <c r="L96" i="5" s="1"/>
  <c r="F100" i="5"/>
  <c r="F74" i="5"/>
  <c r="F83" i="5" s="1"/>
  <c r="F84" i="5" s="1"/>
  <c r="F85" i="5" s="1"/>
  <c r="I34" i="5"/>
  <c r="F118" i="5"/>
  <c r="F127" i="5" s="1"/>
  <c r="F128" i="5" s="1"/>
  <c r="F129" i="5" s="1"/>
  <c r="E126" i="5"/>
  <c r="E127" i="5" s="1"/>
  <c r="E128" i="5" s="1"/>
  <c r="E129" i="5" s="1"/>
  <c r="F26" i="5"/>
  <c r="H100" i="5"/>
  <c r="N100" i="5"/>
  <c r="L109" i="5"/>
  <c r="I11" i="5"/>
  <c r="L26" i="5" l="1"/>
  <c r="L27" i="5" s="1"/>
  <c r="L28" i="5" s="1"/>
  <c r="L105" i="5"/>
  <c r="L128" i="5" s="1"/>
  <c r="L129" i="5" s="1"/>
  <c r="L131" i="5" s="1"/>
  <c r="L85" i="5"/>
  <c r="L118" i="5"/>
  <c r="L127" i="5" s="1"/>
  <c r="P131" i="5"/>
  <c r="E83" i="5"/>
  <c r="E84" i="5" s="1"/>
  <c r="E85" i="5" s="1"/>
  <c r="E131" i="5" s="1"/>
  <c r="Q131" i="5"/>
  <c r="M131" i="5"/>
  <c r="F131" i="5"/>
  <c r="I26" i="5"/>
  <c r="I27" i="5"/>
  <c r="I28" i="5" s="1"/>
  <c r="I74" i="5"/>
  <c r="I83" i="5" s="1"/>
  <c r="I84" i="5" s="1"/>
  <c r="I85" i="5" s="1"/>
  <c r="I131" i="5" s="1"/>
  <c r="O11" i="5"/>
  <c r="O26" i="5" s="1"/>
  <c r="O27" i="5" s="1"/>
  <c r="O28" i="5" s="1"/>
  <c r="N131" i="5"/>
  <c r="O34" i="5"/>
  <c r="O74" i="5" s="1"/>
  <c r="O83" i="5" s="1"/>
  <c r="O84" i="5" s="1"/>
  <c r="O128" i="5"/>
  <c r="O129" i="5" s="1"/>
  <c r="O85" i="5" l="1"/>
  <c r="O131" i="5" s="1"/>
  <c r="H129" i="4" l="1"/>
  <c r="G129" i="4"/>
  <c r="Q126" i="4"/>
  <c r="P126" i="4"/>
  <c r="P127" i="4" s="1"/>
  <c r="N126" i="4"/>
  <c r="M126" i="4"/>
  <c r="I126" i="4"/>
  <c r="F126" i="4"/>
  <c r="O125" i="4"/>
  <c r="E125" i="4"/>
  <c r="L125" i="4" s="1"/>
  <c r="O124" i="4"/>
  <c r="E124" i="4"/>
  <c r="L124" i="4" s="1"/>
  <c r="O123" i="4"/>
  <c r="E123" i="4"/>
  <c r="L123" i="4" s="1"/>
  <c r="O121" i="4"/>
  <c r="E121" i="4"/>
  <c r="E126" i="4" s="1"/>
  <c r="Q118" i="4"/>
  <c r="P118" i="4"/>
  <c r="N118" i="4"/>
  <c r="M118" i="4"/>
  <c r="M127" i="4" s="1"/>
  <c r="K118" i="4"/>
  <c r="K127" i="4" s="1"/>
  <c r="J118" i="4"/>
  <c r="J127" i="4" s="1"/>
  <c r="H118" i="4"/>
  <c r="H127" i="4" s="1"/>
  <c r="G118" i="4"/>
  <c r="G127" i="4" s="1"/>
  <c r="O116" i="4"/>
  <c r="E116" i="4"/>
  <c r="L116" i="4" s="1"/>
  <c r="O114" i="4"/>
  <c r="L114" i="4"/>
  <c r="F112" i="4"/>
  <c r="I112" i="4" s="1"/>
  <c r="I118" i="4" s="1"/>
  <c r="E112" i="4"/>
  <c r="L112" i="4" s="1"/>
  <c r="F111" i="4"/>
  <c r="O111" i="4" s="1"/>
  <c r="L109" i="4"/>
  <c r="F109" i="4"/>
  <c r="O109" i="4" s="1"/>
  <c r="J105" i="4"/>
  <c r="Q104" i="4"/>
  <c r="P104" i="4"/>
  <c r="N104" i="4"/>
  <c r="M104" i="4"/>
  <c r="I104" i="4"/>
  <c r="F104" i="4"/>
  <c r="O103" i="4"/>
  <c r="O104" i="4" s="1"/>
  <c r="E103" i="4"/>
  <c r="E104" i="4" s="1"/>
  <c r="N100" i="4"/>
  <c r="M100" i="4"/>
  <c r="F100" i="4"/>
  <c r="O99" i="4"/>
  <c r="E99" i="4"/>
  <c r="L99" i="4" s="1"/>
  <c r="L100" i="4" s="1"/>
  <c r="Q96" i="4"/>
  <c r="Q100" i="4" s="1"/>
  <c r="P96" i="4"/>
  <c r="P100" i="4" s="1"/>
  <c r="N96" i="4"/>
  <c r="M96" i="4"/>
  <c r="K96" i="4"/>
  <c r="K100" i="4" s="1"/>
  <c r="J96" i="4"/>
  <c r="J100" i="4" s="1"/>
  <c r="I96" i="4"/>
  <c r="H96" i="4"/>
  <c r="H105" i="4" s="1"/>
  <c r="G96" i="4"/>
  <c r="G105" i="4" s="1"/>
  <c r="F96" i="4"/>
  <c r="O95" i="4"/>
  <c r="E95" i="4"/>
  <c r="L95" i="4" s="1"/>
  <c r="O94" i="4"/>
  <c r="E94" i="4"/>
  <c r="L94" i="4" s="1"/>
  <c r="O93" i="4"/>
  <c r="L93" i="4"/>
  <c r="E93" i="4"/>
  <c r="O92" i="4"/>
  <c r="O96" i="4" s="1"/>
  <c r="E92" i="4"/>
  <c r="Q82" i="4"/>
  <c r="Q83" i="4" s="1"/>
  <c r="Q84" i="4" s="1"/>
  <c r="Q85" i="4" s="1"/>
  <c r="P82" i="4"/>
  <c r="N82" i="4"/>
  <c r="M82" i="4"/>
  <c r="I82" i="4"/>
  <c r="O81" i="4"/>
  <c r="L81" i="4"/>
  <c r="O80" i="4"/>
  <c r="E80" i="4"/>
  <c r="L80" i="4" s="1"/>
  <c r="F79" i="4"/>
  <c r="O79" i="4" s="1"/>
  <c r="O78" i="4"/>
  <c r="L78" i="4"/>
  <c r="F77" i="4"/>
  <c r="E77" i="4"/>
  <c r="Q74" i="4"/>
  <c r="P74" i="4"/>
  <c r="N74" i="4"/>
  <c r="N83" i="4" s="1"/>
  <c r="N84" i="4" s="1"/>
  <c r="M74" i="4"/>
  <c r="K74" i="4"/>
  <c r="K83" i="4" s="1"/>
  <c r="K84" i="4" s="1"/>
  <c r="J74" i="4"/>
  <c r="J83" i="4" s="1"/>
  <c r="J84" i="4" s="1"/>
  <c r="J85" i="4" s="1"/>
  <c r="H74" i="4"/>
  <c r="H83" i="4" s="1"/>
  <c r="H84" i="4" s="1"/>
  <c r="G74" i="4"/>
  <c r="G83" i="4" s="1"/>
  <c r="G84" i="4" s="1"/>
  <c r="F73" i="4"/>
  <c r="O73" i="4" s="1"/>
  <c r="E73" i="4"/>
  <c r="F72" i="4"/>
  <c r="E72" i="4"/>
  <c r="F70" i="4"/>
  <c r="O70" i="4" s="1"/>
  <c r="E70" i="4"/>
  <c r="O69" i="4"/>
  <c r="E69" i="4"/>
  <c r="L69" i="4" s="1"/>
  <c r="O67" i="4"/>
  <c r="F67" i="4"/>
  <c r="E67" i="4"/>
  <c r="L67" i="4" s="1"/>
  <c r="O66" i="4"/>
  <c r="E66" i="4"/>
  <c r="L66" i="4" s="1"/>
  <c r="F65" i="4"/>
  <c r="O65" i="4" s="1"/>
  <c r="E65" i="4"/>
  <c r="F64" i="4"/>
  <c r="O64" i="4" s="1"/>
  <c r="E64" i="4"/>
  <c r="L64" i="4" s="1"/>
  <c r="F63" i="4"/>
  <c r="O63" i="4" s="1"/>
  <c r="E63" i="4"/>
  <c r="L63" i="4" s="1"/>
  <c r="O62" i="4"/>
  <c r="L62" i="4"/>
  <c r="E62" i="4"/>
  <c r="F60" i="4"/>
  <c r="O60" i="4" s="1"/>
  <c r="E60" i="4"/>
  <c r="O59" i="4"/>
  <c r="F59" i="4"/>
  <c r="E59" i="4"/>
  <c r="L59" i="4" s="1"/>
  <c r="F57" i="4"/>
  <c r="O57" i="4" s="1"/>
  <c r="E57" i="4"/>
  <c r="O56" i="4"/>
  <c r="E56" i="4"/>
  <c r="L56" i="4" s="1"/>
  <c r="F54" i="4"/>
  <c r="O54" i="4" s="1"/>
  <c r="E54" i="4"/>
  <c r="O53" i="4"/>
  <c r="F53" i="4"/>
  <c r="E53" i="4"/>
  <c r="L53" i="4" s="1"/>
  <c r="F52" i="4"/>
  <c r="O52" i="4" s="1"/>
  <c r="E52" i="4"/>
  <c r="L52" i="4" s="1"/>
  <c r="F51" i="4"/>
  <c r="O51" i="4" s="1"/>
  <c r="E51" i="4"/>
  <c r="L51" i="4" s="1"/>
  <c r="F50" i="4"/>
  <c r="O50" i="4" s="1"/>
  <c r="E50" i="4"/>
  <c r="L50" i="4" s="1"/>
  <c r="F48" i="4"/>
  <c r="O48" i="4" s="1"/>
  <c r="E48" i="4"/>
  <c r="O46" i="4"/>
  <c r="L46" i="4"/>
  <c r="F45" i="4"/>
  <c r="O45" i="4" s="1"/>
  <c r="E45" i="4"/>
  <c r="E44" i="4"/>
  <c r="L44" i="4" s="1"/>
  <c r="F43" i="4"/>
  <c r="O42" i="4"/>
  <c r="E42" i="4"/>
  <c r="L42" i="4" s="1"/>
  <c r="O41" i="4"/>
  <c r="E41" i="4"/>
  <c r="L41" i="4" s="1"/>
  <c r="F39" i="4"/>
  <c r="O39" i="4" s="1"/>
  <c r="E39" i="4"/>
  <c r="L39" i="4" s="1"/>
  <c r="F38" i="4"/>
  <c r="O38" i="4" s="1"/>
  <c r="E38" i="4"/>
  <c r="F37" i="4"/>
  <c r="O37" i="4" s="1"/>
  <c r="E37" i="4"/>
  <c r="L37" i="4" s="1"/>
  <c r="F36" i="4"/>
  <c r="O36" i="4" s="1"/>
  <c r="E36" i="4"/>
  <c r="L36" i="4" s="1"/>
  <c r="F35" i="4"/>
  <c r="O35" i="4" s="1"/>
  <c r="E35" i="4"/>
  <c r="L35" i="4" s="1"/>
  <c r="F34" i="4"/>
  <c r="O34" i="4" s="1"/>
  <c r="E34" i="4"/>
  <c r="F33" i="4"/>
  <c r="E33" i="4"/>
  <c r="M28" i="4"/>
  <c r="P27" i="4"/>
  <c r="P28" i="4" s="1"/>
  <c r="N27" i="4"/>
  <c r="N28" i="4" s="1"/>
  <c r="M27" i="4"/>
  <c r="K27" i="4"/>
  <c r="K28" i="4" s="1"/>
  <c r="J27" i="4"/>
  <c r="J28" i="4" s="1"/>
  <c r="I27" i="4"/>
  <c r="I28" i="4" s="1"/>
  <c r="Q26" i="4"/>
  <c r="Q27" i="4" s="1"/>
  <c r="Q28" i="4" s="1"/>
  <c r="P26" i="4"/>
  <c r="I26" i="4"/>
  <c r="F25" i="4"/>
  <c r="O25" i="4" s="1"/>
  <c r="E25" i="4"/>
  <c r="F24" i="4"/>
  <c r="O24" i="4" s="1"/>
  <c r="E24" i="4"/>
  <c r="O23" i="4"/>
  <c r="E23" i="4"/>
  <c r="L23" i="4" s="1"/>
  <c r="F22" i="4"/>
  <c r="O22" i="4" s="1"/>
  <c r="E22" i="4"/>
  <c r="O21" i="4"/>
  <c r="F21" i="4"/>
  <c r="E21" i="4"/>
  <c r="L21" i="4" s="1"/>
  <c r="F19" i="4"/>
  <c r="O19" i="4" s="1"/>
  <c r="E19" i="4"/>
  <c r="O18" i="4"/>
  <c r="E18" i="4"/>
  <c r="L18" i="4" s="1"/>
  <c r="F17" i="4"/>
  <c r="O17" i="4" s="1"/>
  <c r="E17" i="4"/>
  <c r="F16" i="4"/>
  <c r="O16" i="4" s="1"/>
  <c r="E16" i="4"/>
  <c r="F15" i="4"/>
  <c r="O15" i="4" s="1"/>
  <c r="E15" i="4"/>
  <c r="F13" i="4"/>
  <c r="O13" i="4" s="1"/>
  <c r="E13" i="4"/>
  <c r="F12" i="4"/>
  <c r="O12" i="4" s="1"/>
  <c r="E12" i="4"/>
  <c r="F11" i="4"/>
  <c r="O11" i="4" s="1"/>
  <c r="E11" i="4"/>
  <c r="L15" i="4" l="1"/>
  <c r="L17" i="4"/>
  <c r="L54" i="4"/>
  <c r="L73" i="4"/>
  <c r="F74" i="4"/>
  <c r="E100" i="4"/>
  <c r="L22" i="4"/>
  <c r="L34" i="4"/>
  <c r="L60" i="4"/>
  <c r="K85" i="4"/>
  <c r="K131" i="4" s="1"/>
  <c r="E26" i="4"/>
  <c r="E27" i="4" s="1"/>
  <c r="E28" i="4" s="1"/>
  <c r="L16" i="4"/>
  <c r="L24" i="4"/>
  <c r="O33" i="4"/>
  <c r="L65" i="4"/>
  <c r="L70" i="4"/>
  <c r="I72" i="4"/>
  <c r="I74" i="4" s="1"/>
  <c r="I83" i="4" s="1"/>
  <c r="I84" i="4" s="1"/>
  <c r="P83" i="4"/>
  <c r="P84" i="4" s="1"/>
  <c r="P85" i="4" s="1"/>
  <c r="P131" i="4" s="1"/>
  <c r="E96" i="4"/>
  <c r="E105" i="4" s="1"/>
  <c r="K105" i="4"/>
  <c r="K128" i="4" s="1"/>
  <c r="K129" i="4" s="1"/>
  <c r="I127" i="4"/>
  <c r="L72" i="4"/>
  <c r="G100" i="4"/>
  <c r="M105" i="4"/>
  <c r="M128" i="4" s="1"/>
  <c r="M129" i="4" s="1"/>
  <c r="P105" i="4"/>
  <c r="P128" i="4" s="1"/>
  <c r="P129" i="4" s="1"/>
  <c r="L111" i="4"/>
  <c r="L118" i="4" s="1"/>
  <c r="O112" i="4"/>
  <c r="O118" i="4" s="1"/>
  <c r="O127" i="4" s="1"/>
  <c r="L19" i="4"/>
  <c r="L25" i="4"/>
  <c r="L48" i="4"/>
  <c r="M83" i="4"/>
  <c r="M84" i="4" s="1"/>
  <c r="M85" i="4" s="1"/>
  <c r="M131" i="4" s="1"/>
  <c r="F105" i="4"/>
  <c r="H100" i="4"/>
  <c r="N105" i="4"/>
  <c r="F118" i="4"/>
  <c r="F127" i="4" s="1"/>
  <c r="F128" i="4" s="1"/>
  <c r="F129" i="4" s="1"/>
  <c r="O126" i="4"/>
  <c r="N127" i="4"/>
  <c r="F27" i="4"/>
  <c r="F28" i="4" s="1"/>
  <c r="L13" i="4"/>
  <c r="L38" i="4"/>
  <c r="L57" i="4"/>
  <c r="E74" i="4"/>
  <c r="F82" i="4"/>
  <c r="F83" i="4" s="1"/>
  <c r="F84" i="4" s="1"/>
  <c r="O77" i="4"/>
  <c r="O82" i="4" s="1"/>
  <c r="L92" i="4"/>
  <c r="L96" i="4" s="1"/>
  <c r="L103" i="4"/>
  <c r="L104" i="4" s="1"/>
  <c r="Q105" i="4"/>
  <c r="L11" i="4"/>
  <c r="F26" i="4"/>
  <c r="O26" i="4"/>
  <c r="O27" i="4" s="1"/>
  <c r="O28" i="4" s="1"/>
  <c r="L33" i="4"/>
  <c r="L45" i="4"/>
  <c r="J128" i="4"/>
  <c r="J129" i="4" s="1"/>
  <c r="J131" i="4" s="1"/>
  <c r="E118" i="4"/>
  <c r="E127" i="4" s="1"/>
  <c r="E128" i="4" s="1"/>
  <c r="E129" i="4" s="1"/>
  <c r="L121" i="4"/>
  <c r="L126" i="4" s="1"/>
  <c r="N85" i="4"/>
  <c r="L12" i="4"/>
  <c r="I85" i="4"/>
  <c r="I105" i="4"/>
  <c r="I128" i="4" s="1"/>
  <c r="I129" i="4" s="1"/>
  <c r="I100" i="4"/>
  <c r="O105" i="4"/>
  <c r="O100" i="4"/>
  <c r="O43" i="4"/>
  <c r="L43" i="4"/>
  <c r="L79" i="4"/>
  <c r="E82" i="4"/>
  <c r="L77" i="4"/>
  <c r="L82" i="4" s="1"/>
  <c r="Q127" i="4"/>
  <c r="L127" i="4" l="1"/>
  <c r="N128" i="4"/>
  <c r="N129" i="4" s="1"/>
  <c r="N131" i="4"/>
  <c r="O72" i="4"/>
  <c r="O74" i="4" s="1"/>
  <c r="O83" i="4" s="1"/>
  <c r="O84" i="4" s="1"/>
  <c r="O85" i="4" s="1"/>
  <c r="F85" i="4"/>
  <c r="F131" i="4" s="1"/>
  <c r="O128" i="4"/>
  <c r="O129" i="4" s="1"/>
  <c r="L74" i="4"/>
  <c r="L83" i="4" s="1"/>
  <c r="L84" i="4" s="1"/>
  <c r="L105" i="4"/>
  <c r="L128" i="4" s="1"/>
  <c r="L129" i="4" s="1"/>
  <c r="Q128" i="4"/>
  <c r="Q129" i="4" s="1"/>
  <c r="Q131" i="4" s="1"/>
  <c r="I131" i="4"/>
  <c r="L26" i="4"/>
  <c r="L27" i="4" s="1"/>
  <c r="L28" i="4" s="1"/>
  <c r="E83" i="4"/>
  <c r="E84" i="4" s="1"/>
  <c r="E85" i="4" s="1"/>
  <c r="E131" i="4" s="1"/>
  <c r="L85" i="4" l="1"/>
  <c r="L131" i="4" s="1"/>
  <c r="O131" i="4"/>
</calcChain>
</file>

<file path=xl/sharedStrings.xml><?xml version="1.0" encoding="utf-8"?>
<sst xmlns="http://schemas.openxmlformats.org/spreadsheetml/2006/main" count="591" uniqueCount="198">
  <si>
    <t>AU 31/12/2022</t>
  </si>
  <si>
    <t>N° de compte</t>
  </si>
  <si>
    <t>Intitulé</t>
  </si>
  <si>
    <t>Credit Ouvert</t>
  </si>
  <si>
    <t>ENGAGEMENTS</t>
  </si>
  <si>
    <t>PAIEMENT</t>
  </si>
  <si>
    <t>DISPONIBLE</t>
  </si>
  <si>
    <t>RESTE A PAYER</t>
  </si>
  <si>
    <t>EXPLOITATION</t>
  </si>
  <si>
    <t>5.2.1.1.0.46.027 DEPENSES DU PERSONNEL</t>
  </si>
  <si>
    <t>URBANISME ET ARCHITECTURE</t>
  </si>
  <si>
    <t>SOUTIEN DE MISSION</t>
  </si>
  <si>
    <t>Rémunération du personnel</t>
  </si>
  <si>
    <t>Appointements, salaires et indemnités permanentes</t>
  </si>
  <si>
    <t>Primes et gratifications</t>
  </si>
  <si>
    <t>indemnités pour heures supplémentaires</t>
  </si>
  <si>
    <t>Charges Sociales</t>
  </si>
  <si>
    <t>Cotisations aux régimes de retraite</t>
  </si>
  <si>
    <t>Cotisations aux mutuelles</t>
  </si>
  <si>
    <t>Allocations familiales</t>
  </si>
  <si>
    <t>Assurances accident de travail</t>
  </si>
  <si>
    <t>Dépenses liées à la taxe de formation professionnelle</t>
  </si>
  <si>
    <t>Charges sociales diverses</t>
  </si>
  <si>
    <t>Subvention aux œuvres sociales</t>
  </si>
  <si>
    <t>Vetements de travail</t>
  </si>
  <si>
    <t>Médecine de travail,pharmacie</t>
  </si>
  <si>
    <t>Formation professionnelle</t>
  </si>
  <si>
    <t>Allocations diverses</t>
  </si>
  <si>
    <t>TOTAL PARAGRAPHE 10</t>
  </si>
  <si>
    <t>TOTAL ARTICLE 602</t>
  </si>
  <si>
    <t>TOTAL CHAPITRE 5.2.1.1.0.46.027 DEPENSES DU PERSONNEL</t>
  </si>
  <si>
    <t>5.2.1.2.0.46.027 MATERIELS ET DEPENSES DIVERSES</t>
  </si>
  <si>
    <t>SOUTIEN ET SERVICES POLYVALENTS</t>
  </si>
  <si>
    <t>Achats de matières et de fournitures consommables</t>
  </si>
  <si>
    <t>Achat de produits d'entretien</t>
  </si>
  <si>
    <t>Fournitures pour le matériel technique et informatique</t>
  </si>
  <si>
    <t>Fournitures de produits d'impression de reproduction et de photographie</t>
  </si>
  <si>
    <t>Achat de fourniture de bureau</t>
  </si>
  <si>
    <t>Redevances d'éléctricité</t>
  </si>
  <si>
    <t>Redevances d'eau</t>
  </si>
  <si>
    <t>Achat de combustibles</t>
  </si>
  <si>
    <t>Prestations de services</t>
  </si>
  <si>
    <t>Achat de prestation d'études et de conseil</t>
  </si>
  <si>
    <t>Prestation d'impression et de reproduction photographique</t>
  </si>
  <si>
    <t>Honoraires (Avocats,commissariat aux comptes,experts et consultants)</t>
  </si>
  <si>
    <t>Règlement et exécution des décisions judiciaires et administratives</t>
  </si>
  <si>
    <t>Documentation générale et technique</t>
  </si>
  <si>
    <t>Remboursement des versements percus à tord</t>
  </si>
  <si>
    <t>Locations</t>
  </si>
  <si>
    <t>Location de batiments administratifs et charges locatives</t>
  </si>
  <si>
    <t>Entretien et réparation</t>
  </si>
  <si>
    <t>Entretien et réparation des biens immobiliers</t>
  </si>
  <si>
    <t>Entretien et réparation du matériel de transport</t>
  </si>
  <si>
    <t>Entretien et réparation du mobilier et du matériel de bureau</t>
  </si>
  <si>
    <t>Entretien et réparation des installations techniques et divers</t>
  </si>
  <si>
    <t>Maintenance</t>
  </si>
  <si>
    <t>Primes d'assurances</t>
  </si>
  <si>
    <t>Assurances multirisques ( Vol,incendie,responsabilité civile…)</t>
  </si>
  <si>
    <t>Assurances matériel de transport</t>
  </si>
  <si>
    <t>Rémunérations du personnel extérieur à l'établissement</t>
  </si>
  <si>
    <t>Rémunération du personnel extérieur ( Gardiennage et sécurité)</t>
  </si>
  <si>
    <t>Rémunération du personnel extérieur ( Nettoyage et jardinage)</t>
  </si>
  <si>
    <t>Transport,Déplacement et réception</t>
  </si>
  <si>
    <t>Transport de matériel</t>
  </si>
  <si>
    <t>Voyages et déplacements</t>
  </si>
  <si>
    <t xml:space="preserve">Indemnités kilométriques </t>
  </si>
  <si>
    <t>Abonnement aux réseaux de la SNAM et tickets d'autoroute</t>
  </si>
  <si>
    <t>Frais de mission et séjour à l'étranger</t>
  </si>
  <si>
    <t>Réception,hebergement et restauration</t>
  </si>
  <si>
    <t>Frais postaux et frais de télécommunications</t>
  </si>
  <si>
    <t>Frais postaux</t>
  </si>
  <si>
    <t>Frais de téléphone,fax, internet et télécommunication</t>
  </si>
  <si>
    <t>Impots et taxes</t>
  </si>
  <si>
    <t>Dépenses liées aux impots et taxes directs</t>
  </si>
  <si>
    <t>Taxe spéciale annuelle sur les véhicules automobiles</t>
  </si>
  <si>
    <t>Communication,coopération et système d'information</t>
  </si>
  <si>
    <t>Publicité,publications et relations publiques</t>
  </si>
  <si>
    <t>Annonces,Abonnements,insertions,accés base de données en ligne</t>
  </si>
  <si>
    <t>Dépenses relatives à la participation aux foires et expositions</t>
  </si>
  <si>
    <t>Publicité et communication</t>
  </si>
  <si>
    <t>Infogérance,siteweb,assistance et numérisation</t>
  </si>
  <si>
    <t>Frais de participation aux manifestations scientifiques</t>
  </si>
  <si>
    <t>TOTAL PARAGRAPHE 20</t>
  </si>
  <si>
    <t>TOTAL ARTICLE 610</t>
  </si>
  <si>
    <t>TOTAL CHAPITRE 5.2.1.2.0.46.027 MATERIELS ET DEPENSES DIVERSES</t>
  </si>
  <si>
    <t>TOTAL EXPLOITATION</t>
  </si>
  <si>
    <t>5.2.2.2.0.46.027 : INVESTISSMENT</t>
  </si>
  <si>
    <t>PLANIFICATION URBAINE</t>
  </si>
  <si>
    <t>Charges à répartir sur plusieurs exercices</t>
  </si>
  <si>
    <t>Plans d'aménagement et plans de développement</t>
  </si>
  <si>
    <t>Etudes d'urbanisme et actions localisées</t>
  </si>
  <si>
    <t>Couvertures aériennes,travaux photogrammétriques et restitutions</t>
  </si>
  <si>
    <t>Travaux topographiques et cartographiques pour la planification urbaine</t>
  </si>
  <si>
    <t>PERSPECTIVE DES TERRITOIRES URBAINS ET LEUR RESILENCE</t>
  </si>
  <si>
    <t>TOTAL PARAGRAPHE 30</t>
  </si>
  <si>
    <t>MODERNISATION DE L'ADMINISTRATION</t>
  </si>
  <si>
    <t>Mise en place d'un système d'archivage électronique</t>
  </si>
  <si>
    <t>TOTAL PARAGRAPHE 40</t>
  </si>
  <si>
    <t>Etudes,conseils et assistances</t>
  </si>
  <si>
    <t>Etudes générales</t>
  </si>
  <si>
    <t>constructions de batiments et grosses réparations</t>
  </si>
  <si>
    <t>Travaux d'agencement,d'aménagement et d'installation du siège</t>
  </si>
  <si>
    <t>Matériels de transport</t>
  </si>
  <si>
    <t>Achat de véhicules utilitaires</t>
  </si>
  <si>
    <t>Autres immobilisations corporelles</t>
  </si>
  <si>
    <t>Achat de mobilier de bureau</t>
  </si>
  <si>
    <t>COMMUNICATION,COOPERATION ET SYSTÈME D'INFO</t>
  </si>
  <si>
    <t>Brevets, marques,droits et valeurs similaires</t>
  </si>
  <si>
    <t>Achat de logiciels et développement de solutions informatiques</t>
  </si>
  <si>
    <t>Matériel technique et informatique</t>
  </si>
  <si>
    <t>Installations techniques</t>
  </si>
  <si>
    <t>Achat de matériel informatique</t>
  </si>
  <si>
    <t>Achat de matériel technique</t>
  </si>
  <si>
    <t>TOTAL CHAPITRE 5.2.2.2.0.46.027 INVESTISSEMENT</t>
  </si>
  <si>
    <t>TOTAL INVESTISSEMENT</t>
  </si>
  <si>
    <t>TOTAL GENERAL</t>
  </si>
  <si>
    <t>AU 31/12/2021</t>
  </si>
  <si>
    <t>AU 31/12/2020</t>
  </si>
  <si>
    <t>Travaux topographiques et cartographiques</t>
  </si>
  <si>
    <t>ARCHITECTURE</t>
  </si>
  <si>
    <t>Etudes de chartes architecturales et paysagères</t>
  </si>
  <si>
    <t>N° COMPTES</t>
  </si>
  <si>
    <t>INTITULEES DES COMPTES</t>
  </si>
  <si>
    <t xml:space="preserve">Crédit ouvert </t>
  </si>
  <si>
    <t xml:space="preserve">Engagement </t>
  </si>
  <si>
    <t xml:space="preserve">Disponible / Engagement </t>
  </si>
  <si>
    <t xml:space="preserve">Paiement </t>
  </si>
  <si>
    <t xml:space="preserve">Reste à Payer </t>
  </si>
  <si>
    <t>Budget de fonctionnement</t>
  </si>
  <si>
    <t>Achat de fournitures de bureau</t>
  </si>
  <si>
    <t>Fourniture pour matériel technique et informatique</t>
  </si>
  <si>
    <t>Fourniture de produits d'impression de reproduction et de photographie</t>
  </si>
  <si>
    <t>Prestation d'études et de conseil</t>
  </si>
  <si>
    <t>Prestations d'impression et reproduction photographique</t>
  </si>
  <si>
    <t>Location de bâtiments administratifs et charges locatives</t>
  </si>
  <si>
    <t>Entretien et réparation de biens immobiliers</t>
  </si>
  <si>
    <t>Entretien et réparation de matériel de transport</t>
  </si>
  <si>
    <t>Entretien et réparation de mobilier de bureau</t>
  </si>
  <si>
    <t>Entretien et réparation de matériel informatique et technique</t>
  </si>
  <si>
    <t>Assurances multirisques ( vol, incendie, responsabilité civile …)</t>
  </si>
  <si>
    <t>Rémunération du personnel extérieur ( accueil,gardiennage et sécurité )</t>
  </si>
  <si>
    <t>Rémunération du personnel extérieur ( Nettoyage )</t>
  </si>
  <si>
    <t>Honoraires ( Avocats, Commissariat aux comptes, experts et Consultants)</t>
  </si>
  <si>
    <t>Documentation générale</t>
  </si>
  <si>
    <t>Documentation technique</t>
  </si>
  <si>
    <t>Séminaires,participations aux manifestations scientifiques et techniques</t>
  </si>
  <si>
    <t>Transport de matériels</t>
  </si>
  <si>
    <t>Indemnités Kilométriques</t>
  </si>
  <si>
    <t>Péage d'autoroute</t>
  </si>
  <si>
    <t>Réceptions et hebergements</t>
  </si>
  <si>
    <t xml:space="preserve">Annonces et insertions </t>
  </si>
  <si>
    <t>Siteweb</t>
  </si>
  <si>
    <t>Frais de téléphone et fax</t>
  </si>
  <si>
    <t>6167101/6167102</t>
  </si>
  <si>
    <t>Impots,taxes et droits assimilés</t>
  </si>
  <si>
    <t>Taxes sur les véhicules</t>
  </si>
  <si>
    <t>Assurrance Accidents de travail</t>
  </si>
  <si>
    <t>Habillement de travail des agents</t>
  </si>
  <si>
    <t>Convention médicale - Produits pharmaceutiques</t>
  </si>
  <si>
    <t>Appointements et salaires</t>
  </si>
  <si>
    <t>Heures supplémentaires</t>
  </si>
  <si>
    <t xml:space="preserve">Indemnités </t>
  </si>
  <si>
    <t>charges sociales</t>
  </si>
  <si>
    <t>Taxes de la formation professionnelle</t>
  </si>
  <si>
    <t>Subventions des Œuvres Sociales</t>
  </si>
  <si>
    <t>Allocation Achoura</t>
  </si>
  <si>
    <t>Indemnités de scolarité</t>
  </si>
  <si>
    <t>Primes de naissances</t>
  </si>
  <si>
    <t>total  fonctionnement</t>
  </si>
  <si>
    <t>TAUX EN %</t>
  </si>
  <si>
    <t xml:space="preserve"> Budget d'équipement</t>
  </si>
  <si>
    <t>Etudes d'Urbanisme et actions localisées</t>
  </si>
  <si>
    <t>Documents Topographiques</t>
  </si>
  <si>
    <t>Plans d'Aménagement et de Développement</t>
  </si>
  <si>
    <t>Couvertures aériennes</t>
  </si>
  <si>
    <t>Etudes de chartes architecturales</t>
  </si>
  <si>
    <t>Achat de logiciels</t>
  </si>
  <si>
    <t>Installation technique</t>
  </si>
  <si>
    <t>Matériel technique</t>
  </si>
  <si>
    <t>véhicules utilitaires</t>
  </si>
  <si>
    <t>Mobilier de bureau</t>
  </si>
  <si>
    <t xml:space="preserve">Matériel informatique </t>
  </si>
  <si>
    <t>Agencement, aménagement et installation</t>
  </si>
  <si>
    <t>total  équipement</t>
  </si>
  <si>
    <t>Local administratif  de l'AUGS</t>
  </si>
  <si>
    <t>MEDITERRAC SARL</t>
  </si>
  <si>
    <t>BEN MOUSSA MOULAY HOUSSEIN</t>
  </si>
  <si>
    <t>MOURCHID DAIDA</t>
  </si>
  <si>
    <t>Représentation  de  l'AUGS à la ville d'ASSA CENTRE</t>
  </si>
  <si>
    <t>EL HADRI HADOUCH</t>
  </si>
  <si>
    <t>Représentation  de  l'AUGS à la ville de TATA</t>
  </si>
  <si>
    <t>Missions à l'étranger</t>
  </si>
  <si>
    <t>Etudes générales et programmation</t>
  </si>
  <si>
    <t xml:space="preserve">EL KABIRA JAMAL </t>
  </si>
  <si>
    <t>Études d'urbanisme et actions localisées</t>
  </si>
  <si>
    <t>ETAT DES REALISATIONS DE L'AGENCE URBAINE DE GUELMIM OUED NOUN AU TITRE DE L'EXERCICE 2019</t>
  </si>
  <si>
    <t>ETAT DES REALISATIONS DE L'AGENCE URBAINE DE GUELMIM ES-SMARA AU TITRE DE L'EXERCICE 2018</t>
  </si>
  <si>
    <t>ETAT DES REALISATIONS DE L'AGENCE URBAINE DE GUELMIM ES-SMARA AU TITRE DE L'EXERCICE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</si>
</sst>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\ &quot;€&quot;_-;\-* #,##0.00\ &quot;€&quot;_-;_-* &quot;-&quot;??\ &quot;€&quot;_-;_-@_-"/>
    <numFmt numFmtId="165" formatCode="#,##0.00\ _D_H"/>
    <numFmt numFmtId="166" formatCode="[$-40C]mmmm\-yy;@"/>
    <numFmt numFmtId="167" formatCode="[$-40C]mmm\-yy;@"/>
    <numFmt numFmtId="168" formatCode="#,##0.00_ ;\-#,##0.00\ "/>
    <numFmt numFmtId="169" formatCode="_-[$€]\ * #,##0.00_-;_-[$€]\ * #,##0.00\-;_-[$€]\ * &quot;-&quot;??_-;_-@_-"/>
    <numFmt numFmtId="170" formatCode="&quot;د.م.&quot;\ #,##0_-;&quot;د.م.&quot;\ #,##0\-"/>
    <numFmt numFmtId="171" formatCode="_-* #,##0.00\ _D_H_-;\-* #,##0.00\ _D_H_-;_-* &quot;-&quot;??\ _D_H_-;_-@_-"/>
    <numFmt numFmtId="172" formatCode="#,##0.00\ _€"/>
    <numFmt numFmtId="173" formatCode="###\ ###\ ##0.00"/>
    <numFmt numFmtId="174" formatCode="#,##0.00\ &quot;DH&quot;"/>
  </numFmts>
  <fonts count="7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sz val="14"/>
      <name val="Arial Narrow"/>
      <family val="2"/>
    </font>
    <font>
      <b/>
      <sz val="16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i/>
      <sz val="12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0"/>
      <color rgb="FFFF0000"/>
      <name val="Arial Narrow"/>
      <family val="2"/>
    </font>
    <font>
      <sz val="9"/>
      <color rgb="FFFF0000"/>
      <name val="Arial Narrow"/>
      <family val="2"/>
    </font>
    <font>
      <sz val="10"/>
      <color rgb="FF002060"/>
      <name val="Arial Narrow"/>
      <family val="2"/>
    </font>
    <font>
      <b/>
      <i/>
      <sz val="14"/>
      <color rgb="FF002060"/>
      <name val="Arial Narrow"/>
      <family val="2"/>
    </font>
    <font>
      <b/>
      <sz val="11"/>
      <color rgb="FF002060"/>
      <name val="Arial Narrow"/>
      <family val="2"/>
    </font>
    <font>
      <sz val="9"/>
      <color rgb="FF002060"/>
      <name val="Arial Narrow"/>
      <family val="2"/>
    </font>
    <font>
      <sz val="14"/>
      <name val="Arial Narrow"/>
      <family val="2"/>
    </font>
    <font>
      <b/>
      <sz val="18"/>
      <name val="Arial Narrow"/>
      <family val="2"/>
    </font>
    <font>
      <sz val="18"/>
      <name val="Arial Narrow"/>
      <family val="2"/>
    </font>
    <font>
      <sz val="14"/>
      <color theme="0"/>
      <name val="Arial Narrow"/>
      <family val="2"/>
    </font>
    <font>
      <b/>
      <sz val="14"/>
      <color theme="0"/>
      <name val="Arial Narrow"/>
      <family val="2"/>
    </font>
    <font>
      <sz val="18"/>
      <color theme="0"/>
      <name val="Arial Narrow"/>
      <family val="2"/>
    </font>
    <font>
      <sz val="10"/>
      <color rgb="FFFF0000"/>
      <name val="Arial Narrow"/>
      <family val="2"/>
    </font>
    <font>
      <i/>
      <sz val="10"/>
      <color rgb="FFFF0000"/>
      <name val="Arial Narrow"/>
      <family val="2"/>
    </font>
    <font>
      <b/>
      <sz val="11"/>
      <color rgb="FFFF0000"/>
      <name val="Arial Narrow"/>
      <family val="2"/>
    </font>
    <font>
      <b/>
      <sz val="20"/>
      <color rgb="FFC00000"/>
      <name val="Arial Narrow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b/>
      <sz val="10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charset val="178"/>
      <scheme val="minor"/>
    </font>
    <font>
      <b/>
      <i/>
      <sz val="10"/>
      <color theme="1"/>
      <name val="Arial Narrow"/>
      <family val="2"/>
    </font>
    <font>
      <b/>
      <i/>
      <sz val="14"/>
      <color theme="1"/>
      <name val="Arial Narrow"/>
      <family val="2"/>
    </font>
    <font>
      <sz val="10"/>
      <name val="Arial Black"/>
      <family val="2"/>
      <charset val="178"/>
    </font>
    <font>
      <sz val="11"/>
      <name val="Arial"/>
      <family val="2"/>
    </font>
    <font>
      <sz val="10"/>
      <name val="Helv"/>
    </font>
    <font>
      <u/>
      <sz val="10"/>
      <color indexed="12"/>
      <name val="Arial"/>
      <family val="2"/>
    </font>
    <font>
      <b/>
      <sz val="11"/>
      <name val="Century Gothic"/>
      <family val="2"/>
      <charset val="178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name val="Century Gothic"/>
      <family val="2"/>
      <charset val="178"/>
    </font>
    <font>
      <sz val="10"/>
      <name val="Century Gothic"/>
      <family val="2"/>
      <charset val="178"/>
    </font>
    <font>
      <sz val="20"/>
      <name val="Arial Black"/>
      <family val="2"/>
      <charset val="178"/>
    </font>
    <font>
      <i/>
      <sz val="12"/>
      <name val="Arial Black"/>
      <family val="2"/>
      <charset val="178"/>
    </font>
    <font>
      <sz val="12"/>
      <name val="Arial"/>
      <family val="2"/>
    </font>
    <font>
      <b/>
      <sz val="11"/>
      <name val="Arial"/>
      <family val="2"/>
    </font>
    <font>
      <sz val="10"/>
      <color rgb="FF00206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9"/>
      <color theme="0"/>
      <name val="Arial Narrow"/>
      <family val="2"/>
    </font>
    <font>
      <b/>
      <sz val="11"/>
      <color theme="0"/>
      <name val="Arial Narrow"/>
      <family val="2"/>
    </font>
    <font>
      <b/>
      <sz val="14"/>
      <name val="Copperplate Gothic Light"/>
      <family val="2"/>
    </font>
    <font>
      <b/>
      <sz val="11"/>
      <name val="Copperplate Gothic Light"/>
      <family val="2"/>
    </font>
    <font>
      <b/>
      <sz val="9"/>
      <name val="Arial Narrow"/>
      <family val="2"/>
    </font>
    <font>
      <b/>
      <sz val="9"/>
      <name val="Arial"/>
      <family val="2"/>
    </font>
    <font>
      <b/>
      <i/>
      <sz val="9"/>
      <name val="Arial Narrow"/>
      <family val="2"/>
    </font>
    <font>
      <b/>
      <i/>
      <sz val="11"/>
      <name val="Arial Narrow"/>
      <family val="2"/>
    </font>
    <font>
      <b/>
      <i/>
      <sz val="10"/>
      <name val="Arial"/>
      <family val="2"/>
    </font>
    <font>
      <sz val="11"/>
      <name val="Arial Narrow"/>
      <family val="2"/>
    </font>
    <font>
      <b/>
      <sz val="12"/>
      <name val="Arial"/>
      <family val="2"/>
    </font>
    <font>
      <b/>
      <sz val="10"/>
      <color rgb="FF0060A8"/>
      <name val="Arial"/>
      <family val="2"/>
    </font>
    <font>
      <b/>
      <sz val="11"/>
      <color rgb="FF0060A8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opperplate Gothic Light"/>
      <family val="2"/>
    </font>
    <font>
      <sz val="11"/>
      <color theme="1"/>
      <name val="Arial Narrow"/>
      <family val="2"/>
    </font>
    <font>
      <b/>
      <sz val="12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0"/>
      <color rgb="FFFF0000"/>
      <name val="Arial"/>
      <family val="2"/>
    </font>
    <font>
      <b/>
      <i/>
      <sz val="11"/>
      <color rgb="FFFF0000"/>
      <name val="Arial Narrow"/>
      <family val="2"/>
    </font>
    <font>
      <b/>
      <i/>
      <sz val="10"/>
      <color rgb="FF0060A8"/>
      <name val="Arial"/>
      <family val="2"/>
    </font>
    <font>
      <b/>
      <i/>
      <sz val="10"/>
      <color theme="9" tint="-0.499984740745262"/>
      <name val="Arial"/>
      <family val="2"/>
    </font>
    <font>
      <b/>
      <sz val="11"/>
      <color theme="5" tint="-0.249977111117893"/>
      <name val="Arial Narrow"/>
      <family val="2"/>
    </font>
    <font>
      <b/>
      <sz val="11"/>
      <color rgb="FF007635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0F5E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71">
    <xf numFmtId="0" fontId="0" fillId="0" borderId="0"/>
    <xf numFmtId="0" fontId="2" fillId="0" borderId="0"/>
    <xf numFmtId="0" fontId="2" fillId="0" borderId="0"/>
    <xf numFmtId="0" fontId="33" fillId="0" borderId="0"/>
    <xf numFmtId="0" fontId="36" fillId="0" borderId="31">
      <alignment vertical="center"/>
    </xf>
    <xf numFmtId="164" fontId="37" fillId="0" borderId="0" applyFont="0" applyFill="0" applyBorder="0" applyAlignment="0" applyProtection="0"/>
    <xf numFmtId="169" fontId="38" fillId="0" borderId="0" applyFont="0" applyFill="0" applyBorder="0" applyAlignment="0" applyProtection="0"/>
    <xf numFmtId="169" fontId="38" fillId="0" borderId="0" applyFont="0" applyFill="0" applyBorder="0" applyAlignment="0" applyProtection="0"/>
    <xf numFmtId="169" fontId="38" fillId="0" borderId="0" applyFont="0" applyFill="0" applyBorder="0" applyAlignment="0" applyProtection="0"/>
    <xf numFmtId="169" fontId="38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17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40" fillId="0" borderId="32">
      <alignment horizont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8" fillId="0" borderId="0"/>
    <xf numFmtId="0" fontId="43" fillId="0" borderId="0"/>
    <xf numFmtId="0" fontId="44" fillId="0" borderId="31"/>
    <xf numFmtId="173" fontId="44" fillId="0" borderId="0"/>
    <xf numFmtId="0" fontId="45" fillId="0" borderId="0">
      <alignment horizontal="centerContinuous" vertical="center"/>
    </xf>
    <xf numFmtId="0" fontId="45" fillId="0" borderId="0">
      <alignment horizontal="centerContinuous" vertical="center"/>
    </xf>
    <xf numFmtId="0" fontId="45" fillId="0" borderId="0">
      <alignment horizontal="centerContinuous" vertical="center"/>
    </xf>
    <xf numFmtId="0" fontId="45" fillId="0" borderId="0">
      <alignment horizontal="centerContinuous" vertical="center"/>
    </xf>
    <xf numFmtId="0" fontId="45" fillId="0" borderId="0">
      <alignment horizontal="centerContinuous" vertical="center"/>
    </xf>
    <xf numFmtId="0" fontId="45" fillId="0" borderId="0">
      <alignment horizontal="centerContinuous" vertical="center"/>
    </xf>
    <xf numFmtId="0" fontId="45" fillId="0" borderId="0">
      <alignment horizontal="centerContinuous" vertical="center"/>
    </xf>
    <xf numFmtId="0" fontId="45" fillId="0" borderId="0">
      <alignment horizontal="centerContinuous" vertical="center"/>
    </xf>
    <xf numFmtId="0" fontId="45" fillId="0" borderId="0">
      <alignment horizontal="centerContinuous" vertical="center"/>
    </xf>
    <xf numFmtId="0" fontId="45" fillId="0" borderId="0">
      <alignment horizontal="centerContinuous" vertical="center"/>
    </xf>
    <xf numFmtId="173" fontId="46" fillId="0" borderId="33">
      <alignment horizontal="right"/>
    </xf>
    <xf numFmtId="0" fontId="2" fillId="0" borderId="0"/>
  </cellStyleXfs>
  <cellXfs count="444">
    <xf numFmtId="0" fontId="0" fillId="0" borderId="0" xfId="0"/>
    <xf numFmtId="0" fontId="3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vertical="center" shrinkToFit="1"/>
    </xf>
    <xf numFmtId="165" fontId="4" fillId="2" borderId="0" xfId="1" applyNumberFormat="1" applyFont="1" applyFill="1" applyAlignment="1">
      <alignment horizontal="right" vertical="center"/>
    </xf>
    <xf numFmtId="0" fontId="5" fillId="2" borderId="0" xfId="1" applyFont="1" applyFill="1" applyAlignment="1">
      <alignment vertical="center" shrinkToFit="1"/>
    </xf>
    <xf numFmtId="0" fontId="5" fillId="2" borderId="0" xfId="1" applyFont="1" applyFill="1" applyAlignment="1">
      <alignment horizontal="center" vertical="center" shrinkToFit="1"/>
    </xf>
    <xf numFmtId="0" fontId="3" fillId="2" borderId="0" xfId="1" applyFont="1" applyFill="1" applyAlignment="1">
      <alignment vertical="center"/>
    </xf>
    <xf numFmtId="0" fontId="3" fillId="0" borderId="0" xfId="1" applyFont="1"/>
    <xf numFmtId="0" fontId="6" fillId="2" borderId="0" xfId="1" applyFont="1" applyFill="1" applyAlignment="1">
      <alignment vertical="center"/>
    </xf>
    <xf numFmtId="0" fontId="9" fillId="2" borderId="0" xfId="1" applyFont="1" applyFill="1" applyAlignment="1">
      <alignment vertical="center"/>
    </xf>
    <xf numFmtId="0" fontId="9" fillId="0" borderId="0" xfId="1" applyFont="1"/>
    <xf numFmtId="166" fontId="9" fillId="2" borderId="0" xfId="1" applyNumberFormat="1" applyFont="1" applyFill="1" applyAlignment="1">
      <alignment horizontal="center" vertical="center"/>
    </xf>
    <xf numFmtId="166" fontId="9" fillId="4" borderId="2" xfId="2" applyNumberFormat="1" applyFont="1" applyFill="1" applyBorder="1" applyAlignment="1">
      <alignment horizontal="left" vertical="center" shrinkToFit="1"/>
    </xf>
    <xf numFmtId="167" fontId="9" fillId="4" borderId="2" xfId="2" applyNumberFormat="1" applyFont="1" applyFill="1" applyBorder="1" applyAlignment="1">
      <alignment horizontal="left" vertical="center" shrinkToFit="1"/>
    </xf>
    <xf numFmtId="166" fontId="3" fillId="2" borderId="0" xfId="1" applyNumberFormat="1" applyFont="1" applyFill="1" applyAlignment="1">
      <alignment horizontal="center" vertical="center"/>
    </xf>
    <xf numFmtId="1" fontId="9" fillId="3" borderId="1" xfId="2" applyNumberFormat="1" applyFont="1" applyFill="1" applyBorder="1" applyAlignment="1">
      <alignment horizontal="center" vertical="center" wrapText="1" shrinkToFit="1"/>
    </xf>
    <xf numFmtId="166" fontId="8" fillId="3" borderId="2" xfId="2" applyNumberFormat="1" applyFont="1" applyFill="1" applyBorder="1" applyAlignment="1">
      <alignment horizontal="center" vertical="center" shrinkToFit="1"/>
    </xf>
    <xf numFmtId="166" fontId="9" fillId="3" borderId="2" xfId="2" applyNumberFormat="1" applyFont="1" applyFill="1" applyBorder="1" applyAlignment="1">
      <alignment horizontal="center" vertical="center" shrinkToFit="1"/>
    </xf>
    <xf numFmtId="167" fontId="9" fillId="3" borderId="2" xfId="2" applyNumberFormat="1" applyFont="1" applyFill="1" applyBorder="1" applyAlignment="1">
      <alignment horizontal="center" vertical="center" shrinkToFit="1"/>
    </xf>
    <xf numFmtId="1" fontId="11" fillId="6" borderId="1" xfId="2" applyNumberFormat="1" applyFont="1" applyFill="1" applyBorder="1" applyAlignment="1">
      <alignment horizontal="center" vertical="center" wrapText="1" shrinkToFit="1"/>
    </xf>
    <xf numFmtId="166" fontId="12" fillId="6" borderId="2" xfId="2" applyNumberFormat="1" applyFont="1" applyFill="1" applyBorder="1" applyAlignment="1">
      <alignment horizontal="center" vertical="center" shrinkToFit="1"/>
    </xf>
    <xf numFmtId="166" fontId="11" fillId="6" borderId="2" xfId="2" applyNumberFormat="1" applyFont="1" applyFill="1" applyBorder="1" applyAlignment="1">
      <alignment horizontal="center" vertical="center" shrinkToFit="1"/>
    </xf>
    <xf numFmtId="167" fontId="11" fillId="6" borderId="2" xfId="2" applyNumberFormat="1" applyFont="1" applyFill="1" applyBorder="1" applyAlignment="1">
      <alignment horizontal="center" vertical="center" shrinkToFit="1"/>
    </xf>
    <xf numFmtId="0" fontId="8" fillId="2" borderId="14" xfId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vertical="center" shrinkToFit="1"/>
    </xf>
    <xf numFmtId="165" fontId="8" fillId="2" borderId="15" xfId="1" applyNumberFormat="1" applyFont="1" applyFill="1" applyBorder="1" applyAlignment="1">
      <alignment horizontal="right" vertical="center"/>
    </xf>
    <xf numFmtId="168" fontId="3" fillId="2" borderId="0" xfId="1" applyNumberFormat="1" applyFont="1" applyFill="1" applyAlignment="1">
      <alignment horizontal="right" vertical="center"/>
    </xf>
    <xf numFmtId="0" fontId="8" fillId="2" borderId="19" xfId="1" applyFont="1" applyFill="1" applyBorder="1" applyAlignment="1">
      <alignment horizontal="center" vertical="center"/>
    </xf>
    <xf numFmtId="0" fontId="8" fillId="2" borderId="19" xfId="1" applyFont="1" applyFill="1" applyBorder="1" applyAlignment="1">
      <alignment vertical="center" shrinkToFit="1"/>
    </xf>
    <xf numFmtId="168" fontId="13" fillId="2" borderId="0" xfId="1" applyNumberFormat="1" applyFont="1" applyFill="1" applyAlignment="1">
      <alignment horizontal="right" vertical="center"/>
    </xf>
    <xf numFmtId="0" fontId="13" fillId="0" borderId="0" xfId="1" applyFont="1"/>
    <xf numFmtId="0" fontId="13" fillId="2" borderId="0" xfId="1" applyFont="1" applyFill="1" applyAlignment="1">
      <alignment vertical="center"/>
    </xf>
    <xf numFmtId="166" fontId="9" fillId="2" borderId="2" xfId="2" applyNumberFormat="1" applyFont="1" applyFill="1" applyBorder="1" applyAlignment="1">
      <alignment horizontal="center" vertical="center" shrinkToFit="1"/>
    </xf>
    <xf numFmtId="167" fontId="9" fillId="2" borderId="2" xfId="2" applyNumberFormat="1" applyFont="1" applyFill="1" applyBorder="1" applyAlignment="1">
      <alignment horizontal="center" vertical="center" shrinkToFit="1"/>
    </xf>
    <xf numFmtId="0" fontId="9" fillId="7" borderId="1" xfId="1" applyFont="1" applyFill="1" applyBorder="1" applyAlignment="1">
      <alignment horizontal="center" vertical="center"/>
    </xf>
    <xf numFmtId="0" fontId="10" fillId="7" borderId="3" xfId="1" applyFont="1" applyFill="1" applyBorder="1" applyAlignment="1">
      <alignment horizontal="center" vertical="center" shrinkToFit="1"/>
    </xf>
    <xf numFmtId="165" fontId="8" fillId="7" borderId="15" xfId="1" applyNumberFormat="1" applyFont="1" applyFill="1" applyBorder="1" applyAlignment="1">
      <alignment horizontal="right" vertical="center"/>
    </xf>
    <xf numFmtId="168" fontId="14" fillId="2" borderId="0" xfId="1" applyNumberFormat="1" applyFont="1" applyFill="1" applyAlignment="1">
      <alignment horizontal="center" vertical="center"/>
    </xf>
    <xf numFmtId="0" fontId="3" fillId="0" borderId="0" xfId="1" applyFont="1" applyAlignment="1">
      <alignment horizontal="center"/>
    </xf>
    <xf numFmtId="0" fontId="14" fillId="2" borderId="0" xfId="1" applyFont="1" applyFill="1" applyAlignment="1">
      <alignment horizontal="center" vertical="center"/>
    </xf>
    <xf numFmtId="0" fontId="9" fillId="8" borderId="1" xfId="1" applyFont="1" applyFill="1" applyBorder="1" applyAlignment="1">
      <alignment horizontal="center" vertical="center"/>
    </xf>
    <xf numFmtId="0" fontId="10" fillId="8" borderId="3" xfId="1" applyFont="1" applyFill="1" applyBorder="1" applyAlignment="1">
      <alignment horizontal="center" vertical="center" shrinkToFit="1"/>
    </xf>
    <xf numFmtId="165" fontId="8" fillId="8" borderId="15" xfId="1" applyNumberFormat="1" applyFont="1" applyFill="1" applyBorder="1" applyAlignment="1">
      <alignment horizontal="right" vertical="center"/>
    </xf>
    <xf numFmtId="0" fontId="10" fillId="9" borderId="3" xfId="1" applyFont="1" applyFill="1" applyBorder="1" applyAlignment="1">
      <alignment horizontal="center" vertical="center" shrinkToFit="1"/>
    </xf>
    <xf numFmtId="165" fontId="8" fillId="9" borderId="15" xfId="1" applyNumberFormat="1" applyFont="1" applyFill="1" applyBorder="1" applyAlignment="1">
      <alignment vertical="center"/>
    </xf>
    <xf numFmtId="0" fontId="8" fillId="2" borderId="19" xfId="1" applyFont="1" applyFill="1" applyBorder="1" applyAlignment="1">
      <alignment vertical="center" wrapText="1" shrinkToFit="1"/>
    </xf>
    <xf numFmtId="168" fontId="3" fillId="0" borderId="0" xfId="1" applyNumberFormat="1" applyFont="1"/>
    <xf numFmtId="165" fontId="8" fillId="2" borderId="14" xfId="1" applyNumberFormat="1" applyFont="1" applyFill="1" applyBorder="1" applyAlignment="1">
      <alignment horizontal="right" vertical="center"/>
    </xf>
    <xf numFmtId="0" fontId="9" fillId="10" borderId="1" xfId="1" applyFont="1" applyFill="1" applyBorder="1" applyAlignment="1">
      <alignment horizontal="center" vertical="center"/>
    </xf>
    <xf numFmtId="0" fontId="10" fillId="10" borderId="3" xfId="1" applyFont="1" applyFill="1" applyBorder="1" applyAlignment="1">
      <alignment horizontal="center" vertical="center" shrinkToFit="1"/>
    </xf>
    <xf numFmtId="165" fontId="8" fillId="10" borderId="15" xfId="1" applyNumberFormat="1" applyFont="1" applyFill="1" applyBorder="1" applyAlignment="1">
      <alignment horizontal="center" vertical="center"/>
    </xf>
    <xf numFmtId="0" fontId="8" fillId="2" borderId="19" xfId="1" applyFont="1" applyFill="1" applyBorder="1" applyAlignment="1">
      <alignment horizontal="center" vertical="center" wrapText="1"/>
    </xf>
    <xf numFmtId="168" fontId="8" fillId="10" borderId="21" xfId="1" applyNumberFormat="1" applyFont="1" applyFill="1" applyBorder="1" applyAlignment="1">
      <alignment horizontal="center" vertical="center" shrinkToFit="1"/>
    </xf>
    <xf numFmtId="165" fontId="8" fillId="8" borderId="15" xfId="1" applyNumberFormat="1" applyFont="1" applyFill="1" applyBorder="1" applyAlignment="1">
      <alignment horizontal="center" vertical="center"/>
    </xf>
    <xf numFmtId="165" fontId="8" fillId="9" borderId="15" xfId="1" applyNumberFormat="1" applyFont="1" applyFill="1" applyBorder="1" applyAlignment="1">
      <alignment horizontal="center" vertical="center"/>
    </xf>
    <xf numFmtId="165" fontId="8" fillId="11" borderId="15" xfId="1" applyNumberFormat="1" applyFont="1" applyFill="1" applyBorder="1" applyAlignment="1">
      <alignment vertical="center"/>
    </xf>
    <xf numFmtId="0" fontId="15" fillId="2" borderId="0" xfId="1" applyFont="1" applyFill="1" applyAlignment="1">
      <alignment horizontal="center" vertical="center"/>
    </xf>
    <xf numFmtId="0" fontId="16" fillId="2" borderId="0" xfId="1" applyFont="1" applyFill="1" applyAlignment="1">
      <alignment horizontal="right" vertical="center" shrinkToFit="1"/>
    </xf>
    <xf numFmtId="165" fontId="17" fillId="2" borderId="0" xfId="1" applyNumberFormat="1" applyFont="1" applyFill="1" applyAlignment="1">
      <alignment horizontal="right" vertical="center"/>
    </xf>
    <xf numFmtId="168" fontId="18" fillId="2" borderId="0" xfId="1" applyNumberFormat="1" applyFont="1" applyFill="1" applyAlignment="1">
      <alignment horizontal="right" vertical="center"/>
    </xf>
    <xf numFmtId="0" fontId="15" fillId="2" borderId="0" xfId="1" applyFont="1" applyFill="1"/>
    <xf numFmtId="0" fontId="18" fillId="2" borderId="0" xfId="1" applyFont="1" applyFill="1" applyAlignment="1">
      <alignment vertical="center"/>
    </xf>
    <xf numFmtId="166" fontId="9" fillId="4" borderId="2" xfId="2" applyNumberFormat="1" applyFont="1" applyFill="1" applyBorder="1" applyAlignment="1">
      <alignment horizontal="center" vertical="center" shrinkToFit="1"/>
    </xf>
    <xf numFmtId="167" fontId="9" fillId="4" borderId="2" xfId="2" applyNumberFormat="1" applyFont="1" applyFill="1" applyBorder="1" applyAlignment="1">
      <alignment horizontal="center" vertical="center" shrinkToFit="1"/>
    </xf>
    <xf numFmtId="0" fontId="8" fillId="2" borderId="14" xfId="1" applyFont="1" applyFill="1" applyBorder="1" applyAlignment="1">
      <alignment vertical="center" wrapText="1" shrinkToFit="1"/>
    </xf>
    <xf numFmtId="166" fontId="19" fillId="3" borderId="1" xfId="2" applyNumberFormat="1" applyFont="1" applyFill="1" applyBorder="1" applyAlignment="1">
      <alignment horizontal="center" vertical="center" wrapText="1" shrinkToFit="1"/>
    </xf>
    <xf numFmtId="166" fontId="20" fillId="3" borderId="2" xfId="2" applyNumberFormat="1" applyFont="1" applyFill="1" applyBorder="1" applyAlignment="1">
      <alignment horizontal="center" vertical="center" shrinkToFit="1"/>
    </xf>
    <xf numFmtId="166" fontId="21" fillId="3" borderId="2" xfId="2" applyNumberFormat="1" applyFont="1" applyFill="1" applyBorder="1" applyAlignment="1">
      <alignment horizontal="center" vertical="center" shrinkToFit="1"/>
    </xf>
    <xf numFmtId="167" fontId="19" fillId="3" borderId="2" xfId="2" applyNumberFormat="1" applyFont="1" applyFill="1" applyBorder="1" applyAlignment="1">
      <alignment horizontal="center" vertical="center" shrinkToFit="1"/>
    </xf>
    <xf numFmtId="0" fontId="3" fillId="10" borderId="1" xfId="1" applyFont="1" applyFill="1" applyBorder="1" applyAlignment="1">
      <alignment horizontal="center" vertical="center"/>
    </xf>
    <xf numFmtId="168" fontId="4" fillId="10" borderId="21" xfId="1" applyNumberFormat="1" applyFont="1" applyFill="1" applyBorder="1" applyAlignment="1">
      <alignment horizontal="center" vertical="center" shrinkToFit="1"/>
    </xf>
    <xf numFmtId="1" fontId="22" fillId="6" borderId="1" xfId="2" applyNumberFormat="1" applyFont="1" applyFill="1" applyBorder="1" applyAlignment="1">
      <alignment horizontal="center" vertical="center" wrapText="1" shrinkToFit="1"/>
    </xf>
    <xf numFmtId="166" fontId="23" fillId="6" borderId="2" xfId="2" applyNumberFormat="1" applyFont="1" applyFill="1" applyBorder="1" applyAlignment="1">
      <alignment horizontal="center" vertical="center" shrinkToFit="1"/>
    </xf>
    <xf numFmtId="166" fontId="24" fillId="6" borderId="2" xfId="2" applyNumberFormat="1" applyFont="1" applyFill="1" applyBorder="1" applyAlignment="1">
      <alignment horizontal="center" vertical="center" shrinkToFit="1"/>
    </xf>
    <xf numFmtId="167" fontId="22" fillId="6" borderId="2" xfId="2" applyNumberFormat="1" applyFont="1" applyFill="1" applyBorder="1" applyAlignment="1">
      <alignment horizontal="center" vertical="center" shrinkToFit="1"/>
    </xf>
    <xf numFmtId="0" fontId="9" fillId="9" borderId="1" xfId="1" applyFont="1" applyFill="1" applyBorder="1" applyAlignment="1">
      <alignment horizontal="center" vertical="center"/>
    </xf>
    <xf numFmtId="0" fontId="25" fillId="2" borderId="0" xfId="1" applyFont="1" applyFill="1" applyAlignment="1">
      <alignment horizontal="center" vertical="center"/>
    </xf>
    <xf numFmtId="0" fontId="26" fillId="2" borderId="0" xfId="1" applyFont="1" applyFill="1" applyAlignment="1">
      <alignment horizontal="right" vertical="center" shrinkToFit="1"/>
    </xf>
    <xf numFmtId="165" fontId="27" fillId="2" borderId="0" xfId="1" applyNumberFormat="1" applyFont="1" applyFill="1" applyAlignment="1">
      <alignment horizontal="right" vertical="center"/>
    </xf>
    <xf numFmtId="168" fontId="13" fillId="2" borderId="0" xfId="1" applyNumberFormat="1" applyFont="1" applyFill="1" applyAlignment="1">
      <alignment horizontal="right" vertical="center" shrinkToFit="1"/>
    </xf>
    <xf numFmtId="168" fontId="13" fillId="2" borderId="0" xfId="1" applyNumberFormat="1" applyFont="1" applyFill="1" applyAlignment="1">
      <alignment horizontal="center" vertical="center" shrinkToFit="1"/>
    </xf>
    <xf numFmtId="168" fontId="14" fillId="2" borderId="0" xfId="1" applyNumberFormat="1" applyFont="1" applyFill="1" applyAlignment="1">
      <alignment horizontal="right" vertical="center"/>
    </xf>
    <xf numFmtId="0" fontId="3" fillId="2" borderId="0" xfId="1" applyFont="1" applyFill="1"/>
    <xf numFmtId="0" fontId="14" fillId="2" borderId="0" xfId="1" applyFont="1" applyFill="1" applyAlignment="1">
      <alignment vertical="center"/>
    </xf>
    <xf numFmtId="165" fontId="29" fillId="3" borderId="28" xfId="1" applyNumberFormat="1" applyFont="1" applyFill="1" applyBorder="1" applyAlignment="1">
      <alignment horizontal="center" vertical="center"/>
    </xf>
    <xf numFmtId="168" fontId="25" fillId="2" borderId="0" xfId="1" applyNumberFormat="1" applyFont="1" applyFill="1" applyAlignment="1">
      <alignment horizontal="right" vertical="center"/>
    </xf>
    <xf numFmtId="0" fontId="31" fillId="2" borderId="0" xfId="1" applyFont="1" applyFill="1" applyAlignment="1">
      <alignment horizontal="center" vertical="center"/>
    </xf>
    <xf numFmtId="0" fontId="32" fillId="2" borderId="0" xfId="1" applyFont="1" applyFill="1" applyAlignment="1">
      <alignment horizontal="center" vertical="center" shrinkToFit="1"/>
    </xf>
    <xf numFmtId="39" fontId="5" fillId="2" borderId="0" xfId="1" applyNumberFormat="1" applyFont="1" applyFill="1" applyAlignment="1">
      <alignment vertical="center" shrinkToFit="1"/>
    </xf>
    <xf numFmtId="39" fontId="5" fillId="2" borderId="0" xfId="1" applyNumberFormat="1" applyFont="1" applyFill="1" applyAlignment="1">
      <alignment horizontal="center" vertical="center" shrinkToFit="1"/>
    </xf>
    <xf numFmtId="0" fontId="31" fillId="2" borderId="0" xfId="1" applyFont="1" applyFill="1" applyAlignment="1">
      <alignment vertical="center"/>
    </xf>
    <xf numFmtId="0" fontId="34" fillId="0" borderId="0" xfId="3" applyFont="1" applyAlignment="1">
      <alignment shrinkToFit="1"/>
    </xf>
    <xf numFmtId="0" fontId="34" fillId="0" borderId="0" xfId="3" applyFont="1" applyAlignment="1">
      <alignment horizontal="center" shrinkToFit="1"/>
    </xf>
    <xf numFmtId="0" fontId="19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vertical="center" shrinkToFit="1"/>
    </xf>
    <xf numFmtId="165" fontId="6" fillId="2" borderId="0" xfId="1" applyNumberFormat="1" applyFont="1" applyFill="1" applyAlignment="1">
      <alignment horizontal="right" vertical="center"/>
    </xf>
    <xf numFmtId="0" fontId="35" fillId="0" borderId="0" xfId="3" applyFont="1" applyAlignment="1">
      <alignment shrinkToFit="1"/>
    </xf>
    <xf numFmtId="168" fontId="35" fillId="0" borderId="0" xfId="3" applyNumberFormat="1" applyFont="1" applyAlignment="1">
      <alignment shrinkToFit="1"/>
    </xf>
    <xf numFmtId="4" fontId="35" fillId="0" borderId="0" xfId="3" applyNumberFormat="1" applyFont="1" applyAlignment="1">
      <alignment shrinkToFit="1"/>
    </xf>
    <xf numFmtId="0" fontId="19" fillId="2" borderId="0" xfId="1" applyFont="1" applyFill="1" applyAlignment="1">
      <alignment vertical="center"/>
    </xf>
    <xf numFmtId="0" fontId="19" fillId="0" borderId="0" xfId="1" applyFont="1"/>
    <xf numFmtId="4" fontId="34" fillId="0" borderId="0" xfId="3" applyNumberFormat="1" applyFont="1" applyAlignment="1">
      <alignment shrinkToFit="1"/>
    </xf>
    <xf numFmtId="4" fontId="34" fillId="0" borderId="0" xfId="3" applyNumberFormat="1" applyFont="1" applyAlignment="1">
      <alignment horizontal="center" shrinkToFit="1"/>
    </xf>
    <xf numFmtId="168" fontId="5" fillId="2" borderId="0" xfId="1" applyNumberFormat="1" applyFont="1" applyFill="1" applyAlignment="1">
      <alignment vertical="center" shrinkToFit="1"/>
    </xf>
    <xf numFmtId="0" fontId="2" fillId="0" borderId="0" xfId="1"/>
    <xf numFmtId="0" fontId="47" fillId="0" borderId="0" xfId="1" applyFont="1"/>
    <xf numFmtId="0" fontId="2" fillId="0" borderId="0" xfId="1" applyAlignment="1">
      <alignment horizontal="center"/>
    </xf>
    <xf numFmtId="0" fontId="48" fillId="0" borderId="0" xfId="1" applyFont="1"/>
    <xf numFmtId="0" fontId="49" fillId="2" borderId="0" xfId="1" applyFont="1" applyFill="1"/>
    <xf numFmtId="0" fontId="50" fillId="0" borderId="0" xfId="1" applyFont="1"/>
    <xf numFmtId="165" fontId="8" fillId="10" borderId="15" xfId="1" applyNumberFormat="1" applyFont="1" applyFill="1" applyBorder="1" applyAlignment="1">
      <alignment horizontal="right" vertical="center"/>
    </xf>
    <xf numFmtId="0" fontId="4" fillId="2" borderId="19" xfId="1" applyFont="1" applyFill="1" applyBorder="1" applyAlignment="1">
      <alignment vertical="center" wrapText="1" shrinkToFit="1"/>
    </xf>
    <xf numFmtId="0" fontId="51" fillId="2" borderId="0" xfId="1" applyFont="1" applyFill="1" applyAlignment="1">
      <alignment horizontal="left"/>
    </xf>
    <xf numFmtId="0" fontId="51" fillId="2" borderId="0" xfId="1" applyFont="1" applyFill="1"/>
    <xf numFmtId="0" fontId="51" fillId="2" borderId="0" xfId="1" applyFont="1" applyFill="1" applyAlignment="1">
      <alignment horizontal="center"/>
    </xf>
    <xf numFmtId="49" fontId="48" fillId="2" borderId="0" xfId="1" applyNumberFormat="1" applyFont="1" applyFill="1" applyAlignment="1">
      <alignment horizontal="center"/>
    </xf>
    <xf numFmtId="0" fontId="48" fillId="2" borderId="0" xfId="1" applyFont="1" applyFill="1" applyAlignment="1">
      <alignment horizontal="center"/>
    </xf>
    <xf numFmtId="174" fontId="48" fillId="2" borderId="0" xfId="1" applyNumberFormat="1" applyFont="1" applyFill="1" applyAlignment="1">
      <alignment horizontal="center"/>
    </xf>
    <xf numFmtId="0" fontId="51" fillId="0" borderId="0" xfId="1" applyFont="1"/>
    <xf numFmtId="0" fontId="51" fillId="2" borderId="0" xfId="1" applyFont="1" applyFill="1" applyAlignment="1">
      <alignment vertical="center"/>
    </xf>
    <xf numFmtId="0" fontId="52" fillId="13" borderId="34" xfId="2" applyFont="1" applyFill="1" applyBorder="1" applyAlignment="1">
      <alignment horizontal="left" vertical="center" wrapText="1"/>
    </xf>
    <xf numFmtId="0" fontId="53" fillId="13" borderId="34" xfId="2" applyFont="1" applyFill="1" applyBorder="1" applyAlignment="1">
      <alignment horizontal="center" vertical="center" wrapText="1"/>
    </xf>
    <xf numFmtId="0" fontId="55" fillId="14" borderId="0" xfId="2" applyFont="1" applyFill="1" applyAlignment="1">
      <alignment horizontal="center" vertical="center"/>
    </xf>
    <xf numFmtId="0" fontId="55" fillId="14" borderId="36" xfId="2" applyFont="1" applyFill="1" applyBorder="1" applyAlignment="1">
      <alignment horizontal="center" vertical="center"/>
    </xf>
    <xf numFmtId="0" fontId="31" fillId="2" borderId="38" xfId="2" applyFont="1" applyFill="1" applyBorder="1" applyAlignment="1">
      <alignment horizontal="left" vertical="center" wrapText="1"/>
    </xf>
    <xf numFmtId="4" fontId="4" fillId="2" borderId="38" xfId="2" applyNumberFormat="1" applyFont="1" applyFill="1" applyBorder="1" applyAlignment="1">
      <alignment horizontal="center" vertical="center"/>
    </xf>
    <xf numFmtId="4" fontId="4" fillId="2" borderId="40" xfId="2" applyNumberFormat="1" applyFont="1" applyFill="1" applyBorder="1" applyAlignment="1">
      <alignment horizontal="center" vertical="center"/>
    </xf>
    <xf numFmtId="4" fontId="4" fillId="2" borderId="41" xfId="2" applyNumberFormat="1" applyFont="1" applyFill="1" applyBorder="1" applyAlignment="1">
      <alignment horizontal="center" vertical="center"/>
    </xf>
    <xf numFmtId="0" fontId="31" fillId="2" borderId="43" xfId="2" applyFont="1" applyFill="1" applyBorder="1" applyAlignment="1">
      <alignment horizontal="left" vertical="center" wrapText="1"/>
    </xf>
    <xf numFmtId="4" fontId="4" fillId="2" borderId="43" xfId="2" applyNumberFormat="1" applyFont="1" applyFill="1" applyBorder="1" applyAlignment="1">
      <alignment horizontal="center" vertical="center"/>
    </xf>
    <xf numFmtId="4" fontId="4" fillId="2" borderId="45" xfId="2" applyNumberFormat="1" applyFont="1" applyFill="1" applyBorder="1" applyAlignment="1">
      <alignment horizontal="center" vertical="center"/>
    </xf>
    <xf numFmtId="4" fontId="4" fillId="2" borderId="47" xfId="2" applyNumberFormat="1" applyFont="1" applyFill="1" applyBorder="1" applyAlignment="1">
      <alignment horizontal="center" vertical="center"/>
    </xf>
    <xf numFmtId="4" fontId="4" fillId="2" borderId="49" xfId="2" applyNumberFormat="1" applyFont="1" applyFill="1" applyBorder="1" applyAlignment="1">
      <alignment horizontal="center" vertical="center"/>
    </xf>
    <xf numFmtId="4" fontId="4" fillId="2" borderId="50" xfId="2" applyNumberFormat="1" applyFont="1" applyFill="1" applyBorder="1" applyAlignment="1">
      <alignment horizontal="center" vertical="center"/>
    </xf>
    <xf numFmtId="0" fontId="56" fillId="2" borderId="52" xfId="2" applyFont="1" applyFill="1" applyBorder="1" applyAlignment="1">
      <alignment horizontal="left" vertical="center" wrapText="1"/>
    </xf>
    <xf numFmtId="0" fontId="31" fillId="2" borderId="21" xfId="2" applyFont="1" applyFill="1" applyBorder="1" applyAlignment="1">
      <alignment vertical="center" wrapText="1"/>
    </xf>
    <xf numFmtId="4" fontId="4" fillId="2" borderId="21" xfId="2" applyNumberFormat="1" applyFont="1" applyFill="1" applyBorder="1" applyAlignment="1">
      <alignment horizontal="center" vertical="center"/>
    </xf>
    <xf numFmtId="4" fontId="4" fillId="2" borderId="53" xfId="2" applyNumberFormat="1" applyFont="1" applyFill="1" applyBorder="1" applyAlignment="1">
      <alignment horizontal="center" vertical="center"/>
    </xf>
    <xf numFmtId="0" fontId="56" fillId="2" borderId="37" xfId="2" applyFont="1" applyFill="1" applyBorder="1" applyAlignment="1">
      <alignment horizontal="left" vertical="center" wrapText="1"/>
    </xf>
    <xf numFmtId="0" fontId="31" fillId="2" borderId="38" xfId="2" applyFont="1" applyFill="1" applyBorder="1" applyAlignment="1">
      <alignment vertical="center" wrapText="1"/>
    </xf>
    <xf numFmtId="4" fontId="4" fillId="2" borderId="55" xfId="2" applyNumberFormat="1" applyFont="1" applyFill="1" applyBorder="1" applyAlignment="1">
      <alignment horizontal="center" vertical="center"/>
    </xf>
    <xf numFmtId="0" fontId="31" fillId="2" borderId="21" xfId="2" applyFont="1" applyFill="1" applyBorder="1" applyAlignment="1">
      <alignment horizontal="left" vertical="center" wrapText="1"/>
    </xf>
    <xf numFmtId="4" fontId="4" fillId="2" borderId="39" xfId="2" applyNumberFormat="1" applyFont="1" applyFill="1" applyBorder="1" applyAlignment="1">
      <alignment horizontal="center" vertical="center"/>
    </xf>
    <xf numFmtId="4" fontId="4" fillId="2" borderId="61" xfId="2" applyNumberFormat="1" applyFont="1" applyFill="1" applyBorder="1" applyAlignment="1">
      <alignment horizontal="center" vertical="center"/>
    </xf>
    <xf numFmtId="0" fontId="56" fillId="2" borderId="52" xfId="2" applyFont="1" applyFill="1" applyBorder="1" applyAlignment="1">
      <alignment horizontal="left" vertical="top" wrapText="1"/>
    </xf>
    <xf numFmtId="0" fontId="31" fillId="2" borderId="21" xfId="2" applyFont="1" applyFill="1" applyBorder="1" applyAlignment="1">
      <alignment horizontal="left" vertical="top" wrapText="1"/>
    </xf>
    <xf numFmtId="0" fontId="51" fillId="2" borderId="1" xfId="1" applyFont="1" applyFill="1" applyBorder="1"/>
    <xf numFmtId="0" fontId="56" fillId="2" borderId="21" xfId="2" applyFont="1" applyFill="1" applyBorder="1" applyAlignment="1">
      <alignment horizontal="left" vertical="center" wrapText="1"/>
    </xf>
    <xf numFmtId="4" fontId="4" fillId="2" borderId="22" xfId="2" applyNumberFormat="1" applyFont="1" applyFill="1" applyBorder="1" applyAlignment="1">
      <alignment horizontal="center" vertical="center"/>
    </xf>
    <xf numFmtId="4" fontId="53" fillId="15" borderId="44" xfId="2" applyNumberFormat="1" applyFont="1" applyFill="1" applyBorder="1" applyAlignment="1">
      <alignment horizontal="center" vertical="center"/>
    </xf>
    <xf numFmtId="0" fontId="57" fillId="2" borderId="0" xfId="1" applyFont="1" applyFill="1"/>
    <xf numFmtId="4" fontId="4" fillId="4" borderId="44" xfId="2" applyNumberFormat="1" applyFont="1" applyFill="1" applyBorder="1" applyAlignment="1">
      <alignment horizontal="center" vertical="center"/>
    </xf>
    <xf numFmtId="4" fontId="6" fillId="4" borderId="44" xfId="2" applyNumberFormat="1" applyFont="1" applyFill="1" applyBorder="1" applyAlignment="1">
      <alignment horizontal="center" vertical="center"/>
    </xf>
    <xf numFmtId="0" fontId="31" fillId="2" borderId="0" xfId="2" applyFont="1" applyFill="1" applyAlignment="1">
      <alignment horizontal="left" vertical="center" wrapText="1"/>
    </xf>
    <xf numFmtId="0" fontId="31" fillId="2" borderId="0" xfId="2" applyFont="1" applyFill="1" applyAlignment="1">
      <alignment vertical="center" wrapText="1"/>
    </xf>
    <xf numFmtId="0" fontId="31" fillId="2" borderId="0" xfId="2" applyFont="1" applyFill="1" applyAlignment="1">
      <alignment horizontal="center" vertical="center" wrapText="1"/>
    </xf>
    <xf numFmtId="4" fontId="4" fillId="2" borderId="0" xfId="2" applyNumberFormat="1" applyFont="1" applyFill="1" applyAlignment="1">
      <alignment horizontal="center" vertical="center"/>
    </xf>
    <xf numFmtId="0" fontId="55" fillId="14" borderId="65" xfId="2" applyFont="1" applyFill="1" applyBorder="1" applyAlignment="1">
      <alignment horizontal="center" vertical="center"/>
    </xf>
    <xf numFmtId="0" fontId="55" fillId="14" borderId="66" xfId="2" applyFont="1" applyFill="1" applyBorder="1" applyAlignment="1">
      <alignment horizontal="center" vertical="center"/>
    </xf>
    <xf numFmtId="0" fontId="58" fillId="2" borderId="52" xfId="2" applyFont="1" applyFill="1" applyBorder="1" applyAlignment="1">
      <alignment horizontal="left" vertical="center" wrapText="1"/>
    </xf>
    <xf numFmtId="0" fontId="5" fillId="2" borderId="21" xfId="2" applyFont="1" applyFill="1" applyBorder="1" applyAlignment="1">
      <alignment vertical="center" wrapText="1"/>
    </xf>
    <xf numFmtId="4" fontId="59" fillId="2" borderId="21" xfId="2" applyNumberFormat="1" applyFont="1" applyFill="1" applyBorder="1" applyAlignment="1">
      <alignment horizontal="center" vertical="center"/>
    </xf>
    <xf numFmtId="4" fontId="59" fillId="2" borderId="53" xfId="2" applyNumberFormat="1" applyFont="1" applyFill="1" applyBorder="1" applyAlignment="1">
      <alignment horizontal="center" vertical="center"/>
    </xf>
    <xf numFmtId="0" fontId="60" fillId="2" borderId="0" xfId="1" applyFont="1" applyFill="1"/>
    <xf numFmtId="4" fontId="59" fillId="2" borderId="39" xfId="2" applyNumberFormat="1" applyFont="1" applyFill="1" applyBorder="1" applyAlignment="1">
      <alignment horizontal="center" vertical="center"/>
    </xf>
    <xf numFmtId="0" fontId="60" fillId="0" borderId="0" xfId="1" applyFont="1"/>
    <xf numFmtId="4" fontId="4" fillId="2" borderId="44" xfId="2" applyNumberFormat="1" applyFont="1" applyFill="1" applyBorder="1" applyAlignment="1">
      <alignment horizontal="center" vertical="center"/>
    </xf>
    <xf numFmtId="4" fontId="59" fillId="2" borderId="44" xfId="2" applyNumberFormat="1" applyFont="1" applyFill="1" applyBorder="1" applyAlignment="1">
      <alignment horizontal="center" vertical="center"/>
    </xf>
    <xf numFmtId="4" fontId="59" fillId="2" borderId="50" xfId="2" applyNumberFormat="1" applyFont="1" applyFill="1" applyBorder="1" applyAlignment="1">
      <alignment horizontal="center" vertical="center"/>
    </xf>
    <xf numFmtId="4" fontId="59" fillId="2" borderId="67" xfId="2" applyNumberFormat="1" applyFont="1" applyFill="1" applyBorder="1" applyAlignment="1">
      <alignment horizontal="center" vertical="center"/>
    </xf>
    <xf numFmtId="0" fontId="56" fillId="2" borderId="43" xfId="2" applyFont="1" applyFill="1" applyBorder="1" applyAlignment="1">
      <alignment horizontal="left" vertical="center" wrapText="1"/>
    </xf>
    <xf numFmtId="4" fontId="59" fillId="2" borderId="43" xfId="2" applyNumberFormat="1" applyFont="1" applyFill="1" applyBorder="1" applyAlignment="1">
      <alignment horizontal="center" vertical="center"/>
    </xf>
    <xf numFmtId="4" fontId="53" fillId="15" borderId="70" xfId="2" applyNumberFormat="1" applyFont="1" applyFill="1" applyBorder="1" applyAlignment="1">
      <alignment horizontal="center" vertical="center"/>
    </xf>
    <xf numFmtId="2" fontId="48" fillId="2" borderId="0" xfId="1" applyNumberFormat="1" applyFont="1" applyFill="1" applyAlignment="1">
      <alignment horizontal="center"/>
    </xf>
    <xf numFmtId="0" fontId="2" fillId="2" borderId="0" xfId="1" applyFill="1"/>
    <xf numFmtId="0" fontId="55" fillId="14" borderId="69" xfId="2" applyFont="1" applyFill="1" applyBorder="1" applyAlignment="1">
      <alignment horizontal="center" vertical="center"/>
    </xf>
    <xf numFmtId="0" fontId="55" fillId="14" borderId="71" xfId="2" applyFont="1" applyFill="1" applyBorder="1" applyAlignment="1">
      <alignment horizontal="center" vertical="center"/>
    </xf>
    <xf numFmtId="0" fontId="56" fillId="2" borderId="47" xfId="2" applyFont="1" applyFill="1" applyBorder="1" applyAlignment="1">
      <alignment horizontal="left" vertical="center" wrapText="1"/>
    </xf>
    <xf numFmtId="0" fontId="56" fillId="2" borderId="70" xfId="2" applyFont="1" applyFill="1" applyBorder="1" applyAlignment="1">
      <alignment horizontal="left" vertical="center" wrapText="1"/>
    </xf>
    <xf numFmtId="4" fontId="4" fillId="2" borderId="70" xfId="2" applyNumberFormat="1" applyFont="1" applyFill="1" applyBorder="1" applyAlignment="1">
      <alignment horizontal="center" vertical="center"/>
    </xf>
    <xf numFmtId="0" fontId="31" fillId="2" borderId="47" xfId="2" applyFont="1" applyFill="1" applyBorder="1" applyAlignment="1">
      <alignment vertical="center" wrapText="1"/>
    </xf>
    <xf numFmtId="0" fontId="31" fillId="2" borderId="43" xfId="2" applyFont="1" applyFill="1" applyBorder="1" applyAlignment="1">
      <alignment vertical="center" wrapText="1"/>
    </xf>
    <xf numFmtId="0" fontId="31" fillId="2" borderId="70" xfId="2" applyFont="1" applyFill="1" applyBorder="1" applyAlignment="1">
      <alignment vertical="center" wrapText="1"/>
    </xf>
    <xf numFmtId="4" fontId="4" fillId="2" borderId="72" xfId="2" applyNumberFormat="1" applyFont="1" applyFill="1" applyBorder="1" applyAlignment="1">
      <alignment horizontal="center" vertical="center"/>
    </xf>
    <xf numFmtId="0" fontId="61" fillId="2" borderId="55" xfId="738" applyFont="1" applyFill="1" applyBorder="1" applyAlignment="1">
      <alignment horizontal="left" vertical="center" wrapText="1" shrinkToFit="1"/>
    </xf>
    <xf numFmtId="49" fontId="61" fillId="0" borderId="55" xfId="747" applyNumberFormat="1" applyFont="1" applyBorder="1" applyAlignment="1">
      <alignment horizontal="center" vertical="center" wrapText="1"/>
    </xf>
    <xf numFmtId="4" fontId="62" fillId="3" borderId="55" xfId="970" applyNumberFormat="1" applyFont="1" applyFill="1" applyBorder="1" applyAlignment="1">
      <alignment horizontal="right" vertical="center" wrapText="1"/>
    </xf>
    <xf numFmtId="0" fontId="56" fillId="2" borderId="55" xfId="2" applyFont="1" applyFill="1" applyBorder="1" applyAlignment="1">
      <alignment horizontal="left" vertical="center" wrapText="1"/>
    </xf>
    <xf numFmtId="4" fontId="4" fillId="2" borderId="57" xfId="2" applyNumberFormat="1" applyFont="1" applyFill="1" applyBorder="1" applyAlignment="1">
      <alignment horizontal="center" vertical="center"/>
    </xf>
    <xf numFmtId="49" fontId="61" fillId="2" borderId="57" xfId="747" applyNumberFormat="1" applyFont="1" applyFill="1" applyBorder="1" applyAlignment="1">
      <alignment horizontal="left" vertical="center" wrapText="1"/>
    </xf>
    <xf numFmtId="49" fontId="61" fillId="0" borderId="57" xfId="747" applyNumberFormat="1" applyFont="1" applyBorder="1" applyAlignment="1">
      <alignment horizontal="center" vertical="center" wrapText="1"/>
    </xf>
    <xf numFmtId="4" fontId="62" fillId="3" borderId="57" xfId="970" applyNumberFormat="1" applyFont="1" applyFill="1" applyBorder="1" applyAlignment="1">
      <alignment horizontal="right" vertical="center" wrapText="1"/>
    </xf>
    <xf numFmtId="49" fontId="61" fillId="0" borderId="57" xfId="747" applyNumberFormat="1" applyFont="1" applyBorder="1" applyAlignment="1">
      <alignment horizontal="left" vertical="center" wrapText="1"/>
    </xf>
    <xf numFmtId="4" fontId="4" fillId="2" borderId="73" xfId="2" applyNumberFormat="1" applyFont="1" applyFill="1" applyBorder="1" applyAlignment="1">
      <alignment horizontal="center" vertical="center"/>
    </xf>
    <xf numFmtId="49" fontId="61" fillId="0" borderId="73" xfId="747" applyNumberFormat="1" applyFont="1" applyBorder="1" applyAlignment="1">
      <alignment horizontal="left" vertical="center" wrapText="1"/>
    </xf>
    <xf numFmtId="49" fontId="61" fillId="0" borderId="73" xfId="747" applyNumberFormat="1" applyFont="1" applyBorder="1" applyAlignment="1">
      <alignment horizontal="center" vertical="center" wrapText="1"/>
    </xf>
    <xf numFmtId="4" fontId="62" fillId="3" borderId="73" xfId="970" applyNumberFormat="1" applyFont="1" applyFill="1" applyBorder="1" applyAlignment="1">
      <alignment horizontal="right" vertical="center" wrapText="1"/>
    </xf>
    <xf numFmtId="49" fontId="61" fillId="0" borderId="72" xfId="747" applyNumberFormat="1" applyFont="1" applyBorder="1" applyAlignment="1">
      <alignment horizontal="left" vertical="center" wrapText="1"/>
    </xf>
    <xf numFmtId="49" fontId="61" fillId="0" borderId="72" xfId="747" applyNumberFormat="1" applyFont="1" applyBorder="1" applyAlignment="1">
      <alignment horizontal="center" vertical="center" wrapText="1"/>
    </xf>
    <xf numFmtId="4" fontId="62" fillId="3" borderId="72" xfId="970" applyNumberFormat="1" applyFont="1" applyFill="1" applyBorder="1" applyAlignment="1">
      <alignment horizontal="right" vertical="center" wrapText="1"/>
    </xf>
    <xf numFmtId="4" fontId="51" fillId="0" borderId="0" xfId="1" applyNumberFormat="1" applyFont="1"/>
    <xf numFmtId="0" fontId="31" fillId="2" borderId="55" xfId="2" applyFont="1" applyFill="1" applyBorder="1" applyAlignment="1">
      <alignment horizontal="left" vertical="center" wrapText="1"/>
    </xf>
    <xf numFmtId="0" fontId="31" fillId="2" borderId="47" xfId="2" applyFont="1" applyFill="1" applyBorder="1" applyAlignment="1">
      <alignment horizontal="left" vertical="center" wrapText="1"/>
    </xf>
    <xf numFmtId="0" fontId="56" fillId="2" borderId="44" xfId="2" applyFont="1" applyFill="1" applyBorder="1" applyAlignment="1">
      <alignment horizontal="left" vertical="center" wrapText="1"/>
    </xf>
    <xf numFmtId="0" fontId="31" fillId="2" borderId="44" xfId="2" applyFont="1" applyFill="1" applyBorder="1" applyAlignment="1">
      <alignment vertical="center" wrapText="1"/>
    </xf>
    <xf numFmtId="0" fontId="56" fillId="2" borderId="47" xfId="2" applyFont="1" applyFill="1" applyBorder="1" applyAlignment="1">
      <alignment horizontal="left" vertical="top" wrapText="1"/>
    </xf>
    <xf numFmtId="0" fontId="31" fillId="2" borderId="47" xfId="2" applyFont="1" applyFill="1" applyBorder="1" applyAlignment="1">
      <alignment horizontal="left" vertical="top" wrapText="1"/>
    </xf>
    <xf numFmtId="0" fontId="31" fillId="2" borderId="65" xfId="2" applyFont="1" applyFill="1" applyBorder="1" applyAlignment="1">
      <alignment horizontal="left" vertical="center" wrapText="1"/>
    </xf>
    <xf numFmtId="0" fontId="31" fillId="2" borderId="65" xfId="2" applyFont="1" applyFill="1" applyBorder="1" applyAlignment="1">
      <alignment vertical="center" wrapText="1"/>
    </xf>
    <xf numFmtId="0" fontId="31" fillId="2" borderId="65" xfId="2" applyFont="1" applyFill="1" applyBorder="1" applyAlignment="1">
      <alignment horizontal="center" vertical="center" wrapText="1"/>
    </xf>
    <xf numFmtId="4" fontId="4" fillId="2" borderId="65" xfId="2" applyNumberFormat="1" applyFont="1" applyFill="1" applyBorder="1" applyAlignment="1">
      <alignment horizontal="center" vertical="center"/>
    </xf>
    <xf numFmtId="0" fontId="55" fillId="14" borderId="63" xfId="2" applyFont="1" applyFill="1" applyBorder="1" applyAlignment="1">
      <alignment horizontal="center" vertical="center"/>
    </xf>
    <xf numFmtId="0" fontId="55" fillId="14" borderId="74" xfId="2" applyFont="1" applyFill="1" applyBorder="1" applyAlignment="1">
      <alignment horizontal="center" vertical="center"/>
    </xf>
    <xf numFmtId="0" fontId="58" fillId="2" borderId="44" xfId="2" applyFont="1" applyFill="1" applyBorder="1" applyAlignment="1">
      <alignment horizontal="left" vertical="center" wrapText="1"/>
    </xf>
    <xf numFmtId="0" fontId="5" fillId="2" borderId="44" xfId="2" applyFont="1" applyFill="1" applyBorder="1" applyAlignment="1">
      <alignment vertical="center" wrapText="1"/>
    </xf>
    <xf numFmtId="0" fontId="51" fillId="2" borderId="47" xfId="1" applyFont="1" applyFill="1" applyBorder="1" applyAlignment="1">
      <alignment horizontal="left" vertical="center"/>
    </xf>
    <xf numFmtId="0" fontId="56" fillId="2" borderId="47" xfId="2" applyFont="1" applyFill="1" applyBorder="1" applyAlignment="1">
      <alignment horizontal="center" vertical="center" wrapText="1"/>
    </xf>
    <xf numFmtId="4" fontId="4" fillId="4" borderId="43" xfId="2" applyNumberFormat="1" applyFont="1" applyFill="1" applyBorder="1" applyAlignment="1">
      <alignment horizontal="center" vertical="center"/>
    </xf>
    <xf numFmtId="0" fontId="63" fillId="2" borderId="0" xfId="1" applyFont="1" applyFill="1"/>
    <xf numFmtId="49" fontId="64" fillId="2" borderId="0" xfId="1" applyNumberFormat="1" applyFont="1" applyFill="1" applyAlignment="1">
      <alignment horizontal="center"/>
    </xf>
    <xf numFmtId="0" fontId="63" fillId="2" borderId="0" xfId="1" applyFont="1" applyFill="1" applyAlignment="1">
      <alignment vertical="center"/>
    </xf>
    <xf numFmtId="0" fontId="52" fillId="13" borderId="34" xfId="2" applyFont="1" applyFill="1" applyBorder="1" applyAlignment="1">
      <alignment horizontal="center" vertical="center" wrapText="1"/>
    </xf>
    <xf numFmtId="0" fontId="65" fillId="2" borderId="0" xfId="1" applyFont="1" applyFill="1"/>
    <xf numFmtId="0" fontId="66" fillId="14" borderId="69" xfId="2" applyFont="1" applyFill="1" applyBorder="1" applyAlignment="1">
      <alignment horizontal="center" vertical="center"/>
    </xf>
    <xf numFmtId="0" fontId="66" fillId="14" borderId="71" xfId="2" applyFont="1" applyFill="1" applyBorder="1" applyAlignment="1">
      <alignment horizontal="center" vertical="center"/>
    </xf>
    <xf numFmtId="0" fontId="65" fillId="0" borderId="0" xfId="1" applyFont="1"/>
    <xf numFmtId="0" fontId="56" fillId="2" borderId="70" xfId="2" applyFont="1" applyFill="1" applyBorder="1" applyAlignment="1">
      <alignment vertical="center" wrapText="1"/>
    </xf>
    <xf numFmtId="49" fontId="67" fillId="0" borderId="55" xfId="747" applyNumberFormat="1" applyFont="1" applyBorder="1" applyAlignment="1">
      <alignment horizontal="center" vertical="center" wrapText="1"/>
    </xf>
    <xf numFmtId="4" fontId="68" fillId="3" borderId="55" xfId="970" applyNumberFormat="1" applyFont="1" applyFill="1" applyBorder="1" applyAlignment="1">
      <alignment horizontal="right" vertical="center" wrapText="1"/>
    </xf>
    <xf numFmtId="0" fontId="56" fillId="2" borderId="55" xfId="2" applyFont="1" applyFill="1" applyBorder="1" applyAlignment="1">
      <alignment horizontal="center" vertical="center" wrapText="1"/>
    </xf>
    <xf numFmtId="49" fontId="67" fillId="2" borderId="57" xfId="747" applyNumberFormat="1" applyFont="1" applyFill="1" applyBorder="1" applyAlignment="1">
      <alignment horizontal="left" vertical="center" wrapText="1"/>
    </xf>
    <xf numFmtId="49" fontId="67" fillId="0" borderId="57" xfId="747" applyNumberFormat="1" applyFont="1" applyBorder="1" applyAlignment="1">
      <alignment horizontal="center" vertical="center" wrapText="1"/>
    </xf>
    <xf numFmtId="4" fontId="68" fillId="3" borderId="57" xfId="970" applyNumberFormat="1" applyFont="1" applyFill="1" applyBorder="1" applyAlignment="1">
      <alignment horizontal="right" vertical="center" wrapText="1"/>
    </xf>
    <xf numFmtId="49" fontId="67" fillId="0" borderId="57" xfId="747" applyNumberFormat="1" applyFont="1" applyBorder="1" applyAlignment="1">
      <alignment horizontal="left" vertical="center" wrapText="1"/>
    </xf>
    <xf numFmtId="49" fontId="67" fillId="0" borderId="72" xfId="747" applyNumberFormat="1" applyFont="1" applyBorder="1" applyAlignment="1">
      <alignment horizontal="left" vertical="center" wrapText="1"/>
    </xf>
    <xf numFmtId="49" fontId="67" fillId="0" borderId="72" xfId="747" applyNumberFormat="1" applyFont="1" applyBorder="1" applyAlignment="1">
      <alignment horizontal="center" vertical="center" wrapText="1"/>
    </xf>
    <xf numFmtId="4" fontId="68" fillId="3" borderId="72" xfId="970" applyNumberFormat="1" applyFont="1" applyFill="1" applyBorder="1" applyAlignment="1">
      <alignment horizontal="right" vertical="center" wrapText="1"/>
    </xf>
    <xf numFmtId="0" fontId="56" fillId="2" borderId="47" xfId="2" applyFont="1" applyFill="1" applyBorder="1" applyAlignment="1">
      <alignment vertical="center" wrapText="1"/>
    </xf>
    <xf numFmtId="0" fontId="63" fillId="0" borderId="0" xfId="1" applyFont="1"/>
    <xf numFmtId="0" fontId="56" fillId="2" borderId="44" xfId="2" applyFont="1" applyFill="1" applyBorder="1" applyAlignment="1">
      <alignment horizontal="center" vertical="center" wrapText="1"/>
    </xf>
    <xf numFmtId="0" fontId="69" fillId="2" borderId="0" xfId="1" applyFont="1" applyFill="1"/>
    <xf numFmtId="0" fontId="69" fillId="0" borderId="0" xfId="1" applyFont="1"/>
    <xf numFmtId="0" fontId="56" fillId="2" borderId="43" xfId="2" applyFont="1" applyFill="1" applyBorder="1" applyAlignment="1">
      <alignment vertical="center" wrapText="1"/>
    </xf>
    <xf numFmtId="0" fontId="70" fillId="2" borderId="0" xfId="1" applyFont="1" applyFill="1"/>
    <xf numFmtId="0" fontId="70" fillId="0" borderId="0" xfId="1" applyFont="1"/>
    <xf numFmtId="4" fontId="63" fillId="0" borderId="0" xfId="1" applyNumberFormat="1" applyFont="1"/>
    <xf numFmtId="0" fontId="66" fillId="14" borderId="63" xfId="2" applyFont="1" applyFill="1" applyBorder="1" applyAlignment="1">
      <alignment horizontal="center" vertical="center"/>
    </xf>
    <xf numFmtId="0" fontId="66" fillId="14" borderId="74" xfId="2" applyFont="1" applyFill="1" applyBorder="1" applyAlignment="1">
      <alignment horizontal="center" vertical="center"/>
    </xf>
    <xf numFmtId="0" fontId="58" fillId="2" borderId="44" xfId="2" applyFont="1" applyFill="1" applyBorder="1" applyAlignment="1">
      <alignment horizontal="center" vertical="center" wrapText="1"/>
    </xf>
    <xf numFmtId="4" fontId="71" fillId="2" borderId="44" xfId="2" applyNumberFormat="1" applyFont="1" applyFill="1" applyBorder="1" applyAlignment="1">
      <alignment horizontal="center" vertical="center"/>
    </xf>
    <xf numFmtId="0" fontId="72" fillId="2" borderId="0" xfId="1" applyFont="1" applyFill="1"/>
    <xf numFmtId="0" fontId="72" fillId="0" borderId="0" xfId="1" applyFont="1"/>
    <xf numFmtId="0" fontId="73" fillId="2" borderId="0" xfId="1" applyFont="1" applyFill="1"/>
    <xf numFmtId="0" fontId="73" fillId="0" borderId="0" xfId="1" applyFont="1"/>
    <xf numFmtId="4" fontId="74" fillId="2" borderId="44" xfId="2" applyNumberFormat="1" applyFont="1" applyFill="1" applyBorder="1" applyAlignment="1">
      <alignment horizontal="center" vertical="center"/>
    </xf>
    <xf numFmtId="4" fontId="27" fillId="2" borderId="47" xfId="2" applyNumberFormat="1" applyFont="1" applyFill="1" applyBorder="1" applyAlignment="1">
      <alignment horizontal="center" vertical="center"/>
    </xf>
    <xf numFmtId="4" fontId="27" fillId="2" borderId="55" xfId="2" applyNumberFormat="1" applyFont="1" applyFill="1" applyBorder="1" applyAlignment="1">
      <alignment horizontal="center" vertical="center"/>
    </xf>
    <xf numFmtId="4" fontId="27" fillId="2" borderId="57" xfId="2" applyNumberFormat="1" applyFont="1" applyFill="1" applyBorder="1" applyAlignment="1">
      <alignment horizontal="center" vertical="center"/>
    </xf>
    <xf numFmtId="4" fontId="27" fillId="2" borderId="44" xfId="2" applyNumberFormat="1" applyFont="1" applyFill="1" applyBorder="1" applyAlignment="1">
      <alignment horizontal="center" vertical="center"/>
    </xf>
    <xf numFmtId="4" fontId="75" fillId="2" borderId="72" xfId="2" applyNumberFormat="1" applyFont="1" applyFill="1" applyBorder="1" applyAlignment="1">
      <alignment horizontal="center" vertical="center"/>
    </xf>
    <xf numFmtId="0" fontId="28" fillId="3" borderId="26" xfId="1" applyFont="1" applyFill="1" applyBorder="1" applyAlignment="1">
      <alignment horizontal="center" vertical="center" shrinkToFit="1"/>
    </xf>
    <xf numFmtId="0" fontId="28" fillId="3" borderId="27" xfId="1" applyFont="1" applyFill="1" applyBorder="1" applyAlignment="1">
      <alignment horizontal="center" vertical="center" shrinkToFit="1"/>
    </xf>
    <xf numFmtId="165" fontId="30" fillId="3" borderId="29" xfId="1" applyNumberFormat="1" applyFont="1" applyFill="1" applyBorder="1" applyAlignment="1">
      <alignment horizontal="center" vertical="center"/>
    </xf>
    <xf numFmtId="165" fontId="30" fillId="3" borderId="30" xfId="1" applyNumberFormat="1" applyFont="1" applyFill="1" applyBorder="1" applyAlignment="1">
      <alignment horizontal="center" vertical="center"/>
    </xf>
    <xf numFmtId="165" fontId="30" fillId="3" borderId="28" xfId="1" applyNumberFormat="1" applyFont="1" applyFill="1" applyBorder="1" applyAlignment="1">
      <alignment horizontal="center" vertical="center"/>
    </xf>
    <xf numFmtId="168" fontId="8" fillId="9" borderId="1" xfId="1" applyNumberFormat="1" applyFont="1" applyFill="1" applyBorder="1" applyAlignment="1">
      <alignment horizontal="center" vertical="center" shrinkToFit="1"/>
    </xf>
    <xf numFmtId="168" fontId="8" fillId="9" borderId="2" xfId="1" applyNumberFormat="1" applyFont="1" applyFill="1" applyBorder="1" applyAlignment="1">
      <alignment horizontal="center" vertical="center" shrinkToFit="1"/>
    </xf>
    <xf numFmtId="168" fontId="8" fillId="9" borderId="20" xfId="1" applyNumberFormat="1" applyFont="1" applyFill="1" applyBorder="1" applyAlignment="1">
      <alignment horizontal="center" vertical="center" shrinkToFit="1"/>
    </xf>
    <xf numFmtId="0" fontId="10" fillId="11" borderId="1" xfId="1" applyFont="1" applyFill="1" applyBorder="1" applyAlignment="1">
      <alignment horizontal="center" vertical="center" shrinkToFit="1"/>
    </xf>
    <xf numFmtId="0" fontId="10" fillId="11" borderId="3" xfId="1" applyFont="1" applyFill="1" applyBorder="1" applyAlignment="1">
      <alignment horizontal="center" vertical="center" shrinkToFit="1"/>
    </xf>
    <xf numFmtId="168" fontId="8" fillId="11" borderId="1" xfId="1" applyNumberFormat="1" applyFont="1" applyFill="1" applyBorder="1" applyAlignment="1">
      <alignment horizontal="center" vertical="center" shrinkToFit="1"/>
    </xf>
    <xf numFmtId="168" fontId="8" fillId="11" borderId="2" xfId="1" applyNumberFormat="1" applyFont="1" applyFill="1" applyBorder="1" applyAlignment="1">
      <alignment horizontal="center" vertical="center" shrinkToFit="1"/>
    </xf>
    <xf numFmtId="168" fontId="8" fillId="11" borderId="20" xfId="1" applyNumberFormat="1" applyFont="1" applyFill="1" applyBorder="1" applyAlignment="1">
      <alignment horizontal="center" vertical="center" shrinkToFit="1"/>
    </xf>
    <xf numFmtId="168" fontId="8" fillId="10" borderId="22" xfId="1" applyNumberFormat="1" applyFont="1" applyFill="1" applyBorder="1" applyAlignment="1">
      <alignment horizontal="center" vertical="center" shrinkToFit="1"/>
    </xf>
    <xf numFmtId="168" fontId="8" fillId="10" borderId="2" xfId="1" applyNumberFormat="1" applyFont="1" applyFill="1" applyBorder="1" applyAlignment="1">
      <alignment horizontal="center" vertical="center" shrinkToFit="1"/>
    </xf>
    <xf numFmtId="168" fontId="8" fillId="10" borderId="20" xfId="1" applyNumberFormat="1" applyFont="1" applyFill="1" applyBorder="1" applyAlignment="1">
      <alignment horizontal="center" vertical="center" shrinkToFit="1"/>
    </xf>
    <xf numFmtId="168" fontId="8" fillId="10" borderId="3" xfId="1" applyNumberFormat="1" applyFont="1" applyFill="1" applyBorder="1" applyAlignment="1">
      <alignment horizontal="center" vertical="center" shrinkToFit="1"/>
    </xf>
    <xf numFmtId="168" fontId="8" fillId="2" borderId="1" xfId="1" applyNumberFormat="1" applyFont="1" applyFill="1" applyBorder="1" applyAlignment="1">
      <alignment horizontal="center" vertical="center" shrinkToFit="1"/>
    </xf>
    <xf numFmtId="168" fontId="8" fillId="2" borderId="2" xfId="1" applyNumberFormat="1" applyFont="1" applyFill="1" applyBorder="1" applyAlignment="1">
      <alignment horizontal="center" vertical="center" shrinkToFit="1"/>
    </xf>
    <xf numFmtId="168" fontId="8" fillId="2" borderId="3" xfId="1" applyNumberFormat="1" applyFont="1" applyFill="1" applyBorder="1" applyAlignment="1">
      <alignment horizontal="center" vertical="center" shrinkToFit="1"/>
    </xf>
    <xf numFmtId="168" fontId="8" fillId="8" borderId="1" xfId="1" applyNumberFormat="1" applyFont="1" applyFill="1" applyBorder="1" applyAlignment="1">
      <alignment horizontal="center" vertical="center" shrinkToFit="1"/>
    </xf>
    <xf numFmtId="168" fontId="8" fillId="8" borderId="2" xfId="1" applyNumberFormat="1" applyFont="1" applyFill="1" applyBorder="1" applyAlignment="1">
      <alignment horizontal="center" vertical="center" shrinkToFit="1"/>
    </xf>
    <xf numFmtId="168" fontId="8" fillId="8" borderId="3" xfId="1" applyNumberFormat="1" applyFont="1" applyFill="1" applyBorder="1" applyAlignment="1">
      <alignment horizontal="center" vertical="center" shrinkToFit="1"/>
    </xf>
    <xf numFmtId="168" fontId="8" fillId="2" borderId="16" xfId="1" applyNumberFormat="1" applyFont="1" applyFill="1" applyBorder="1" applyAlignment="1">
      <alignment horizontal="center" vertical="center" shrinkToFit="1"/>
    </xf>
    <xf numFmtId="168" fontId="8" fillId="2" borderId="17" xfId="1" applyNumberFormat="1" applyFont="1" applyFill="1" applyBorder="1" applyAlignment="1">
      <alignment horizontal="center" vertical="center" shrinkToFit="1"/>
    </xf>
    <xf numFmtId="168" fontId="8" fillId="2" borderId="18" xfId="1" applyNumberFormat="1" applyFont="1" applyFill="1" applyBorder="1" applyAlignment="1">
      <alignment horizontal="center" vertical="center" shrinkToFit="1"/>
    </xf>
    <xf numFmtId="168" fontId="4" fillId="2" borderId="1" xfId="1" applyNumberFormat="1" applyFont="1" applyFill="1" applyBorder="1" applyAlignment="1">
      <alignment horizontal="center" vertical="center" shrinkToFit="1"/>
    </xf>
    <xf numFmtId="168" fontId="4" fillId="2" borderId="2" xfId="1" applyNumberFormat="1" applyFont="1" applyFill="1" applyBorder="1" applyAlignment="1">
      <alignment horizontal="center" vertical="center" shrinkToFit="1"/>
    </xf>
    <xf numFmtId="168" fontId="4" fillId="2" borderId="3" xfId="1" applyNumberFormat="1" applyFont="1" applyFill="1" applyBorder="1" applyAlignment="1">
      <alignment horizontal="center" vertical="center" shrinkToFit="1"/>
    </xf>
    <xf numFmtId="165" fontId="8" fillId="2" borderId="23" xfId="1" applyNumberFormat="1" applyFont="1" applyFill="1" applyBorder="1" applyAlignment="1">
      <alignment horizontal="center" vertical="center"/>
    </xf>
    <xf numFmtId="165" fontId="8" fillId="2" borderId="24" xfId="1" applyNumberFormat="1" applyFont="1" applyFill="1" applyBorder="1" applyAlignment="1">
      <alignment horizontal="center" vertical="center"/>
    </xf>
    <xf numFmtId="165" fontId="8" fillId="2" borderId="25" xfId="1" applyNumberFormat="1" applyFont="1" applyFill="1" applyBorder="1" applyAlignment="1">
      <alignment horizontal="center" vertical="center"/>
    </xf>
    <xf numFmtId="166" fontId="8" fillId="4" borderId="1" xfId="2" applyNumberFormat="1" applyFont="1" applyFill="1" applyBorder="1" applyAlignment="1">
      <alignment horizontal="center" vertical="center" shrinkToFit="1"/>
    </xf>
    <xf numFmtId="166" fontId="8" fillId="4" borderId="2" xfId="2" applyNumberFormat="1" applyFont="1" applyFill="1" applyBorder="1" applyAlignment="1">
      <alignment horizontal="center" vertical="center" shrinkToFit="1"/>
    </xf>
    <xf numFmtId="0" fontId="10" fillId="9" borderId="1" xfId="1" applyFont="1" applyFill="1" applyBorder="1" applyAlignment="1">
      <alignment horizontal="center" vertical="center" shrinkToFit="1"/>
    </xf>
    <xf numFmtId="0" fontId="10" fillId="9" borderId="3" xfId="1" applyFont="1" applyFill="1" applyBorder="1" applyAlignment="1">
      <alignment horizontal="center" vertical="center" shrinkToFit="1"/>
    </xf>
    <xf numFmtId="165" fontId="8" fillId="2" borderId="1" xfId="1" applyNumberFormat="1" applyFont="1" applyFill="1" applyBorder="1" applyAlignment="1">
      <alignment horizontal="center" vertical="center"/>
    </xf>
    <xf numFmtId="165" fontId="8" fillId="2" borderId="2" xfId="1" applyNumberFormat="1" applyFont="1" applyFill="1" applyBorder="1" applyAlignment="1">
      <alignment horizontal="center" vertical="center"/>
    </xf>
    <xf numFmtId="165" fontId="8" fillId="2" borderId="3" xfId="1" applyNumberFormat="1" applyFont="1" applyFill="1" applyBorder="1" applyAlignment="1">
      <alignment horizontal="center" vertical="center"/>
    </xf>
    <xf numFmtId="166" fontId="10" fillId="5" borderId="1" xfId="2" applyNumberFormat="1" applyFont="1" applyFill="1" applyBorder="1" applyAlignment="1">
      <alignment horizontal="center" vertical="center" shrinkToFit="1"/>
    </xf>
    <xf numFmtId="166" fontId="10" fillId="5" borderId="2" xfId="2" applyNumberFormat="1" applyFont="1" applyFill="1" applyBorder="1" applyAlignment="1">
      <alignment horizontal="center" vertical="center" shrinkToFit="1"/>
    </xf>
    <xf numFmtId="168" fontId="8" fillId="7" borderId="1" xfId="1" applyNumberFormat="1" applyFont="1" applyFill="1" applyBorder="1" applyAlignment="1">
      <alignment horizontal="center" vertical="center" shrinkToFit="1"/>
    </xf>
    <xf numFmtId="168" fontId="8" fillId="7" borderId="2" xfId="1" applyNumberFormat="1" applyFont="1" applyFill="1" applyBorder="1" applyAlignment="1">
      <alignment horizontal="center" vertical="center" shrinkToFit="1"/>
    </xf>
    <xf numFmtId="168" fontId="8" fillId="7" borderId="3" xfId="1" applyNumberFormat="1" applyFont="1" applyFill="1" applyBorder="1" applyAlignment="1">
      <alignment horizontal="center" vertical="center" shrinkToFit="1"/>
    </xf>
    <xf numFmtId="168" fontId="8" fillId="7" borderId="16" xfId="1" applyNumberFormat="1" applyFont="1" applyFill="1" applyBorder="1" applyAlignment="1">
      <alignment horizontal="center" vertical="center" shrinkToFit="1"/>
    </xf>
    <xf numFmtId="168" fontId="8" fillId="7" borderId="17" xfId="1" applyNumberFormat="1" applyFont="1" applyFill="1" applyBorder="1" applyAlignment="1">
      <alignment horizontal="center" vertical="center" shrinkToFit="1"/>
    </xf>
    <xf numFmtId="168" fontId="8" fillId="7" borderId="18" xfId="1" applyNumberFormat="1" applyFont="1" applyFill="1" applyBorder="1" applyAlignment="1">
      <alignment horizontal="center" vertical="center" shrinkToFit="1"/>
    </xf>
    <xf numFmtId="166" fontId="8" fillId="4" borderId="1" xfId="2" applyNumberFormat="1" applyFont="1" applyFill="1" applyBorder="1" applyAlignment="1">
      <alignment horizontal="left" vertical="center" shrinkToFit="1"/>
    </xf>
    <xf numFmtId="166" fontId="8" fillId="4" borderId="2" xfId="2" applyNumberFormat="1" applyFont="1" applyFill="1" applyBorder="1" applyAlignment="1">
      <alignment horizontal="left" vertical="center" shrinkToFit="1"/>
    </xf>
    <xf numFmtId="166" fontId="10" fillId="5" borderId="1" xfId="2" applyNumberFormat="1" applyFont="1" applyFill="1" applyBorder="1" applyAlignment="1">
      <alignment horizontal="left" vertical="center" shrinkToFit="1"/>
    </xf>
    <xf numFmtId="166" fontId="10" fillId="5" borderId="2" xfId="2" applyNumberFormat="1" applyFont="1" applyFill="1" applyBorder="1" applyAlignment="1">
      <alignment horizontal="left" vertical="center" shrinkToFit="1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166" fontId="8" fillId="3" borderId="4" xfId="2" applyNumberFormat="1" applyFont="1" applyFill="1" applyBorder="1" applyAlignment="1">
      <alignment horizontal="center" vertical="center" wrapText="1" shrinkToFit="1"/>
    </xf>
    <xf numFmtId="166" fontId="8" fillId="3" borderId="9" xfId="2" applyNumberFormat="1" applyFont="1" applyFill="1" applyBorder="1" applyAlignment="1">
      <alignment horizontal="center" vertical="center" wrapText="1" shrinkToFit="1"/>
    </xf>
    <xf numFmtId="166" fontId="8" fillId="3" borderId="5" xfId="2" applyNumberFormat="1" applyFont="1" applyFill="1" applyBorder="1" applyAlignment="1">
      <alignment horizontal="center" vertical="center" shrinkToFit="1"/>
    </xf>
    <xf numFmtId="166" fontId="8" fillId="3" borderId="10" xfId="2" applyNumberFormat="1" applyFont="1" applyFill="1" applyBorder="1" applyAlignment="1">
      <alignment horizontal="center" vertical="center" shrinkToFit="1"/>
    </xf>
    <xf numFmtId="0" fontId="8" fillId="3" borderId="6" xfId="1" applyFont="1" applyFill="1" applyBorder="1" applyAlignment="1">
      <alignment horizontal="center" vertical="center" shrinkToFit="1"/>
    </xf>
    <xf numFmtId="0" fontId="8" fillId="3" borderId="7" xfId="1" applyFont="1" applyFill="1" applyBorder="1" applyAlignment="1">
      <alignment horizontal="center" vertical="center" shrinkToFit="1"/>
    </xf>
    <xf numFmtId="0" fontId="8" fillId="3" borderId="8" xfId="1" applyFont="1" applyFill="1" applyBorder="1" applyAlignment="1">
      <alignment horizontal="center" vertical="center" shrinkToFit="1"/>
    </xf>
    <xf numFmtId="0" fontId="8" fillId="3" borderId="11" xfId="1" applyFont="1" applyFill="1" applyBorder="1" applyAlignment="1">
      <alignment horizontal="center" vertical="center" shrinkToFit="1"/>
    </xf>
    <xf numFmtId="0" fontId="8" fillId="3" borderId="12" xfId="1" applyFont="1" applyFill="1" applyBorder="1" applyAlignment="1">
      <alignment horizontal="center" vertical="center" shrinkToFit="1"/>
    </xf>
    <xf numFmtId="0" fontId="8" fillId="3" borderId="13" xfId="1" applyFont="1" applyFill="1" applyBorder="1" applyAlignment="1">
      <alignment horizontal="center" vertical="center" shrinkToFit="1"/>
    </xf>
    <xf numFmtId="167" fontId="8" fillId="3" borderId="6" xfId="2" applyNumberFormat="1" applyFont="1" applyFill="1" applyBorder="1" applyAlignment="1">
      <alignment horizontal="center" vertical="center" shrinkToFit="1"/>
    </xf>
    <xf numFmtId="167" fontId="8" fillId="3" borderId="7" xfId="2" applyNumberFormat="1" applyFont="1" applyFill="1" applyBorder="1" applyAlignment="1">
      <alignment horizontal="center" vertical="center" shrinkToFit="1"/>
    </xf>
    <xf numFmtId="167" fontId="8" fillId="3" borderId="8" xfId="2" applyNumberFormat="1" applyFont="1" applyFill="1" applyBorder="1" applyAlignment="1">
      <alignment horizontal="center" vertical="center" shrinkToFit="1"/>
    </xf>
    <xf numFmtId="167" fontId="8" fillId="3" borderId="11" xfId="2" applyNumberFormat="1" applyFont="1" applyFill="1" applyBorder="1" applyAlignment="1">
      <alignment horizontal="center" vertical="center" shrinkToFit="1"/>
    </xf>
    <xf numFmtId="167" fontId="8" fillId="3" borderId="12" xfId="2" applyNumberFormat="1" applyFont="1" applyFill="1" applyBorder="1" applyAlignment="1">
      <alignment horizontal="center" vertical="center" shrinkToFit="1"/>
    </xf>
    <xf numFmtId="167" fontId="8" fillId="3" borderId="13" xfId="2" applyNumberFormat="1" applyFont="1" applyFill="1" applyBorder="1" applyAlignment="1">
      <alignment horizontal="center" vertical="center" shrinkToFit="1"/>
    </xf>
    <xf numFmtId="168" fontId="8" fillId="4" borderId="16" xfId="1" applyNumberFormat="1" applyFont="1" applyFill="1" applyBorder="1" applyAlignment="1">
      <alignment horizontal="center" vertical="center" shrinkToFit="1"/>
    </xf>
    <xf numFmtId="168" fontId="8" fillId="4" borderId="17" xfId="1" applyNumberFormat="1" applyFont="1" applyFill="1" applyBorder="1" applyAlignment="1">
      <alignment horizontal="center" vertical="center" shrinkToFit="1"/>
    </xf>
    <xf numFmtId="168" fontId="8" fillId="4" borderId="18" xfId="1" applyNumberFormat="1" applyFont="1" applyFill="1" applyBorder="1" applyAlignment="1">
      <alignment horizontal="center" vertical="center" shrinkToFit="1"/>
    </xf>
    <xf numFmtId="168" fontId="8" fillId="12" borderId="16" xfId="1" applyNumberFormat="1" applyFont="1" applyFill="1" applyBorder="1" applyAlignment="1">
      <alignment horizontal="center" vertical="center" shrinkToFit="1"/>
    </xf>
    <xf numFmtId="168" fontId="8" fillId="12" borderId="17" xfId="1" applyNumberFormat="1" applyFont="1" applyFill="1" applyBorder="1" applyAlignment="1">
      <alignment horizontal="center" vertical="center" shrinkToFit="1"/>
    </xf>
    <xf numFmtId="168" fontId="8" fillId="12" borderId="18" xfId="1" applyNumberFormat="1" applyFont="1" applyFill="1" applyBorder="1" applyAlignment="1">
      <alignment horizontal="center" vertical="center" shrinkToFit="1"/>
    </xf>
    <xf numFmtId="0" fontId="54" fillId="14" borderId="68" xfId="2" applyFont="1" applyFill="1" applyBorder="1" applyAlignment="1">
      <alignment horizontal="center" vertical="center"/>
    </xf>
    <xf numFmtId="0" fontId="54" fillId="14" borderId="69" xfId="2" applyFont="1" applyFill="1" applyBorder="1" applyAlignment="1">
      <alignment horizontal="center" vertical="center"/>
    </xf>
    <xf numFmtId="0" fontId="54" fillId="14" borderId="62" xfId="2" applyFont="1" applyFill="1" applyBorder="1" applyAlignment="1">
      <alignment horizontal="center" vertical="center"/>
    </xf>
    <xf numFmtId="0" fontId="54" fillId="14" borderId="63" xfId="2" applyFont="1" applyFill="1" applyBorder="1" applyAlignment="1">
      <alignment horizontal="center" vertical="center"/>
    </xf>
    <xf numFmtId="0" fontId="56" fillId="2" borderId="37" xfId="2" applyFont="1" applyFill="1" applyBorder="1" applyAlignment="1">
      <alignment horizontal="left" vertical="center" wrapText="1"/>
    </xf>
    <xf numFmtId="0" fontId="56" fillId="2" borderId="42" xfId="2" applyFont="1" applyFill="1" applyBorder="1" applyAlignment="1">
      <alignment horizontal="left" vertical="center" wrapText="1"/>
    </xf>
    <xf numFmtId="0" fontId="56" fillId="2" borderId="48" xfId="2" applyFont="1" applyFill="1" applyBorder="1" applyAlignment="1">
      <alignment horizontal="left" vertical="center" wrapText="1"/>
    </xf>
    <xf numFmtId="0" fontId="31" fillId="2" borderId="38" xfId="2" applyFont="1" applyFill="1" applyBorder="1" applyAlignment="1">
      <alignment horizontal="left" vertical="center" wrapText="1"/>
    </xf>
    <xf numFmtId="0" fontId="31" fillId="2" borderId="43" xfId="2" applyFont="1" applyFill="1" applyBorder="1" applyAlignment="1">
      <alignment horizontal="left" vertical="center" wrapText="1"/>
    </xf>
    <xf numFmtId="0" fontId="31" fillId="2" borderId="49" xfId="2" applyFont="1" applyFill="1" applyBorder="1" applyAlignment="1">
      <alignment horizontal="left" vertical="center" wrapText="1"/>
    </xf>
    <xf numFmtId="4" fontId="4" fillId="2" borderId="38" xfId="2" applyNumberFormat="1" applyFont="1" applyFill="1" applyBorder="1" applyAlignment="1">
      <alignment horizontal="center" vertical="center"/>
    </xf>
    <xf numFmtId="4" fontId="4" fillId="2" borderId="43" xfId="2" applyNumberFormat="1" applyFont="1" applyFill="1" applyBorder="1" applyAlignment="1">
      <alignment horizontal="center" vertical="center"/>
    </xf>
    <xf numFmtId="4" fontId="4" fillId="2" borderId="49" xfId="2" applyNumberFormat="1" applyFont="1" applyFill="1" applyBorder="1" applyAlignment="1">
      <alignment horizontal="center" vertical="center"/>
    </xf>
    <xf numFmtId="4" fontId="59" fillId="2" borderId="41" xfId="2" applyNumberFormat="1" applyFont="1" applyFill="1" applyBorder="1" applyAlignment="1">
      <alignment horizontal="center" vertical="center"/>
    </xf>
    <xf numFmtId="4" fontId="59" fillId="2" borderId="46" xfId="2" applyNumberFormat="1" applyFont="1" applyFill="1" applyBorder="1" applyAlignment="1">
      <alignment horizontal="center" vertical="center"/>
    </xf>
    <xf numFmtId="4" fontId="59" fillId="2" borderId="51" xfId="2" applyNumberFormat="1" applyFont="1" applyFill="1" applyBorder="1" applyAlignment="1">
      <alignment horizontal="center" vertical="center"/>
    </xf>
    <xf numFmtId="0" fontId="51" fillId="2" borderId="38" xfId="1" applyFont="1" applyFill="1" applyBorder="1" applyAlignment="1">
      <alignment horizontal="left" vertical="center"/>
    </xf>
    <xf numFmtId="0" fontId="51" fillId="2" borderId="49" xfId="1" applyFont="1" applyFill="1" applyBorder="1" applyAlignment="1">
      <alignment horizontal="left" vertical="center"/>
    </xf>
    <xf numFmtId="0" fontId="54" fillId="14" borderId="64" xfId="2" applyFont="1" applyFill="1" applyBorder="1" applyAlignment="1">
      <alignment horizontal="center" vertical="center"/>
    </xf>
    <xf numFmtId="0" fontId="54" fillId="14" borderId="65" xfId="2" applyFont="1" applyFill="1" applyBorder="1" applyAlignment="1">
      <alignment horizontal="center" vertical="center"/>
    </xf>
    <xf numFmtId="0" fontId="58" fillId="2" borderId="37" xfId="2" applyFont="1" applyFill="1" applyBorder="1" applyAlignment="1">
      <alignment horizontal="left" vertical="center" wrapText="1"/>
    </xf>
    <xf numFmtId="0" fontId="58" fillId="2" borderId="42" xfId="2" applyFont="1" applyFill="1" applyBorder="1" applyAlignment="1">
      <alignment horizontal="left" vertical="center" wrapText="1"/>
    </xf>
    <xf numFmtId="0" fontId="58" fillId="2" borderId="48" xfId="2" applyFont="1" applyFill="1" applyBorder="1" applyAlignment="1">
      <alignment horizontal="left" vertical="center" wrapText="1"/>
    </xf>
    <xf numFmtId="0" fontId="5" fillId="2" borderId="38" xfId="2" applyFont="1" applyFill="1" applyBorder="1" applyAlignment="1">
      <alignment horizontal="left" vertical="center" wrapText="1"/>
    </xf>
    <xf numFmtId="0" fontId="5" fillId="2" borderId="43" xfId="2" applyFont="1" applyFill="1" applyBorder="1" applyAlignment="1">
      <alignment horizontal="left" vertical="center" wrapText="1"/>
    </xf>
    <xf numFmtId="0" fontId="5" fillId="2" borderId="49" xfId="2" applyFont="1" applyFill="1" applyBorder="1" applyAlignment="1">
      <alignment horizontal="left" vertical="center" wrapText="1"/>
    </xf>
    <xf numFmtId="4" fontId="4" fillId="2" borderId="41" xfId="2" applyNumberFormat="1" applyFont="1" applyFill="1" applyBorder="1" applyAlignment="1">
      <alignment horizontal="center" vertical="center"/>
    </xf>
    <xf numFmtId="4" fontId="4" fillId="2" borderId="46" xfId="2" applyNumberFormat="1" applyFont="1" applyFill="1" applyBorder="1" applyAlignment="1">
      <alignment horizontal="center" vertical="center"/>
    </xf>
    <xf numFmtId="4" fontId="4" fillId="2" borderId="51" xfId="2" applyNumberFormat="1" applyFont="1" applyFill="1" applyBorder="1" applyAlignment="1">
      <alignment horizontal="center" vertical="center"/>
    </xf>
    <xf numFmtId="0" fontId="31" fillId="2" borderId="38" xfId="2" applyFont="1" applyFill="1" applyBorder="1" applyAlignment="1">
      <alignment vertical="center" wrapText="1"/>
    </xf>
    <xf numFmtId="0" fontId="31" fillId="2" borderId="49" xfId="2" applyFont="1" applyFill="1" applyBorder="1" applyAlignment="1">
      <alignment vertical="center" wrapText="1"/>
    </xf>
    <xf numFmtId="0" fontId="56" fillId="2" borderId="60" xfId="2" applyFont="1" applyFill="1" applyBorder="1" applyAlignment="1">
      <alignment horizontal="left" vertical="center" wrapText="1"/>
    </xf>
    <xf numFmtId="0" fontId="56" fillId="2" borderId="58" xfId="2" applyFont="1" applyFill="1" applyBorder="1" applyAlignment="1">
      <alignment horizontal="left" vertical="center" wrapText="1"/>
    </xf>
    <xf numFmtId="0" fontId="31" fillId="2" borderId="61" xfId="2" applyFont="1" applyFill="1" applyBorder="1" applyAlignment="1">
      <alignment horizontal="left" vertical="center" wrapText="1"/>
    </xf>
    <xf numFmtId="0" fontId="31" fillId="2" borderId="59" xfId="2" applyFont="1" applyFill="1" applyBorder="1" applyAlignment="1">
      <alignment horizontal="left" vertical="center" wrapText="1"/>
    </xf>
    <xf numFmtId="0" fontId="56" fillId="2" borderId="54" xfId="2" applyFont="1" applyFill="1" applyBorder="1" applyAlignment="1">
      <alignment horizontal="left" vertical="center" wrapText="1"/>
    </xf>
    <xf numFmtId="0" fontId="56" fillId="2" borderId="56" xfId="2" applyFont="1" applyFill="1" applyBorder="1" applyAlignment="1">
      <alignment horizontal="left" vertical="center" wrapText="1"/>
    </xf>
    <xf numFmtId="0" fontId="31" fillId="2" borderId="55" xfId="2" applyFont="1" applyFill="1" applyBorder="1" applyAlignment="1">
      <alignment vertical="center" wrapText="1"/>
    </xf>
    <xf numFmtId="0" fontId="31" fillId="2" borderId="57" xfId="2" applyFont="1" applyFill="1" applyBorder="1" applyAlignment="1">
      <alignment vertical="center" wrapText="1"/>
    </xf>
    <xf numFmtId="0" fontId="31" fillId="2" borderId="59" xfId="2" applyFont="1" applyFill="1" applyBorder="1" applyAlignment="1">
      <alignment vertical="center" wrapText="1"/>
    </xf>
    <xf numFmtId="0" fontId="51" fillId="2" borderId="0" xfId="1" applyFont="1" applyFill="1" applyAlignment="1">
      <alignment horizontal="left" vertical="center"/>
    </xf>
    <xf numFmtId="0" fontId="54" fillId="14" borderId="35" xfId="2" applyFont="1" applyFill="1" applyBorder="1" applyAlignment="1">
      <alignment horizontal="center" vertical="center"/>
    </xf>
    <xf numFmtId="0" fontId="54" fillId="14" borderId="0" xfId="2" applyFont="1" applyFill="1" applyAlignment="1">
      <alignment horizontal="center" vertical="center"/>
    </xf>
    <xf numFmtId="0" fontId="56" fillId="2" borderId="37" xfId="2" applyFont="1" applyFill="1" applyBorder="1" applyAlignment="1">
      <alignment horizontal="center" vertical="center" wrapText="1"/>
    </xf>
    <xf numFmtId="0" fontId="56" fillId="2" borderId="42" xfId="2" applyFont="1" applyFill="1" applyBorder="1" applyAlignment="1">
      <alignment horizontal="center" vertical="center" wrapText="1"/>
    </xf>
    <xf numFmtId="0" fontId="56" fillId="2" borderId="48" xfId="2" applyFont="1" applyFill="1" applyBorder="1" applyAlignment="1">
      <alignment horizontal="center" vertical="center" wrapText="1"/>
    </xf>
    <xf numFmtId="4" fontId="4" fillId="2" borderId="47" xfId="2" applyNumberFormat="1" applyFont="1" applyFill="1" applyBorder="1" applyAlignment="1">
      <alignment horizontal="center" vertical="center"/>
    </xf>
    <xf numFmtId="4" fontId="4" fillId="2" borderId="70" xfId="2" applyNumberFormat="1" applyFont="1" applyFill="1" applyBorder="1" applyAlignment="1">
      <alignment horizontal="center" vertical="center"/>
    </xf>
    <xf numFmtId="0" fontId="56" fillId="2" borderId="47" xfId="2" applyFont="1" applyFill="1" applyBorder="1" applyAlignment="1">
      <alignment horizontal="left" vertical="center" wrapText="1"/>
    </xf>
    <xf numFmtId="0" fontId="56" fillId="2" borderId="43" xfId="2" applyFont="1" applyFill="1" applyBorder="1" applyAlignment="1">
      <alignment horizontal="left" vertical="center" wrapText="1"/>
    </xf>
    <xf numFmtId="0" fontId="56" fillId="2" borderId="70" xfId="2" applyFont="1" applyFill="1" applyBorder="1" applyAlignment="1">
      <alignment horizontal="left" vertical="center" wrapText="1"/>
    </xf>
    <xf numFmtId="0" fontId="31" fillId="2" borderId="47" xfId="2" applyFont="1" applyFill="1" applyBorder="1" applyAlignment="1">
      <alignment horizontal="left" vertical="center" wrapText="1"/>
    </xf>
    <xf numFmtId="0" fontId="31" fillId="2" borderId="70" xfId="2" applyFont="1" applyFill="1" applyBorder="1" applyAlignment="1">
      <alignment horizontal="left" vertical="center" wrapText="1"/>
    </xf>
    <xf numFmtId="4" fontId="4" fillId="4" borderId="47" xfId="2" applyNumberFormat="1" applyFont="1" applyFill="1" applyBorder="1" applyAlignment="1">
      <alignment horizontal="center" vertical="center"/>
    </xf>
    <xf numFmtId="4" fontId="4" fillId="4" borderId="43" xfId="2" applyNumberFormat="1" applyFont="1" applyFill="1" applyBorder="1" applyAlignment="1">
      <alignment horizontal="center" vertical="center"/>
    </xf>
    <xf numFmtId="4" fontId="4" fillId="4" borderId="70" xfId="2" applyNumberFormat="1" applyFont="1" applyFill="1" applyBorder="1" applyAlignment="1">
      <alignment horizontal="center" vertical="center"/>
    </xf>
    <xf numFmtId="4" fontId="59" fillId="4" borderId="47" xfId="2" applyNumberFormat="1" applyFont="1" applyFill="1" applyBorder="1" applyAlignment="1">
      <alignment horizontal="center" vertical="center"/>
    </xf>
    <xf numFmtId="4" fontId="59" fillId="4" borderId="43" xfId="2" applyNumberFormat="1" applyFont="1" applyFill="1" applyBorder="1" applyAlignment="1">
      <alignment horizontal="center" vertical="center"/>
    </xf>
    <xf numFmtId="4" fontId="59" fillId="4" borderId="70" xfId="2" applyNumberFormat="1" applyFont="1" applyFill="1" applyBorder="1" applyAlignment="1">
      <alignment horizontal="center" vertical="center"/>
    </xf>
    <xf numFmtId="0" fontId="56" fillId="2" borderId="47" xfId="2" applyFont="1" applyFill="1" applyBorder="1" applyAlignment="1">
      <alignment horizontal="center" vertical="center" wrapText="1"/>
    </xf>
    <xf numFmtId="0" fontId="56" fillId="2" borderId="70" xfId="2" applyFont="1" applyFill="1" applyBorder="1" applyAlignment="1">
      <alignment horizontal="center" vertical="center" wrapText="1"/>
    </xf>
    <xf numFmtId="4" fontId="59" fillId="2" borderId="47" xfId="2" applyNumberFormat="1" applyFont="1" applyFill="1" applyBorder="1" applyAlignment="1">
      <alignment horizontal="center" vertical="center"/>
    </xf>
    <xf numFmtId="4" fontId="59" fillId="2" borderId="70" xfId="2" applyNumberFormat="1" applyFont="1" applyFill="1" applyBorder="1" applyAlignment="1">
      <alignment horizontal="center" vertical="center"/>
    </xf>
    <xf numFmtId="0" fontId="51" fillId="2" borderId="47" xfId="1" applyFont="1" applyFill="1" applyBorder="1" applyAlignment="1">
      <alignment horizontal="left" vertical="center"/>
    </xf>
    <xf numFmtId="0" fontId="51" fillId="2" borderId="70" xfId="1" applyFont="1" applyFill="1" applyBorder="1" applyAlignment="1">
      <alignment horizontal="left" vertical="center"/>
    </xf>
    <xf numFmtId="0" fontId="58" fillId="2" borderId="47" xfId="2" applyFont="1" applyFill="1" applyBorder="1" applyAlignment="1">
      <alignment horizontal="left" vertical="center" wrapText="1"/>
    </xf>
    <xf numFmtId="0" fontId="58" fillId="2" borderId="70" xfId="2" applyFont="1" applyFill="1" applyBorder="1" applyAlignment="1">
      <alignment horizontal="left" vertical="center" wrapText="1"/>
    </xf>
    <xf numFmtId="0" fontId="5" fillId="2" borderId="47" xfId="2" applyFont="1" applyFill="1" applyBorder="1" applyAlignment="1">
      <alignment horizontal="left" vertical="center" wrapText="1"/>
    </xf>
    <xf numFmtId="0" fontId="5" fillId="2" borderId="70" xfId="2" applyFont="1" applyFill="1" applyBorder="1" applyAlignment="1">
      <alignment horizontal="left" vertical="center" wrapText="1"/>
    </xf>
    <xf numFmtId="4" fontId="4" fillId="2" borderId="55" xfId="2" applyNumberFormat="1" applyFont="1" applyFill="1" applyBorder="1" applyAlignment="1">
      <alignment horizontal="center" vertical="center"/>
    </xf>
    <xf numFmtId="4" fontId="4" fillId="2" borderId="72" xfId="2" applyNumberFormat="1" applyFont="1" applyFill="1" applyBorder="1" applyAlignment="1">
      <alignment horizontal="center" vertical="center"/>
    </xf>
    <xf numFmtId="0" fontId="56" fillId="2" borderId="55" xfId="2" applyFont="1" applyFill="1" applyBorder="1" applyAlignment="1">
      <alignment horizontal="left" vertical="center" wrapText="1"/>
    </xf>
    <xf numFmtId="0" fontId="56" fillId="2" borderId="72" xfId="2" applyFont="1" applyFill="1" applyBorder="1" applyAlignment="1">
      <alignment horizontal="left" vertical="center" wrapText="1"/>
    </xf>
    <xf numFmtId="0" fontId="31" fillId="2" borderId="55" xfId="2" applyFont="1" applyFill="1" applyBorder="1" applyAlignment="1">
      <alignment horizontal="left" vertical="center" wrapText="1"/>
    </xf>
    <xf numFmtId="0" fontId="31" fillId="2" borderId="72" xfId="2" applyFont="1" applyFill="1" applyBorder="1" applyAlignment="1">
      <alignment horizontal="left" vertical="center" wrapText="1"/>
    </xf>
    <xf numFmtId="0" fontId="56" fillId="2" borderId="57" xfId="2" applyFont="1" applyFill="1" applyBorder="1" applyAlignment="1">
      <alignment horizontal="left" vertical="center" wrapText="1"/>
    </xf>
    <xf numFmtId="0" fontId="56" fillId="2" borderId="73" xfId="2" applyFont="1" applyFill="1" applyBorder="1" applyAlignment="1">
      <alignment horizontal="left" vertical="center" wrapText="1"/>
    </xf>
    <xf numFmtId="0" fontId="31" fillId="2" borderId="47" xfId="2" applyFont="1" applyFill="1" applyBorder="1" applyAlignment="1">
      <alignment vertical="center" wrapText="1"/>
    </xf>
    <xf numFmtId="0" fontId="31" fillId="2" borderId="73" xfId="2" applyFont="1" applyFill="1" applyBorder="1" applyAlignment="1">
      <alignment vertical="center" wrapText="1"/>
    </xf>
    <xf numFmtId="0" fontId="31" fillId="2" borderId="72" xfId="2" applyFont="1" applyFill="1" applyBorder="1" applyAlignment="1">
      <alignment vertical="center" wrapText="1"/>
    </xf>
    <xf numFmtId="4" fontId="4" fillId="2" borderId="57" xfId="2" applyNumberFormat="1" applyFont="1" applyFill="1" applyBorder="1" applyAlignment="1">
      <alignment horizontal="center" vertical="center"/>
    </xf>
    <xf numFmtId="4" fontId="4" fillId="2" borderId="73" xfId="2" applyNumberFormat="1" applyFont="1" applyFill="1" applyBorder="1" applyAlignment="1">
      <alignment horizontal="center" vertical="center"/>
    </xf>
    <xf numFmtId="0" fontId="31" fillId="2" borderId="47" xfId="2" applyFont="1" applyFill="1" applyBorder="1" applyAlignment="1">
      <alignment horizontal="center" vertical="center" wrapText="1"/>
    </xf>
    <xf numFmtId="0" fontId="31" fillId="2" borderId="43" xfId="2" applyFont="1" applyFill="1" applyBorder="1" applyAlignment="1">
      <alignment horizontal="center" vertical="center" wrapText="1"/>
    </xf>
    <xf numFmtId="0" fontId="31" fillId="2" borderId="70" xfId="2" applyFont="1" applyFill="1" applyBorder="1" applyAlignment="1">
      <alignment horizontal="center" vertical="center" wrapText="1"/>
    </xf>
    <xf numFmtId="4" fontId="27" fillId="2" borderId="55" xfId="2" applyNumberFormat="1" applyFont="1" applyFill="1" applyBorder="1" applyAlignment="1">
      <alignment horizontal="center" vertical="center"/>
    </xf>
    <xf numFmtId="4" fontId="27" fillId="2" borderId="57" xfId="2" applyNumberFormat="1" applyFont="1" applyFill="1" applyBorder="1" applyAlignment="1">
      <alignment horizontal="center" vertical="center"/>
    </xf>
    <xf numFmtId="4" fontId="27" fillId="2" borderId="47" xfId="2" applyNumberFormat="1" applyFont="1" applyFill="1" applyBorder="1" applyAlignment="1">
      <alignment horizontal="center" vertical="center"/>
    </xf>
    <xf numFmtId="4" fontId="27" fillId="2" borderId="43" xfId="2" applyNumberFormat="1" applyFont="1" applyFill="1" applyBorder="1" applyAlignment="1">
      <alignment horizontal="center" vertical="center"/>
    </xf>
    <xf numFmtId="4" fontId="27" fillId="2" borderId="70" xfId="2" applyNumberFormat="1" applyFont="1" applyFill="1" applyBorder="1" applyAlignment="1">
      <alignment horizontal="center" vertical="center"/>
    </xf>
    <xf numFmtId="0" fontId="56" fillId="2" borderId="43" xfId="2" applyFont="1" applyFill="1" applyBorder="1" applyAlignment="1">
      <alignment horizontal="center" vertical="center" wrapText="1"/>
    </xf>
    <xf numFmtId="0" fontId="31" fillId="2" borderId="43" xfId="2" applyFont="1" applyFill="1" applyBorder="1" applyAlignment="1">
      <alignment vertical="center" wrapText="1"/>
    </xf>
    <xf numFmtId="0" fontId="56" fillId="2" borderId="47" xfId="2" applyFont="1" applyFill="1" applyBorder="1" applyAlignment="1">
      <alignment horizontal="center" vertical="top" wrapText="1"/>
    </xf>
    <xf numFmtId="0" fontId="56" fillId="2" borderId="43" xfId="2" applyFont="1" applyFill="1" applyBorder="1" applyAlignment="1">
      <alignment horizontal="center" vertical="top" wrapText="1"/>
    </xf>
    <xf numFmtId="0" fontId="31" fillId="2" borderId="47" xfId="2" applyFont="1" applyFill="1" applyBorder="1" applyAlignment="1">
      <alignment horizontal="left" vertical="top" wrapText="1"/>
    </xf>
    <xf numFmtId="0" fontId="31" fillId="2" borderId="43" xfId="2" applyFont="1" applyFill="1" applyBorder="1" applyAlignment="1">
      <alignment horizontal="left" vertical="top" wrapText="1"/>
    </xf>
    <xf numFmtId="0" fontId="56" fillId="2" borderId="55" xfId="2" applyFont="1" applyFill="1" applyBorder="1" applyAlignment="1">
      <alignment horizontal="center" vertical="center" wrapText="1"/>
    </xf>
    <xf numFmtId="0" fontId="56" fillId="2" borderId="72" xfId="2" applyFont="1" applyFill="1" applyBorder="1" applyAlignment="1">
      <alignment horizontal="center" vertical="center" wrapText="1"/>
    </xf>
    <xf numFmtId="0" fontId="56" fillId="2" borderId="57" xfId="2" applyFont="1" applyFill="1" applyBorder="1" applyAlignment="1">
      <alignment horizontal="center" vertical="center" wrapText="1"/>
    </xf>
    <xf numFmtId="4" fontId="4" fillId="2" borderId="45" xfId="2" applyNumberFormat="1" applyFont="1" applyFill="1" applyBorder="1" applyAlignment="1">
      <alignment horizontal="center" vertical="center"/>
    </xf>
    <xf numFmtId="49" fontId="8" fillId="2" borderId="19" xfId="1" applyNumberFormat="1" applyFont="1" applyFill="1" applyBorder="1" applyAlignment="1">
      <alignment horizontal="center" vertical="center" wrapText="1"/>
    </xf>
    <xf numFmtId="49" fontId="8" fillId="2" borderId="19" xfId="1" applyNumberFormat="1" applyFont="1" applyFill="1" applyBorder="1" applyAlignment="1">
      <alignment vertical="center" shrinkToFit="1"/>
    </xf>
    <xf numFmtId="49" fontId="8" fillId="2" borderId="15" xfId="1" applyNumberFormat="1" applyFont="1" applyFill="1" applyBorder="1" applyAlignment="1">
      <alignment horizontal="right" vertical="center"/>
    </xf>
    <xf numFmtId="49" fontId="8" fillId="2" borderId="16" xfId="1" applyNumberFormat="1" applyFont="1" applyFill="1" applyBorder="1" applyAlignment="1">
      <alignment vertical="center" shrinkToFit="1"/>
    </xf>
    <xf numFmtId="49" fontId="8" fillId="2" borderId="17" xfId="1" applyNumberFormat="1" applyFont="1" applyFill="1" applyBorder="1" applyAlignment="1">
      <alignment vertical="center" shrinkToFit="1"/>
    </xf>
    <xf numFmtId="49" fontId="8" fillId="2" borderId="18" xfId="1" applyNumberFormat="1" applyFont="1" applyFill="1" applyBorder="1" applyAlignment="1">
      <alignment vertical="center" shrinkToFit="1"/>
    </xf>
    <xf numFmtId="49" fontId="3" fillId="2" borderId="0" xfId="1" applyNumberFormat="1" applyFont="1" applyFill="1" applyAlignment="1">
      <alignment horizontal="right" vertical="center"/>
    </xf>
    <xf numFmtId="49" fontId="2" fillId="0" borderId="0" xfId="1" applyNumberFormat="1"/>
  </cellXfs>
  <cellStyles count="971">
    <cellStyle name="chap" xfId="4" xr:uid="{00000000-0005-0000-0000-000000000000}"/>
    <cellStyle name="Euro" xfId="5" xr:uid="{00000000-0005-0000-0000-000001000000}"/>
    <cellStyle name="Euro 2" xfId="6" xr:uid="{00000000-0005-0000-0000-000002000000}"/>
    <cellStyle name="Euro 3" xfId="7" xr:uid="{00000000-0005-0000-0000-000003000000}"/>
    <cellStyle name="Euro 4" xfId="8" xr:uid="{00000000-0005-0000-0000-000004000000}"/>
    <cellStyle name="Euro 5" xfId="9" xr:uid="{00000000-0005-0000-0000-000005000000}"/>
    <cellStyle name="Lien hypertexte 2" xfId="10" xr:uid="{00000000-0005-0000-0000-000006000000}"/>
    <cellStyle name="Milliers 2" xfId="11" xr:uid="{00000000-0005-0000-0000-000007000000}"/>
    <cellStyle name="Milliers 2 2" xfId="12" xr:uid="{00000000-0005-0000-0000-000008000000}"/>
    <cellStyle name="Milliers 2_masse salariale 2011" xfId="13" xr:uid="{00000000-0005-0000-0000-000009000000}"/>
    <cellStyle name="Milliers 3" xfId="14" xr:uid="{00000000-0005-0000-0000-00000A000000}"/>
    <cellStyle name="Milliers 4" xfId="15" xr:uid="{00000000-0005-0000-0000-00000B000000}"/>
    <cellStyle name="Monétaire 2" xfId="16" xr:uid="{00000000-0005-0000-0000-00000C000000}"/>
    <cellStyle name="mt" xfId="17" xr:uid="{00000000-0005-0000-0000-00000D000000}"/>
    <cellStyle name="Normal" xfId="0" builtinId="0"/>
    <cellStyle name="Normal 10" xfId="1" xr:uid="{00000000-0005-0000-0000-00000F000000}"/>
    <cellStyle name="Normal 10 2" xfId="18" xr:uid="{00000000-0005-0000-0000-000010000000}"/>
    <cellStyle name="Normal 11" xfId="19" xr:uid="{00000000-0005-0000-0000-000011000000}"/>
    <cellStyle name="Normal 11 2" xfId="20" xr:uid="{00000000-0005-0000-0000-000012000000}"/>
    <cellStyle name="Normal 11 2 2" xfId="21" xr:uid="{00000000-0005-0000-0000-000013000000}"/>
    <cellStyle name="Normal 11 2 2 2" xfId="22" xr:uid="{00000000-0005-0000-0000-000014000000}"/>
    <cellStyle name="Normal 11 2 3" xfId="23" xr:uid="{00000000-0005-0000-0000-000015000000}"/>
    <cellStyle name="Normal 11 2 3 2" xfId="24" xr:uid="{00000000-0005-0000-0000-000016000000}"/>
    <cellStyle name="Normal 11 2 4" xfId="25" xr:uid="{00000000-0005-0000-0000-000017000000}"/>
    <cellStyle name="Normal 11 2 4 2" xfId="26" xr:uid="{00000000-0005-0000-0000-000018000000}"/>
    <cellStyle name="Normal 11 2 5" xfId="27" xr:uid="{00000000-0005-0000-0000-000019000000}"/>
    <cellStyle name="Normal 11 3" xfId="28" xr:uid="{00000000-0005-0000-0000-00001A000000}"/>
    <cellStyle name="Normal 11 3 2" xfId="29" xr:uid="{00000000-0005-0000-0000-00001B000000}"/>
    <cellStyle name="Normal 11 3 2 2" xfId="30" xr:uid="{00000000-0005-0000-0000-00001C000000}"/>
    <cellStyle name="Normal 11 3 3" xfId="31" xr:uid="{00000000-0005-0000-0000-00001D000000}"/>
    <cellStyle name="Normal 11 3 3 2" xfId="32" xr:uid="{00000000-0005-0000-0000-00001E000000}"/>
    <cellStyle name="Normal 11 3 4" xfId="33" xr:uid="{00000000-0005-0000-0000-00001F000000}"/>
    <cellStyle name="Normal 11 4" xfId="34" xr:uid="{00000000-0005-0000-0000-000020000000}"/>
    <cellStyle name="Normal 11 4 2" xfId="35" xr:uid="{00000000-0005-0000-0000-000021000000}"/>
    <cellStyle name="Normal 11 4 2 2" xfId="36" xr:uid="{00000000-0005-0000-0000-000022000000}"/>
    <cellStyle name="Normal 11 4 2 2 2" xfId="37" xr:uid="{00000000-0005-0000-0000-000023000000}"/>
    <cellStyle name="Normal 11 4 2 2 2 2" xfId="38" xr:uid="{00000000-0005-0000-0000-000024000000}"/>
    <cellStyle name="Normal 11 4 2 2 3" xfId="39" xr:uid="{00000000-0005-0000-0000-000025000000}"/>
    <cellStyle name="Normal 11 4 2 3" xfId="40" xr:uid="{00000000-0005-0000-0000-000026000000}"/>
    <cellStyle name="Normal 11 4 2 3 2" xfId="41" xr:uid="{00000000-0005-0000-0000-000027000000}"/>
    <cellStyle name="Normal 11 4 2 3 2 2" xfId="42" xr:uid="{00000000-0005-0000-0000-000028000000}"/>
    <cellStyle name="Normal 11 4 2 3 2 2 2" xfId="43" xr:uid="{00000000-0005-0000-0000-000029000000}"/>
    <cellStyle name="Normal 11 4 2 3 2 2 2 2" xfId="44" xr:uid="{00000000-0005-0000-0000-00002A000000}"/>
    <cellStyle name="Normal 11 4 2 3 2 2 3" xfId="45" xr:uid="{00000000-0005-0000-0000-00002B000000}"/>
    <cellStyle name="Normal 11 4 2 3 2 2 3 2" xfId="46" xr:uid="{00000000-0005-0000-0000-00002C000000}"/>
    <cellStyle name="Normal 11 4 2 3 2 2 3 2 2" xfId="47" xr:uid="{00000000-0005-0000-0000-00002D000000}"/>
    <cellStyle name="Normal 11 4 2 3 2 2 3 2 2 2" xfId="48" xr:uid="{00000000-0005-0000-0000-00002E000000}"/>
    <cellStyle name="Normal 11 4 2 3 2 2 3 2 3" xfId="49" xr:uid="{00000000-0005-0000-0000-00002F000000}"/>
    <cellStyle name="Normal 11 4 2 3 2 2 3 2 3 2" xfId="50" xr:uid="{00000000-0005-0000-0000-000030000000}"/>
    <cellStyle name="Normal 11 4 2 3 2 2 3 2 3 2 10" xfId="51" xr:uid="{00000000-0005-0000-0000-000031000000}"/>
    <cellStyle name="Normal 11 4 2 3 2 2 3 2 3 2 10 2" xfId="52" xr:uid="{00000000-0005-0000-0000-000032000000}"/>
    <cellStyle name="Normal 11 4 2 3 2 2 3 2 3 2 10 2 2" xfId="53" xr:uid="{00000000-0005-0000-0000-000033000000}"/>
    <cellStyle name="Normal 11 4 2 3 2 2 3 2 3 2 10 3" xfId="54" xr:uid="{00000000-0005-0000-0000-000034000000}"/>
    <cellStyle name="Normal 11 4 2 3 2 2 3 2 3 2 10 3 2" xfId="55" xr:uid="{00000000-0005-0000-0000-000035000000}"/>
    <cellStyle name="Normal 11 4 2 3 2 2 3 2 3 2 10 3 2 2" xfId="56" xr:uid="{00000000-0005-0000-0000-000036000000}"/>
    <cellStyle name="Normal 11 4 2 3 2 2 3 2 3 2 10 3 3" xfId="57" xr:uid="{00000000-0005-0000-0000-000037000000}"/>
    <cellStyle name="Normal 11 4 2 3 2 2 3 2 3 2 10 3 3 2" xfId="58" xr:uid="{00000000-0005-0000-0000-000038000000}"/>
    <cellStyle name="Normal 11 4 2 3 2 2 3 2 3 2 10 3 4" xfId="59" xr:uid="{00000000-0005-0000-0000-000039000000}"/>
    <cellStyle name="Normal 11 4 2 3 2 2 3 2 3 2 10 3 4 2" xfId="60" xr:uid="{00000000-0005-0000-0000-00003A000000}"/>
    <cellStyle name="Normal 11 4 2 3 2 2 3 2 3 2 10 3 5" xfId="61" xr:uid="{00000000-0005-0000-0000-00003B000000}"/>
    <cellStyle name="Normal 11 4 2 3 2 2 3 2 3 2 10 3 5 2" xfId="62" xr:uid="{00000000-0005-0000-0000-00003C000000}"/>
    <cellStyle name="Normal 11 4 2 3 2 2 3 2 3 2 10 3 6" xfId="63" xr:uid="{00000000-0005-0000-0000-00003D000000}"/>
    <cellStyle name="Normal 11 4 2 3 2 2 3 2 3 2 10 3 6 2" xfId="64" xr:uid="{00000000-0005-0000-0000-00003E000000}"/>
    <cellStyle name="Normal 11 4 2 3 2 2 3 2 3 2 10 3 7" xfId="65" xr:uid="{00000000-0005-0000-0000-00003F000000}"/>
    <cellStyle name="Normal 11 4 2 3 2 2 3 2 3 2 10 3 7 2" xfId="66" xr:uid="{00000000-0005-0000-0000-000040000000}"/>
    <cellStyle name="Normal 11 4 2 3 2 2 3 2 3 2 10 3 8" xfId="67" xr:uid="{00000000-0005-0000-0000-000041000000}"/>
    <cellStyle name="Normal 11 4 2 3 2 2 3 2 3 2 10 4" xfId="68" xr:uid="{00000000-0005-0000-0000-000042000000}"/>
    <cellStyle name="Normal 11 4 2 3 2 2 3 2 3 2 11" xfId="69" xr:uid="{00000000-0005-0000-0000-000043000000}"/>
    <cellStyle name="Normal 11 4 2 3 2 2 3 2 3 2 2" xfId="70" xr:uid="{00000000-0005-0000-0000-000044000000}"/>
    <cellStyle name="Normal 11 4 2 3 2 2 3 2 3 2 2 2" xfId="71" xr:uid="{00000000-0005-0000-0000-000045000000}"/>
    <cellStyle name="Normal 11 4 2 3 2 2 3 2 3 2 3" xfId="72" xr:uid="{00000000-0005-0000-0000-000046000000}"/>
    <cellStyle name="Normal 11 4 2 3 2 2 3 2 3 2 3 2" xfId="73" xr:uid="{00000000-0005-0000-0000-000047000000}"/>
    <cellStyle name="Normal 11 4 2 3 2 2 3 2 3 2 4" xfId="74" xr:uid="{00000000-0005-0000-0000-000048000000}"/>
    <cellStyle name="Normal 11 4 2 3 2 2 3 2 3 2 4 2" xfId="75" xr:uid="{00000000-0005-0000-0000-000049000000}"/>
    <cellStyle name="Normal 11 4 2 3 2 2 3 2 3 2 5" xfId="76" xr:uid="{00000000-0005-0000-0000-00004A000000}"/>
    <cellStyle name="Normal 11 4 2 3 2 2 3 2 3 2 5 2" xfId="77" xr:uid="{00000000-0005-0000-0000-00004B000000}"/>
    <cellStyle name="Normal 11 4 2 3 2 2 3 2 3 2 5 2 2" xfId="78" xr:uid="{00000000-0005-0000-0000-00004C000000}"/>
    <cellStyle name="Normal 11 4 2 3 2 2 3 2 3 2 5 2 2 2" xfId="79" xr:uid="{00000000-0005-0000-0000-00004D000000}"/>
    <cellStyle name="Normal 11 4 2 3 2 2 3 2 3 2 5 2 3" xfId="80" xr:uid="{00000000-0005-0000-0000-00004E000000}"/>
    <cellStyle name="Normal 11 4 2 3 2 2 3 2 3 2 5 2 3 2" xfId="81" xr:uid="{00000000-0005-0000-0000-00004F000000}"/>
    <cellStyle name="Normal 11 4 2 3 2 2 3 2 3 2 5 2 4" xfId="82" xr:uid="{00000000-0005-0000-0000-000050000000}"/>
    <cellStyle name="Normal 11 4 2 3 2 2 3 2 3 2 5 3" xfId="83" xr:uid="{00000000-0005-0000-0000-000051000000}"/>
    <cellStyle name="Normal 11 4 2 3 2 2 3 2 3 2 6" xfId="84" xr:uid="{00000000-0005-0000-0000-000052000000}"/>
    <cellStyle name="Normal 11 4 2 3 2 2 3 2 3 2 6 2" xfId="85" xr:uid="{00000000-0005-0000-0000-000053000000}"/>
    <cellStyle name="Normal 11 4 2 3 2 2 3 2 3 2 7" xfId="86" xr:uid="{00000000-0005-0000-0000-000054000000}"/>
    <cellStyle name="Normal 11 4 2 3 2 2 3 2 3 2 7 2" xfId="87" xr:uid="{00000000-0005-0000-0000-000055000000}"/>
    <cellStyle name="Normal 11 4 2 3 2 2 3 2 3 2 7 2 2" xfId="88" xr:uid="{00000000-0005-0000-0000-000056000000}"/>
    <cellStyle name="Normal 11 4 2 3 2 2 3 2 3 2 7 3" xfId="89" xr:uid="{00000000-0005-0000-0000-000057000000}"/>
    <cellStyle name="Normal 11 4 2 3 2 2 3 2 3 2 8" xfId="90" xr:uid="{00000000-0005-0000-0000-000058000000}"/>
    <cellStyle name="Normal 11 4 2 3 2 2 3 2 3 2 8 2" xfId="91" xr:uid="{00000000-0005-0000-0000-000059000000}"/>
    <cellStyle name="Normal 11 4 2 3 2 2 3 2 3 2 9" xfId="92" xr:uid="{00000000-0005-0000-0000-00005A000000}"/>
    <cellStyle name="Normal 11 4 2 3 2 2 3 2 3 2 9 2" xfId="93" xr:uid="{00000000-0005-0000-0000-00005B000000}"/>
    <cellStyle name="Normal 11 4 2 3 2 2 3 2 3 2 9 2 2" xfId="94" xr:uid="{00000000-0005-0000-0000-00005C000000}"/>
    <cellStyle name="Normal 11 4 2 3 2 2 3 2 3 2 9 3" xfId="95" xr:uid="{00000000-0005-0000-0000-00005D000000}"/>
    <cellStyle name="Normal 11 4 2 3 2 2 3 2 3 3" xfId="96" xr:uid="{00000000-0005-0000-0000-00005E000000}"/>
    <cellStyle name="Normal 11 4 2 3 2 2 3 2 4" xfId="97" xr:uid="{00000000-0005-0000-0000-00005F000000}"/>
    <cellStyle name="Normal 11 4 2 3 2 2 3 3" xfId="98" xr:uid="{00000000-0005-0000-0000-000060000000}"/>
    <cellStyle name="Normal 11 4 2 3 2 2 4" xfId="99" xr:uid="{00000000-0005-0000-0000-000061000000}"/>
    <cellStyle name="Normal 11 4 2 3 2 3" xfId="100" xr:uid="{00000000-0005-0000-0000-000062000000}"/>
    <cellStyle name="Normal 11 4 2 3 3" xfId="101" xr:uid="{00000000-0005-0000-0000-000063000000}"/>
    <cellStyle name="Normal 11 4 2 4" xfId="102" xr:uid="{00000000-0005-0000-0000-000064000000}"/>
    <cellStyle name="Normal 11 4 2 4 2" xfId="103" xr:uid="{00000000-0005-0000-0000-000065000000}"/>
    <cellStyle name="Normal 11 4 2 4 2 2" xfId="104" xr:uid="{00000000-0005-0000-0000-000066000000}"/>
    <cellStyle name="Normal 11 4 2 4 2 2 2" xfId="105" xr:uid="{00000000-0005-0000-0000-000067000000}"/>
    <cellStyle name="Normal 11 4 2 4 2 2 2 2" xfId="106" xr:uid="{00000000-0005-0000-0000-000068000000}"/>
    <cellStyle name="Normal 11 4 2 4 2 2 3" xfId="107" xr:uid="{00000000-0005-0000-0000-000069000000}"/>
    <cellStyle name="Normal 11 4 2 4 2 2 3 2" xfId="108" xr:uid="{00000000-0005-0000-0000-00006A000000}"/>
    <cellStyle name="Normal 11 4 2 4 2 2 3 2 2" xfId="109" xr:uid="{00000000-0005-0000-0000-00006B000000}"/>
    <cellStyle name="Normal 11 4 2 4 2 2 3 3" xfId="110" xr:uid="{00000000-0005-0000-0000-00006C000000}"/>
    <cellStyle name="Normal 11 4 2 4 2 2 3 3 2" xfId="111" xr:uid="{00000000-0005-0000-0000-00006D000000}"/>
    <cellStyle name="Normal 11 4 2 4 2 2 3 3 2 2" xfId="112" xr:uid="{00000000-0005-0000-0000-00006E000000}"/>
    <cellStyle name="Normal 11 4 2 4 2 2 3 3 2 2 2" xfId="113" xr:uid="{00000000-0005-0000-0000-00006F000000}"/>
    <cellStyle name="Normal 11 4 2 4 2 2 3 3 2 2 2 2" xfId="114" xr:uid="{00000000-0005-0000-0000-000070000000}"/>
    <cellStyle name="Normal 11 4 2 4 2 2 3 3 2 2 2 2 10" xfId="115" xr:uid="{00000000-0005-0000-0000-000071000000}"/>
    <cellStyle name="Normal 11 4 2 4 2 2 3 3 2 2 2 2 2" xfId="116" xr:uid="{00000000-0005-0000-0000-000072000000}"/>
    <cellStyle name="Normal 11 4 2 4 2 2 3 3 2 2 2 2 2 2" xfId="117" xr:uid="{00000000-0005-0000-0000-000073000000}"/>
    <cellStyle name="Normal 11 4 2 4 2 2 3 3 2 2 2 2 2 2 2" xfId="118" xr:uid="{00000000-0005-0000-0000-000074000000}"/>
    <cellStyle name="Normal 11 4 2 4 2 2 3 3 2 2 2 2 2 2 2 2" xfId="119" xr:uid="{00000000-0005-0000-0000-000075000000}"/>
    <cellStyle name="Normal 11 4 2 4 2 2 3 3 2 2 2 2 2 2 3" xfId="120" xr:uid="{00000000-0005-0000-0000-000076000000}"/>
    <cellStyle name="Normal 11 4 2 4 2 2 3 3 2 2 2 2 2 2 3 2" xfId="121" xr:uid="{00000000-0005-0000-0000-000077000000}"/>
    <cellStyle name="Normal 11 4 2 4 2 2 3 3 2 2 2 2 2 2 3 2 2" xfId="122" xr:uid="{00000000-0005-0000-0000-000078000000}"/>
    <cellStyle name="Normal 11 4 2 4 2 2 3 3 2 2 2 2 2 2 3 2 2 2" xfId="123" xr:uid="{00000000-0005-0000-0000-000079000000}"/>
    <cellStyle name="Normal 11 4 2 4 2 2 3 3 2 2 2 2 2 2 3 2 3" xfId="124" xr:uid="{00000000-0005-0000-0000-00007A000000}"/>
    <cellStyle name="Normal 11 4 2 4 2 2 3 3 2 2 2 2 2 2 3 2 3 2" xfId="125" xr:uid="{00000000-0005-0000-0000-00007B000000}"/>
    <cellStyle name="Normal 11 4 2 4 2 2 3 3 2 2 2 2 2 2 3 2 3 2 2" xfId="126" xr:uid="{00000000-0005-0000-0000-00007C000000}"/>
    <cellStyle name="Normal 11 4 2 4 2 2 3 3 2 2 2 2 2 2 3 2 3 3" xfId="127" xr:uid="{00000000-0005-0000-0000-00007D000000}"/>
    <cellStyle name="Normal 11 4 2 4 2 2 3 3 2 2 2 2 2 2 3 2 4" xfId="128" xr:uid="{00000000-0005-0000-0000-00007E000000}"/>
    <cellStyle name="Normal 11 4 2 4 2 2 3 3 2 2 2 2 2 2 3 3" xfId="129" xr:uid="{00000000-0005-0000-0000-00007F000000}"/>
    <cellStyle name="Normal 11 4 2 4 2 2 3 3 2 2 2 2 2 2 3 3 2" xfId="130" xr:uid="{00000000-0005-0000-0000-000080000000}"/>
    <cellStyle name="Normal 11 4 2 4 2 2 3 3 2 2 2 2 2 2 3 3 2 2" xfId="131" xr:uid="{00000000-0005-0000-0000-000081000000}"/>
    <cellStyle name="Normal 11 4 2 4 2 2 3 3 2 2 2 2 2 2 3 3 3" xfId="132" xr:uid="{00000000-0005-0000-0000-000082000000}"/>
    <cellStyle name="Normal 11 4 2 4 2 2 3 3 2 2 2 2 2 2 3 3 3 2" xfId="133" xr:uid="{00000000-0005-0000-0000-000083000000}"/>
    <cellStyle name="Normal 11 4 2 4 2 2 3 3 2 2 2 2 2 2 3 3 4" xfId="134" xr:uid="{00000000-0005-0000-0000-000084000000}"/>
    <cellStyle name="Normal 11 4 2 4 2 2 3 3 2 2 2 2 2 2 3 3 4 2" xfId="135" xr:uid="{00000000-0005-0000-0000-000085000000}"/>
    <cellStyle name="Normal 11 4 2 4 2 2 3 3 2 2 2 2 2 2 3 3 5" xfId="136" xr:uid="{00000000-0005-0000-0000-000086000000}"/>
    <cellStyle name="Normal 11 4 2 4 2 2 3 3 2 2 2 2 2 2 3 4" xfId="137" xr:uid="{00000000-0005-0000-0000-000087000000}"/>
    <cellStyle name="Normal 11 4 2 4 2 2 3 3 2 2 2 2 2 2 4" xfId="138" xr:uid="{00000000-0005-0000-0000-000088000000}"/>
    <cellStyle name="Normal 11 4 2 4 2 2 3 3 2 2 2 2 2 2 4 2" xfId="139" xr:uid="{00000000-0005-0000-0000-000089000000}"/>
    <cellStyle name="Normal 11 4 2 4 2 2 3 3 2 2 2 2 2 2 5" xfId="140" xr:uid="{00000000-0005-0000-0000-00008A000000}"/>
    <cellStyle name="Normal 11 4 2 4 2 2 3 3 2 2 2 2 2 2 5 2" xfId="141" xr:uid="{00000000-0005-0000-0000-00008B000000}"/>
    <cellStyle name="Normal 11 4 2 4 2 2 3 3 2 2 2 2 2 2 6" xfId="142" xr:uid="{00000000-0005-0000-0000-00008C000000}"/>
    <cellStyle name="Normal 11 4 2 4 2 2 3 3 2 2 2 2 2 2 6 2" xfId="143" xr:uid="{00000000-0005-0000-0000-00008D000000}"/>
    <cellStyle name="Normal 11 4 2 4 2 2 3 3 2 2 2 2 2 2 7" xfId="144" xr:uid="{00000000-0005-0000-0000-00008E000000}"/>
    <cellStyle name="Normal 11 4 2 4 2 2 3 3 2 2 2 2 2 2 7 2" xfId="145" xr:uid="{00000000-0005-0000-0000-00008F000000}"/>
    <cellStyle name="Normal 11 4 2 4 2 2 3 3 2 2 2 2 2 2 7 2 2" xfId="146" xr:uid="{00000000-0005-0000-0000-000090000000}"/>
    <cellStyle name="Normal 11 4 2 4 2 2 3 3 2 2 2 2 2 2 7 2 2 2" xfId="147" xr:uid="{00000000-0005-0000-0000-000091000000}"/>
    <cellStyle name="Normal 11 4 2 4 2 2 3 3 2 2 2 2 2 2 7 2 2 2 2" xfId="148" xr:uid="{00000000-0005-0000-0000-000092000000}"/>
    <cellStyle name="Normal 11 4 2 4 2 2 3 3 2 2 2 2 2 2 7 2 2 2 2 2" xfId="149" xr:uid="{00000000-0005-0000-0000-000093000000}"/>
    <cellStyle name="Normal 11 4 2 4 2 2 3 3 2 2 2 2 2 2 7 2 2 2 2 2 2" xfId="150" xr:uid="{00000000-0005-0000-0000-000094000000}"/>
    <cellStyle name="Normal 11 4 2 4 2 2 3 3 2 2 2 2 2 2 7 2 2 2 2 3" xfId="151" xr:uid="{00000000-0005-0000-0000-000095000000}"/>
    <cellStyle name="Normal 11 4 2 4 2 2 3 3 2 2 2 2 2 2 7 2 2 2 3" xfId="152" xr:uid="{00000000-0005-0000-0000-000096000000}"/>
    <cellStyle name="Normal 11 4 2 4 2 2 3 3 2 2 2 2 2 2 7 2 2 2 3 2" xfId="153" xr:uid="{00000000-0005-0000-0000-000097000000}"/>
    <cellStyle name="Normal 11 4 2 4 2 2 3 3 2 2 2 2 2 2 7 2 2 2 3 2 2" xfId="154" xr:uid="{00000000-0005-0000-0000-000098000000}"/>
    <cellStyle name="Normal 11 4 2 4 2 2 3 3 2 2 2 2 2 2 7 2 2 2 3 2 2 2" xfId="155" xr:uid="{00000000-0005-0000-0000-000099000000}"/>
    <cellStyle name="Normal 11 4 2 4 2 2 3 3 2 2 2 2 2 2 7 2 2 2 3 2 3" xfId="156" xr:uid="{00000000-0005-0000-0000-00009A000000}"/>
    <cellStyle name="Normal 11 4 2 4 2 2 3 3 2 2 2 2 2 2 7 2 2 2 3 2 3 2" xfId="157" xr:uid="{00000000-0005-0000-0000-00009B000000}"/>
    <cellStyle name="Normal 11 4 2 4 2 2 3 3 2 2 2 2 2 2 7 2 2 2 3 2 4" xfId="158" xr:uid="{00000000-0005-0000-0000-00009C000000}"/>
    <cellStyle name="Normal 11 4 2 4 2 2 3 3 2 2 2 2 2 2 7 2 2 2 3 2 4 2" xfId="159" xr:uid="{00000000-0005-0000-0000-00009D000000}"/>
    <cellStyle name="Normal 11 4 2 4 2 2 3 3 2 2 2 2 2 2 7 2 2 2 3 2 4 2 2" xfId="160" xr:uid="{00000000-0005-0000-0000-00009E000000}"/>
    <cellStyle name="Normal 11 4 2 4 2 2 3 3 2 2 2 2 2 2 7 2 2 2 3 2 4 3" xfId="161" xr:uid="{00000000-0005-0000-0000-00009F000000}"/>
    <cellStyle name="Normal 11 4 2 4 2 2 3 3 2 2 2 2 2 2 7 2 2 2 3 2 5" xfId="162" xr:uid="{00000000-0005-0000-0000-0000A0000000}"/>
    <cellStyle name="Normal 11 4 2 4 2 2 3 3 2 2 2 2 2 2 7 2 2 2 3 2 5 2" xfId="163" xr:uid="{00000000-0005-0000-0000-0000A1000000}"/>
    <cellStyle name="Normal 11 4 2 4 2 2 3 3 2 2 2 2 2 2 7 2 2 2 3 2 6" xfId="164" xr:uid="{00000000-0005-0000-0000-0000A2000000}"/>
    <cellStyle name="Normal 11 4 2 4 2 2 3 3 2 2 2 2 2 2 7 2 2 2 3 2 6 2" xfId="165" xr:uid="{00000000-0005-0000-0000-0000A3000000}"/>
    <cellStyle name="Normal 11 4 2 4 2 2 3 3 2 2 2 2 2 2 7 2 2 2 3 2 7" xfId="166" xr:uid="{00000000-0005-0000-0000-0000A4000000}"/>
    <cellStyle name="Normal 11 4 2 4 2 2 3 3 2 2 2 2 2 2 7 2 2 2 3 3" xfId="167" xr:uid="{00000000-0005-0000-0000-0000A5000000}"/>
    <cellStyle name="Normal 11 4 2 4 2 2 3 3 2 2 2 2 2 2 7 2 2 2 4" xfId="168" xr:uid="{00000000-0005-0000-0000-0000A6000000}"/>
    <cellStyle name="Normal 11 4 2 4 2 2 3 3 2 2 2 2 2 2 7 2 2 3" xfId="169" xr:uid="{00000000-0005-0000-0000-0000A7000000}"/>
    <cellStyle name="Normal 11 4 2 4 2 2 3 3 2 2 2 2 2 2 7 2 3" xfId="170" xr:uid="{00000000-0005-0000-0000-0000A8000000}"/>
    <cellStyle name="Normal 11 4 2 4 2 2 3 3 2 2 2 2 2 2 7 2 3 2" xfId="171" xr:uid="{00000000-0005-0000-0000-0000A9000000}"/>
    <cellStyle name="Normal 11 4 2 4 2 2 3 3 2 2 2 2 2 2 7 2 3 2 2" xfId="172" xr:uid="{00000000-0005-0000-0000-0000AA000000}"/>
    <cellStyle name="Normal 11 4 2 4 2 2 3 3 2 2 2 2 2 2 7 2 3 3" xfId="173" xr:uid="{00000000-0005-0000-0000-0000AB000000}"/>
    <cellStyle name="Normal 11 4 2 4 2 2 3 3 2 2 2 2 2 2 7 2 4" xfId="174" xr:uid="{00000000-0005-0000-0000-0000AC000000}"/>
    <cellStyle name="Normal 11 4 2 4 2 2 3 3 2 2 2 2 2 2 7 3" xfId="175" xr:uid="{00000000-0005-0000-0000-0000AD000000}"/>
    <cellStyle name="Normal 11 4 2 4 2 2 3 3 2 2 2 2 2 2 8" xfId="176" xr:uid="{00000000-0005-0000-0000-0000AE000000}"/>
    <cellStyle name="Normal 11 4 2 4 2 2 3 3 2 2 2 2 2 2 8 2" xfId="177" xr:uid="{00000000-0005-0000-0000-0000AF000000}"/>
    <cellStyle name="Normal 11 4 2 4 2 2 3 3 2 2 2 2 2 2 8 2 2" xfId="178" xr:uid="{00000000-0005-0000-0000-0000B0000000}"/>
    <cellStyle name="Normal 11 4 2 4 2 2 3 3 2 2 2 2 2 2 8 3" xfId="179" xr:uid="{00000000-0005-0000-0000-0000B1000000}"/>
    <cellStyle name="Normal 11 4 2 4 2 2 3 3 2 2 2 2 2 2 8 3 2" xfId="180" xr:uid="{00000000-0005-0000-0000-0000B2000000}"/>
    <cellStyle name="Normal 11 4 2 4 2 2 3 3 2 2 2 2 2 2 8 3 2 2" xfId="181" xr:uid="{00000000-0005-0000-0000-0000B3000000}"/>
    <cellStyle name="Normal 11 4 2 4 2 2 3 3 2 2 2 2 2 2 8 3 3" xfId="182" xr:uid="{00000000-0005-0000-0000-0000B4000000}"/>
    <cellStyle name="Normal 11 4 2 4 2 2 3 3 2 2 2 2 2 2 8 3 3 2" xfId="183" xr:uid="{00000000-0005-0000-0000-0000B5000000}"/>
    <cellStyle name="Normal 11 4 2 4 2 2 3 3 2 2 2 2 2 2 8 3 4" xfId="184" xr:uid="{00000000-0005-0000-0000-0000B6000000}"/>
    <cellStyle name="Normal 11 4 2 4 2 2 3 3 2 2 2 2 2 2 8 3 4 2" xfId="185" xr:uid="{00000000-0005-0000-0000-0000B7000000}"/>
    <cellStyle name="Normal 11 4 2 4 2 2 3 3 2 2 2 2 2 2 8 3 5" xfId="186" xr:uid="{00000000-0005-0000-0000-0000B8000000}"/>
    <cellStyle name="Normal 11 4 2 4 2 2 3 3 2 2 2 2 2 2 8 3 5 2" xfId="187" xr:uid="{00000000-0005-0000-0000-0000B9000000}"/>
    <cellStyle name="Normal 11 4 2 4 2 2 3 3 2 2 2 2 2 2 8 3 6" xfId="188" xr:uid="{00000000-0005-0000-0000-0000BA000000}"/>
    <cellStyle name="Normal 11 4 2 4 2 2 3 3 2 2 2 2 2 2 8 3 6 2" xfId="189" xr:uid="{00000000-0005-0000-0000-0000BB000000}"/>
    <cellStyle name="Normal 11 4 2 4 2 2 3 3 2 2 2 2 2 2 8 3 7" xfId="190" xr:uid="{00000000-0005-0000-0000-0000BC000000}"/>
    <cellStyle name="Normal 11 4 2 4 2 2 3 3 2 2 2 2 2 2 8 3 7 2" xfId="191" xr:uid="{00000000-0005-0000-0000-0000BD000000}"/>
    <cellStyle name="Normal 11 4 2 4 2 2 3 3 2 2 2 2 2 2 8 3 8" xfId="192" xr:uid="{00000000-0005-0000-0000-0000BE000000}"/>
    <cellStyle name="Normal 11 4 2 4 2 2 3 3 2 2 2 2 2 2 8 4" xfId="193" xr:uid="{00000000-0005-0000-0000-0000BF000000}"/>
    <cellStyle name="Normal 11 4 2 4 2 2 3 3 2 2 2 2 2 2 8 4 2" xfId="194" xr:uid="{00000000-0005-0000-0000-0000C0000000}"/>
    <cellStyle name="Normal 11 4 2 4 2 2 3 3 2 2 2 2 2 2 8 5" xfId="195" xr:uid="{00000000-0005-0000-0000-0000C1000000}"/>
    <cellStyle name="Normal 11 4 2 4 2 2 3 3 2 2 2 2 2 2 9" xfId="196" xr:uid="{00000000-0005-0000-0000-0000C2000000}"/>
    <cellStyle name="Normal 11 4 2 4 2 2 3 3 2 2 2 2 2 3" xfId="197" xr:uid="{00000000-0005-0000-0000-0000C3000000}"/>
    <cellStyle name="Normal 11 4 2 4 2 2 3 3 2 2 2 2 2 3 2" xfId="198" xr:uid="{00000000-0005-0000-0000-0000C4000000}"/>
    <cellStyle name="Normal 11 4 2 4 2 2 3 3 2 2 2 2 2 3 2 2" xfId="199" xr:uid="{00000000-0005-0000-0000-0000C5000000}"/>
    <cellStyle name="Normal 11 4 2 4 2 2 3 3 2 2 2 2 2 3 2 2 2" xfId="200" xr:uid="{00000000-0005-0000-0000-0000C6000000}"/>
    <cellStyle name="Normal 11 4 2 4 2 2 3 3 2 2 2 2 2 3 2 3" xfId="201" xr:uid="{00000000-0005-0000-0000-0000C7000000}"/>
    <cellStyle name="Normal 11 4 2 4 2 2 3 3 2 2 2 2 2 3 3" xfId="202" xr:uid="{00000000-0005-0000-0000-0000C8000000}"/>
    <cellStyle name="Normal 11 4 2 4 2 2 3 3 2 2 2 2 2 3 3 2" xfId="203" xr:uid="{00000000-0005-0000-0000-0000C9000000}"/>
    <cellStyle name="Normal 11 4 2 4 2 2 3 3 2 2 2 2 2 3 3 2 2" xfId="204" xr:uid="{00000000-0005-0000-0000-0000CA000000}"/>
    <cellStyle name="Normal 11 4 2 4 2 2 3 3 2 2 2 2 2 3 3 2 2 2" xfId="205" xr:uid="{00000000-0005-0000-0000-0000CB000000}"/>
    <cellStyle name="Normal 11 4 2 4 2 2 3 3 2 2 2 2 2 3 3 2 3" xfId="206" xr:uid="{00000000-0005-0000-0000-0000CC000000}"/>
    <cellStyle name="Normal 11 4 2 4 2 2 3 3 2 2 2 2 2 3 3 2 3 2" xfId="207" xr:uid="{00000000-0005-0000-0000-0000CD000000}"/>
    <cellStyle name="Normal 11 4 2 4 2 2 3 3 2 2 2 2 2 3 3 2 4" xfId="208" xr:uid="{00000000-0005-0000-0000-0000CE000000}"/>
    <cellStyle name="Normal 11 4 2 4 2 2 3 3 2 2 2 2 2 3 3 3" xfId="209" xr:uid="{00000000-0005-0000-0000-0000CF000000}"/>
    <cellStyle name="Normal 11 4 2 4 2 2 3 3 2 2 2 2 2 3 3 3 2" xfId="210" xr:uid="{00000000-0005-0000-0000-0000D0000000}"/>
    <cellStyle name="Normal 11 4 2 4 2 2 3 3 2 2 2 2 2 3 3 4" xfId="211" xr:uid="{00000000-0005-0000-0000-0000D1000000}"/>
    <cellStyle name="Normal 11 4 2 4 2 2 3 3 2 2 2 2 2 3 4" xfId="212" xr:uid="{00000000-0005-0000-0000-0000D2000000}"/>
    <cellStyle name="Normal 11 4 2 4 2 2 3 3 2 2 2 2 2 3 4 2" xfId="213" xr:uid="{00000000-0005-0000-0000-0000D3000000}"/>
    <cellStyle name="Normal 11 4 2 4 2 2 3 3 2 2 2 2 2 3 5" xfId="214" xr:uid="{00000000-0005-0000-0000-0000D4000000}"/>
    <cellStyle name="Normal 11 4 2 4 2 2 3 3 2 2 2 2 2 4" xfId="215" xr:uid="{00000000-0005-0000-0000-0000D5000000}"/>
    <cellStyle name="Normal 11 4 2 4 2 2 3 3 2 2 2 2 2 4 2" xfId="216" xr:uid="{00000000-0005-0000-0000-0000D6000000}"/>
    <cellStyle name="Normal 11 4 2 4 2 2 3 3 2 2 2 2 2 4 2 2" xfId="217" xr:uid="{00000000-0005-0000-0000-0000D7000000}"/>
    <cellStyle name="Normal 11 4 2 4 2 2 3 3 2 2 2 2 2 4 3" xfId="218" xr:uid="{00000000-0005-0000-0000-0000D8000000}"/>
    <cellStyle name="Normal 11 4 2 4 2 2 3 3 2 2 2 2 2 4 3 2" xfId="219" xr:uid="{00000000-0005-0000-0000-0000D9000000}"/>
    <cellStyle name="Normal 11 4 2 4 2 2 3 3 2 2 2 2 2 4 4" xfId="220" xr:uid="{00000000-0005-0000-0000-0000DA000000}"/>
    <cellStyle name="Normal 11 4 2 4 2 2 3 3 2 2 2 2 2 4 4 2" xfId="221" xr:uid="{00000000-0005-0000-0000-0000DB000000}"/>
    <cellStyle name="Normal 11 4 2 4 2 2 3 3 2 2 2 2 2 4 5" xfId="222" xr:uid="{00000000-0005-0000-0000-0000DC000000}"/>
    <cellStyle name="Normal 11 4 2 4 2 2 3 3 2 2 2 2 2 4 5 2" xfId="223" xr:uid="{00000000-0005-0000-0000-0000DD000000}"/>
    <cellStyle name="Normal 11 4 2 4 2 2 3 3 2 2 2 2 2 4 6" xfId="224" xr:uid="{00000000-0005-0000-0000-0000DE000000}"/>
    <cellStyle name="Normal 11 4 2 4 2 2 3 3 2 2 2 2 2 4 6 2" xfId="225" xr:uid="{00000000-0005-0000-0000-0000DF000000}"/>
    <cellStyle name="Normal 11 4 2 4 2 2 3 3 2 2 2 2 2 4 7" xfId="226" xr:uid="{00000000-0005-0000-0000-0000E0000000}"/>
    <cellStyle name="Normal 11 4 2 4 2 2 3 3 2 2 2 2 2 5" xfId="227" xr:uid="{00000000-0005-0000-0000-0000E1000000}"/>
    <cellStyle name="Normal 11 4 2 4 2 2 3 3 2 2 2 2 3" xfId="228" xr:uid="{00000000-0005-0000-0000-0000E2000000}"/>
    <cellStyle name="Normal 11 4 2 4 2 2 3 3 2 2 2 2 3 2" xfId="229" xr:uid="{00000000-0005-0000-0000-0000E3000000}"/>
    <cellStyle name="Normal 11 4 2 4 2 2 3 3 2 2 2 2 4" xfId="230" xr:uid="{00000000-0005-0000-0000-0000E4000000}"/>
    <cellStyle name="Normal 11 4 2 4 2 2 3 3 2 2 2 2 4 2" xfId="231" xr:uid="{00000000-0005-0000-0000-0000E5000000}"/>
    <cellStyle name="Normal 11 4 2 4 2 2 3 3 2 2 2 2 5" xfId="232" xr:uid="{00000000-0005-0000-0000-0000E6000000}"/>
    <cellStyle name="Normal 11 4 2 4 2 2 3 3 2 2 2 2 5 2" xfId="233" xr:uid="{00000000-0005-0000-0000-0000E7000000}"/>
    <cellStyle name="Normal 11 4 2 4 2 2 3 3 2 2 2 2 6" xfId="234" xr:uid="{00000000-0005-0000-0000-0000E8000000}"/>
    <cellStyle name="Normal 11 4 2 4 2 2 3 3 2 2 2 2 6 2" xfId="235" xr:uid="{00000000-0005-0000-0000-0000E9000000}"/>
    <cellStyle name="Normal 11 4 2 4 2 2 3 3 2 2 2 2 7" xfId="236" xr:uid="{00000000-0005-0000-0000-0000EA000000}"/>
    <cellStyle name="Normal 11 4 2 4 2 2 3 3 2 2 2 2 7 2" xfId="237" xr:uid="{00000000-0005-0000-0000-0000EB000000}"/>
    <cellStyle name="Normal 11 4 2 4 2 2 3 3 2 2 2 2 8" xfId="238" xr:uid="{00000000-0005-0000-0000-0000EC000000}"/>
    <cellStyle name="Normal 11 4 2 4 2 2 3 3 2 2 2 2 8 2" xfId="239" xr:uid="{00000000-0005-0000-0000-0000ED000000}"/>
    <cellStyle name="Normal 11 4 2 4 2 2 3 3 2 2 2 2 8 2 2" xfId="240" xr:uid="{00000000-0005-0000-0000-0000EE000000}"/>
    <cellStyle name="Normal 11 4 2 4 2 2 3 3 2 2 2 2 8 2 2 2" xfId="241" xr:uid="{00000000-0005-0000-0000-0000EF000000}"/>
    <cellStyle name="Normal 11 4 2 4 2 2 3 3 2 2 2 2 8 2 2 2 2" xfId="242" xr:uid="{00000000-0005-0000-0000-0000F0000000}"/>
    <cellStyle name="Normal 11 4 2 4 2 2 3 3 2 2 2 2 8 2 2 2 2 2" xfId="243" xr:uid="{00000000-0005-0000-0000-0000F1000000}"/>
    <cellStyle name="Normal 11 4 2 4 2 2 3 3 2 2 2 2 8 2 2 2 2 2 2" xfId="244" xr:uid="{00000000-0005-0000-0000-0000F2000000}"/>
    <cellStyle name="Normal 11 4 2 4 2 2 3 3 2 2 2 2 8 2 2 2 2 3" xfId="245" xr:uid="{00000000-0005-0000-0000-0000F3000000}"/>
    <cellStyle name="Normal 11 4 2 4 2 2 3 3 2 2 2 2 8 2 2 2 3" xfId="246" xr:uid="{00000000-0005-0000-0000-0000F4000000}"/>
    <cellStyle name="Normal 11 4 2 4 2 2 3 3 2 2 2 2 8 2 2 2 3 2" xfId="247" xr:uid="{00000000-0005-0000-0000-0000F5000000}"/>
    <cellStyle name="Normal 11 4 2 4 2 2 3 3 2 2 2 2 8 2 2 2 3 2 2" xfId="248" xr:uid="{00000000-0005-0000-0000-0000F6000000}"/>
    <cellStyle name="Normal 11 4 2 4 2 2 3 3 2 2 2 2 8 2 2 2 3 2 2 2" xfId="249" xr:uid="{00000000-0005-0000-0000-0000F7000000}"/>
    <cellStyle name="Normal 11 4 2 4 2 2 3 3 2 2 2 2 8 2 2 2 3 2 3" xfId="250" xr:uid="{00000000-0005-0000-0000-0000F8000000}"/>
    <cellStyle name="Normal 11 4 2 4 2 2 3 3 2 2 2 2 8 2 2 2 3 2 3 2" xfId="251" xr:uid="{00000000-0005-0000-0000-0000F9000000}"/>
    <cellStyle name="Normal 11 4 2 4 2 2 3 3 2 2 2 2 8 2 2 2 3 2 4" xfId="252" xr:uid="{00000000-0005-0000-0000-0000FA000000}"/>
    <cellStyle name="Normal 11 4 2 4 2 2 3 3 2 2 2 2 8 2 2 2 3 2 4 2" xfId="253" xr:uid="{00000000-0005-0000-0000-0000FB000000}"/>
    <cellStyle name="Normal 11 4 2 4 2 2 3 3 2 2 2 2 8 2 2 2 3 2 5" xfId="254" xr:uid="{00000000-0005-0000-0000-0000FC000000}"/>
    <cellStyle name="Normal 11 4 2 4 2 2 3 3 2 2 2 2 8 2 2 2 3 2 5 2" xfId="255" xr:uid="{00000000-0005-0000-0000-0000FD000000}"/>
    <cellStyle name="Normal 11 4 2 4 2 2 3 3 2 2 2 2 8 2 2 2 3 2 6" xfId="256" xr:uid="{00000000-0005-0000-0000-0000FE000000}"/>
    <cellStyle name="Normal 11 4 2 4 2 2 3 3 2 2 2 2 8 2 2 2 3 2 6 2" xfId="257" xr:uid="{00000000-0005-0000-0000-0000FF000000}"/>
    <cellStyle name="Normal 11 4 2 4 2 2 3 3 2 2 2 2 8 2 2 2 3 2 7" xfId="258" xr:uid="{00000000-0005-0000-0000-000000010000}"/>
    <cellStyle name="Normal 11 4 2 4 2 2 3 3 2 2 2 2 8 2 2 2 3 3" xfId="259" xr:uid="{00000000-0005-0000-0000-000001010000}"/>
    <cellStyle name="Normal 11 4 2 4 2 2 3 3 2 2 2 2 8 2 2 2 4" xfId="260" xr:uid="{00000000-0005-0000-0000-000002010000}"/>
    <cellStyle name="Normal 11 4 2 4 2 2 3 3 2 2 2 2 8 2 2 3" xfId="261" xr:uid="{00000000-0005-0000-0000-000003010000}"/>
    <cellStyle name="Normal 11 4 2 4 2 2 3 3 2 2 2 2 8 2 2 3 2" xfId="262" xr:uid="{00000000-0005-0000-0000-000004010000}"/>
    <cellStyle name="Normal 11 4 2 4 2 2 3 3 2 2 2 2 8 2 2 3 2 2" xfId="263" xr:uid="{00000000-0005-0000-0000-000005010000}"/>
    <cellStyle name="Normal 11 4 2 4 2 2 3 3 2 2 2 2 8 2 2 3 3" xfId="264" xr:uid="{00000000-0005-0000-0000-000006010000}"/>
    <cellStyle name="Normal 11 4 2 4 2 2 3 3 2 2 2 2 8 2 2 4" xfId="265" xr:uid="{00000000-0005-0000-0000-000007010000}"/>
    <cellStyle name="Normal 11 4 2 4 2 2 3 3 2 2 2 2 8 2 2 4 2" xfId="266" xr:uid="{00000000-0005-0000-0000-000008010000}"/>
    <cellStyle name="Normal 11 4 2 4 2 2 3 3 2 2 2 2 8 2 2 4 2 2" xfId="267" xr:uid="{00000000-0005-0000-0000-000009010000}"/>
    <cellStyle name="Normal 11 4 2 4 2 2 3 3 2 2 2 2 8 2 2 4 3" xfId="268" xr:uid="{00000000-0005-0000-0000-00000A010000}"/>
    <cellStyle name="Normal 11 4 2 4 2 2 3 3 2 2 2 2 8 2 2 5" xfId="269" xr:uid="{00000000-0005-0000-0000-00000B010000}"/>
    <cellStyle name="Normal 11 4 2 4 2 2 3 3 2 2 2 2 8 2 3" xfId="270" xr:uid="{00000000-0005-0000-0000-00000C010000}"/>
    <cellStyle name="Normal 11 4 2 4 2 2 3 3 2 2 2 2 8 2 3 2" xfId="271" xr:uid="{00000000-0005-0000-0000-00000D010000}"/>
    <cellStyle name="Normal 11 4 2 4 2 2 3 3 2 2 2 2 8 2 3 2 2" xfId="272" xr:uid="{00000000-0005-0000-0000-00000E010000}"/>
    <cellStyle name="Normal 11 4 2 4 2 2 3 3 2 2 2 2 8 2 3 3" xfId="273" xr:uid="{00000000-0005-0000-0000-00000F010000}"/>
    <cellStyle name="Normal 11 4 2 4 2 2 3 3 2 2 2 2 8 2 4" xfId="274" xr:uid="{00000000-0005-0000-0000-000010010000}"/>
    <cellStyle name="Normal 11 4 2 4 2 2 3 3 2 2 2 2 8 3" xfId="275" xr:uid="{00000000-0005-0000-0000-000011010000}"/>
    <cellStyle name="Normal 11 4 2 4 2 2 3 3 2 2 2 2 9" xfId="276" xr:uid="{00000000-0005-0000-0000-000012010000}"/>
    <cellStyle name="Normal 11 4 2 4 2 2 3 3 2 2 2 2 9 2" xfId="277" xr:uid="{00000000-0005-0000-0000-000013010000}"/>
    <cellStyle name="Normal 11 4 2 4 2 2 3 3 2 2 2 2 9 2 2" xfId="278" xr:uid="{00000000-0005-0000-0000-000014010000}"/>
    <cellStyle name="Normal 11 4 2 4 2 2 3 3 2 2 2 2 9 3" xfId="279" xr:uid="{00000000-0005-0000-0000-000015010000}"/>
    <cellStyle name="Normal 11 4 2 4 2 2 3 3 2 2 2 2 9 3 2" xfId="280" xr:uid="{00000000-0005-0000-0000-000016010000}"/>
    <cellStyle name="Normal 11 4 2 4 2 2 3 3 2 2 2 2 9 4" xfId="281" xr:uid="{00000000-0005-0000-0000-000017010000}"/>
    <cellStyle name="Normal 11 4 2 4 2 2 3 3 2 2 2 2 9 4 2" xfId="282" xr:uid="{00000000-0005-0000-0000-000018010000}"/>
    <cellStyle name="Normal 11 4 2 4 2 2 3 3 2 2 2 2 9 4 2 2" xfId="283" xr:uid="{00000000-0005-0000-0000-000019010000}"/>
    <cellStyle name="Normal 11 4 2 4 2 2 3 3 2 2 2 2 9 4 3" xfId="284" xr:uid="{00000000-0005-0000-0000-00001A010000}"/>
    <cellStyle name="Normal 11 4 2 4 2 2 3 3 2 2 2 2 9 4 3 2" xfId="285" xr:uid="{00000000-0005-0000-0000-00001B010000}"/>
    <cellStyle name="Normal 11 4 2 4 2 2 3 3 2 2 2 2 9 4 4" xfId="286" xr:uid="{00000000-0005-0000-0000-00001C010000}"/>
    <cellStyle name="Normal 11 4 2 4 2 2 3 3 2 2 2 2 9 4 4 2" xfId="287" xr:uid="{00000000-0005-0000-0000-00001D010000}"/>
    <cellStyle name="Normal 11 4 2 4 2 2 3 3 2 2 2 2 9 4 5" xfId="288" xr:uid="{00000000-0005-0000-0000-00001E010000}"/>
    <cellStyle name="Normal 11 4 2 4 2 2 3 3 2 2 2 2 9 4 5 2" xfId="289" xr:uid="{00000000-0005-0000-0000-00001F010000}"/>
    <cellStyle name="Normal 11 4 2 4 2 2 3 3 2 2 2 2 9 4 6" xfId="290" xr:uid="{00000000-0005-0000-0000-000020010000}"/>
    <cellStyle name="Normal 11 4 2 4 2 2 3 3 2 2 2 2 9 4 6 2" xfId="291" xr:uid="{00000000-0005-0000-0000-000021010000}"/>
    <cellStyle name="Normal 11 4 2 4 2 2 3 3 2 2 2 2 9 4 7" xfId="292" xr:uid="{00000000-0005-0000-0000-000022010000}"/>
    <cellStyle name="Normal 11 4 2 4 2 2 3 3 2 2 2 2 9 5" xfId="293" xr:uid="{00000000-0005-0000-0000-000023010000}"/>
    <cellStyle name="Normal 11 4 2 4 2 2 3 3 2 2 2 3" xfId="294" xr:uid="{00000000-0005-0000-0000-000024010000}"/>
    <cellStyle name="Normal 11 4 2 4 2 2 3 3 2 2 3" xfId="295" xr:uid="{00000000-0005-0000-0000-000025010000}"/>
    <cellStyle name="Normal 11 4 2 4 2 2 3 3 2 2 3 2" xfId="296" xr:uid="{00000000-0005-0000-0000-000026010000}"/>
    <cellStyle name="Normal 11 4 2 4 2 2 3 3 2 2 4" xfId="297" xr:uid="{00000000-0005-0000-0000-000027010000}"/>
    <cellStyle name="Normal 11 4 2 4 2 2 3 3 2 2 4 2" xfId="298" xr:uid="{00000000-0005-0000-0000-000028010000}"/>
    <cellStyle name="Normal 11 4 2 4 2 2 3 3 2 2 5" xfId="299" xr:uid="{00000000-0005-0000-0000-000029010000}"/>
    <cellStyle name="Normal 11 4 2 4 2 2 3 3 2 2 5 2" xfId="300" xr:uid="{00000000-0005-0000-0000-00002A010000}"/>
    <cellStyle name="Normal 11 4 2 4 2 2 3 3 2 2 6" xfId="301" xr:uid="{00000000-0005-0000-0000-00002B010000}"/>
    <cellStyle name="Normal 11 4 2 4 2 2 3 3 2 3" xfId="302" xr:uid="{00000000-0005-0000-0000-00002C010000}"/>
    <cellStyle name="Normal 11 4 2 4 2 2 3 3 2 3 2" xfId="303" xr:uid="{00000000-0005-0000-0000-00002D010000}"/>
    <cellStyle name="Normal 11 4 2 4 2 2 3 3 2 3 2 2" xfId="304" xr:uid="{00000000-0005-0000-0000-00002E010000}"/>
    <cellStyle name="Normal 11 4 2 4 2 2 3 3 2 3 2 2 2" xfId="305" xr:uid="{00000000-0005-0000-0000-00002F010000}"/>
    <cellStyle name="Normal 11 4 2 4 2 2 3 3 2 3 2 2 2 2" xfId="306" xr:uid="{00000000-0005-0000-0000-000030010000}"/>
    <cellStyle name="Normal 11 4 2 4 2 2 3 3 2 3 2 2 2 2 2" xfId="307" xr:uid="{00000000-0005-0000-0000-000031010000}"/>
    <cellStyle name="Normal 11 4 2 4 2 2 3 3 2 3 2 2 2 2 2 2" xfId="308" xr:uid="{00000000-0005-0000-0000-000032010000}"/>
    <cellStyle name="Normal 11 4 2 4 2 2 3 3 2 3 2 2 2 2 3" xfId="309" xr:uid="{00000000-0005-0000-0000-000033010000}"/>
    <cellStyle name="Normal 11 4 2 4 2 2 3 3 2 3 2 2 2 2 3 2" xfId="310" xr:uid="{00000000-0005-0000-0000-000034010000}"/>
    <cellStyle name="Normal 11 4 2 4 2 2 3 3 2 3 2 2 2 2 4" xfId="311" xr:uid="{00000000-0005-0000-0000-000035010000}"/>
    <cellStyle name="Normal 11 4 2 4 2 2 3 3 2 3 2 2 2 2 4 2" xfId="312" xr:uid="{00000000-0005-0000-0000-000036010000}"/>
    <cellStyle name="Normal 11 4 2 4 2 2 3 3 2 3 2 2 2 2 4 2 2" xfId="313" xr:uid="{00000000-0005-0000-0000-000037010000}"/>
    <cellStyle name="Normal 11 4 2 4 2 2 3 3 2 3 2 2 2 2 4 3" xfId="314" xr:uid="{00000000-0005-0000-0000-000038010000}"/>
    <cellStyle name="Normal 11 4 2 4 2 2 3 3 2 3 2 2 2 2 5" xfId="315" xr:uid="{00000000-0005-0000-0000-000039010000}"/>
    <cellStyle name="Normal 11 4 2 4 2 2 3 3 2 3 2 2 2 2 5 2" xfId="316" xr:uid="{00000000-0005-0000-0000-00003A010000}"/>
    <cellStyle name="Normal 11 4 2 4 2 2 3 3 2 3 2 2 2 2 6" xfId="317" xr:uid="{00000000-0005-0000-0000-00003B010000}"/>
    <cellStyle name="Normal 11 4 2 4 2 2 3 3 2 3 2 2 2 2 6 2" xfId="318" xr:uid="{00000000-0005-0000-0000-00003C010000}"/>
    <cellStyle name="Normal 11 4 2 4 2 2 3 3 2 3 2 2 2 2 7" xfId="319" xr:uid="{00000000-0005-0000-0000-00003D010000}"/>
    <cellStyle name="Normal 11 4 2 4 2 2 3 3 2 3 2 2 2 2 7 2" xfId="320" xr:uid="{00000000-0005-0000-0000-00003E010000}"/>
    <cellStyle name="Normal 11 4 2 4 2 2 3 3 2 3 2 2 2 2 7 2 2" xfId="321" xr:uid="{00000000-0005-0000-0000-00003F010000}"/>
    <cellStyle name="Normal 11 4 2 4 2 2 3 3 2 3 2 2 2 2 7 2 2 2" xfId="322" xr:uid="{00000000-0005-0000-0000-000040010000}"/>
    <cellStyle name="Normal 11 4 2 4 2 2 3 3 2 3 2 2 2 2 7 2 2 2 2" xfId="323" xr:uid="{00000000-0005-0000-0000-000041010000}"/>
    <cellStyle name="Normal 11 4 2 4 2 2 3 3 2 3 2 2 2 2 7 2 2 2 2 2" xfId="324" xr:uid="{00000000-0005-0000-0000-000042010000}"/>
    <cellStyle name="Normal 11 4 2 4 2 2 3 3 2 3 2 2 2 2 7 2 2 2 2 2 2" xfId="325" xr:uid="{00000000-0005-0000-0000-000043010000}"/>
    <cellStyle name="Normal 11 4 2 4 2 2 3 3 2 3 2 2 2 2 7 2 2 2 2 2 2 2" xfId="326" xr:uid="{00000000-0005-0000-0000-000044010000}"/>
    <cellStyle name="Normal 11 4 2 4 2 2 3 3 2 3 2 2 2 2 7 2 2 2 2 2 2 2 2" xfId="327" xr:uid="{00000000-0005-0000-0000-000045010000}"/>
    <cellStyle name="Normal 11 4 2 4 2 2 3 3 2 3 2 2 2 2 7 2 2 2 2 2 2 3" xfId="328" xr:uid="{00000000-0005-0000-0000-000046010000}"/>
    <cellStyle name="Normal 11 4 2 4 2 2 3 3 2 3 2 2 2 2 7 2 2 2 2 2 3" xfId="329" xr:uid="{00000000-0005-0000-0000-000047010000}"/>
    <cellStyle name="Normal 11 4 2 4 2 2 3 3 2 3 2 2 2 2 7 2 2 2 2 2 3 2" xfId="330" xr:uid="{00000000-0005-0000-0000-000048010000}"/>
    <cellStyle name="Normal 11 4 2 4 2 2 3 3 2 3 2 2 2 2 7 2 2 2 2 2 4" xfId="331" xr:uid="{00000000-0005-0000-0000-000049010000}"/>
    <cellStyle name="Normal 11 4 2 4 2 2 3 3 2 3 2 2 2 2 7 2 2 2 2 2 4 2" xfId="332" xr:uid="{00000000-0005-0000-0000-00004A010000}"/>
    <cellStyle name="Normal 11 4 2 4 2 2 3 3 2 3 2 2 2 2 7 2 2 2 2 2 5" xfId="333" xr:uid="{00000000-0005-0000-0000-00004B010000}"/>
    <cellStyle name="Normal 11 4 2 4 2 2 3 3 2 3 2 2 2 2 7 2 2 2 2 2 5 2" xfId="334" xr:uid="{00000000-0005-0000-0000-00004C010000}"/>
    <cellStyle name="Normal 11 4 2 4 2 2 3 3 2 3 2 2 2 2 7 2 2 2 2 2 6" xfId="335" xr:uid="{00000000-0005-0000-0000-00004D010000}"/>
    <cellStyle name="Normal 11 4 2 4 2 2 3 3 2 3 2 2 2 2 7 2 2 2 2 2 6 2" xfId="336" xr:uid="{00000000-0005-0000-0000-00004E010000}"/>
    <cellStyle name="Normal 11 4 2 4 2 2 3 3 2 3 2 2 2 2 7 2 2 2 2 2 7" xfId="337" xr:uid="{00000000-0005-0000-0000-00004F010000}"/>
    <cellStyle name="Normal 11 4 2 4 2 2 3 3 2 3 2 2 2 2 7 2 2 2 2 2 7 2" xfId="338" xr:uid="{00000000-0005-0000-0000-000050010000}"/>
    <cellStyle name="Normal 11 4 2 4 2 2 3 3 2 3 2 2 2 2 7 2 2 2 2 2 8" xfId="339" xr:uid="{00000000-0005-0000-0000-000051010000}"/>
    <cellStyle name="Normal 11 4 2 4 2 2 3 3 2 3 2 2 2 2 7 2 2 2 2 3" xfId="340" xr:uid="{00000000-0005-0000-0000-000052010000}"/>
    <cellStyle name="Normal 11 4 2 4 2 2 3 3 2 3 2 2 2 2 7 2 2 2 3" xfId="341" xr:uid="{00000000-0005-0000-0000-000053010000}"/>
    <cellStyle name="Normal 11 4 2 4 2 2 3 3 2 3 2 2 2 2 7 2 2 2 3 2" xfId="342" xr:uid="{00000000-0005-0000-0000-000054010000}"/>
    <cellStyle name="Normal 11 4 2 4 2 2 3 3 2 3 2 2 2 2 7 2 2 2 3 2 2" xfId="343" xr:uid="{00000000-0005-0000-0000-000055010000}"/>
    <cellStyle name="Normal 11 4 2 4 2 2 3 3 2 3 2 2 2 2 7 2 2 2 3 2 2 2" xfId="344" xr:uid="{00000000-0005-0000-0000-000056010000}"/>
    <cellStyle name="Normal 11 4 2 4 2 2 3 3 2 3 2 2 2 2 7 2 2 2 3 2 3" xfId="345" xr:uid="{00000000-0005-0000-0000-000057010000}"/>
    <cellStyle name="Normal 11 4 2 4 2 2 3 3 2 3 2 2 2 2 7 2 2 2 3 2 3 2" xfId="346" xr:uid="{00000000-0005-0000-0000-000058010000}"/>
    <cellStyle name="Normal 11 4 2 4 2 2 3 3 2 3 2 2 2 2 7 2 2 2 3 2 4" xfId="347" xr:uid="{00000000-0005-0000-0000-000059010000}"/>
    <cellStyle name="Normal 11 4 2 4 2 2 3 3 2 3 2 2 2 2 7 2 2 2 3 2 4 2" xfId="348" xr:uid="{00000000-0005-0000-0000-00005A010000}"/>
    <cellStyle name="Normal 11 4 2 4 2 2 3 3 2 3 2 2 2 2 7 2 2 2 3 2 5" xfId="349" xr:uid="{00000000-0005-0000-0000-00005B010000}"/>
    <cellStyle name="Normal 11 4 2 4 2 2 3 3 2 3 2 2 2 2 7 2 2 2 3 2 5 2" xfId="350" xr:uid="{00000000-0005-0000-0000-00005C010000}"/>
    <cellStyle name="Normal 11 4 2 4 2 2 3 3 2 3 2 2 2 2 7 2 2 2 3 2 6" xfId="351" xr:uid="{00000000-0005-0000-0000-00005D010000}"/>
    <cellStyle name="Normal 11 4 2 4 2 2 3 3 2 3 2 2 2 2 7 2 2 2 3 2 6 2" xfId="352" xr:uid="{00000000-0005-0000-0000-00005E010000}"/>
    <cellStyle name="Normal 11 4 2 4 2 2 3 3 2 3 2 2 2 2 7 2 2 2 3 2 7" xfId="353" xr:uid="{00000000-0005-0000-0000-00005F010000}"/>
    <cellStyle name="Normal 11 4 2 4 2 2 3 3 2 3 2 2 2 2 7 2 2 2 3 3" xfId="354" xr:uid="{00000000-0005-0000-0000-000060010000}"/>
    <cellStyle name="Normal 11 4 2 4 2 2 3 3 2 3 2 2 2 2 7 2 2 2 4" xfId="355" xr:uid="{00000000-0005-0000-0000-000061010000}"/>
    <cellStyle name="Normal 11 4 2 4 2 2 3 3 2 3 2 2 2 2 7 2 2 3" xfId="356" xr:uid="{00000000-0005-0000-0000-000062010000}"/>
    <cellStyle name="Normal 11 4 2 4 2 2 3 3 2 3 2 2 2 2 7 2 3" xfId="357" xr:uid="{00000000-0005-0000-0000-000063010000}"/>
    <cellStyle name="Normal 11 4 2 4 2 2 3 3 2 3 2 2 2 2 7 2 3 2" xfId="358" xr:uid="{00000000-0005-0000-0000-000064010000}"/>
    <cellStyle name="Normal 11 4 2 4 2 2 3 3 2 3 2 2 2 2 7 2 3 2 2" xfId="359" xr:uid="{00000000-0005-0000-0000-000065010000}"/>
    <cellStyle name="Normal 11 4 2 4 2 2 3 3 2 3 2 2 2 2 7 2 3 3" xfId="360" xr:uid="{00000000-0005-0000-0000-000066010000}"/>
    <cellStyle name="Normal 11 4 2 4 2 2 3 3 2 3 2 2 2 2 7 2 4" xfId="361" xr:uid="{00000000-0005-0000-0000-000067010000}"/>
    <cellStyle name="Normal 11 4 2 4 2 2 3 3 2 3 2 2 2 2 7 3" xfId="362" xr:uid="{00000000-0005-0000-0000-000068010000}"/>
    <cellStyle name="Normal 11 4 2 4 2 2 3 3 2 3 2 2 2 2 8" xfId="363" xr:uid="{00000000-0005-0000-0000-000069010000}"/>
    <cellStyle name="Normal 11 4 2 4 2 2 3 3 2 3 2 2 2 2 8 2" xfId="364" xr:uid="{00000000-0005-0000-0000-00006A010000}"/>
    <cellStyle name="Normal 11 4 2 4 2 2 3 3 2 3 2 2 2 2 8 2 2" xfId="365" xr:uid="{00000000-0005-0000-0000-00006B010000}"/>
    <cellStyle name="Normal 11 4 2 4 2 2 3 3 2 3 2 2 2 2 8 3" xfId="366" xr:uid="{00000000-0005-0000-0000-00006C010000}"/>
    <cellStyle name="Normal 11 4 2 4 2 2 3 3 2 3 2 2 2 2 8 3 2" xfId="367" xr:uid="{00000000-0005-0000-0000-00006D010000}"/>
    <cellStyle name="Normal 11 4 2 4 2 2 3 3 2 3 2 2 2 2 8 3 2 2" xfId="368" xr:uid="{00000000-0005-0000-0000-00006E010000}"/>
    <cellStyle name="Normal 11 4 2 4 2 2 3 3 2 3 2 2 2 2 8 3 3" xfId="369" xr:uid="{00000000-0005-0000-0000-00006F010000}"/>
    <cellStyle name="Normal 11 4 2 4 2 2 3 3 2 3 2 2 2 2 8 3 3 2" xfId="370" xr:uid="{00000000-0005-0000-0000-000070010000}"/>
    <cellStyle name="Normal 11 4 2 4 2 2 3 3 2 3 2 2 2 2 8 3 4" xfId="371" xr:uid="{00000000-0005-0000-0000-000071010000}"/>
    <cellStyle name="Normal 11 4 2 4 2 2 3 3 2 3 2 2 2 2 8 3 4 2" xfId="372" xr:uid="{00000000-0005-0000-0000-000072010000}"/>
    <cellStyle name="Normal 11 4 2 4 2 2 3 3 2 3 2 2 2 2 8 3 4 2 2" xfId="373" xr:uid="{00000000-0005-0000-0000-000073010000}"/>
    <cellStyle name="Normal 11 4 2 4 2 2 3 3 2 3 2 2 2 2 8 3 4 2 2 2" xfId="374" xr:uid="{00000000-0005-0000-0000-000074010000}"/>
    <cellStyle name="Normal 11 4 2 4 2 2 3 3 2 3 2 2 2 2 8 3 4 2 3" xfId="375" xr:uid="{00000000-0005-0000-0000-000075010000}"/>
    <cellStyle name="Normal 11 4 2 4 2 2 3 3 2 3 2 2 2 2 8 3 4 2 3 2" xfId="376" xr:uid="{00000000-0005-0000-0000-000076010000}"/>
    <cellStyle name="Normal 11 4 2 4 2 2 3 3 2 3 2 2 2 2 8 3 4 2 4" xfId="377" xr:uid="{00000000-0005-0000-0000-000077010000}"/>
    <cellStyle name="Normal 11 4 2 4 2 2 3 3 2 3 2 2 2 2 8 3 4 2 4 2" xfId="378" xr:uid="{00000000-0005-0000-0000-000078010000}"/>
    <cellStyle name="Normal 11 4 2 4 2 2 3 3 2 3 2 2 2 2 8 3 4 2 5" xfId="379" xr:uid="{00000000-0005-0000-0000-000079010000}"/>
    <cellStyle name="Normal 11 4 2 4 2 2 3 3 2 3 2 2 2 2 8 3 4 2 5 2" xfId="380" xr:uid="{00000000-0005-0000-0000-00007A010000}"/>
    <cellStyle name="Normal 11 4 2 4 2 2 3 3 2 3 2 2 2 2 8 3 4 2 6" xfId="381" xr:uid="{00000000-0005-0000-0000-00007B010000}"/>
    <cellStyle name="Normal 11 4 2 4 2 2 3 3 2 3 2 2 2 2 8 3 4 2 6 2" xfId="382" xr:uid="{00000000-0005-0000-0000-00007C010000}"/>
    <cellStyle name="Normal 11 4 2 4 2 2 3 3 2 3 2 2 2 2 8 3 4 2 7" xfId="383" xr:uid="{00000000-0005-0000-0000-00007D010000}"/>
    <cellStyle name="Normal 11 4 2 4 2 2 3 3 2 3 2 2 2 2 8 3 4 3" xfId="384" xr:uid="{00000000-0005-0000-0000-00007E010000}"/>
    <cellStyle name="Normal 11 4 2 4 2 2 3 3 2 3 2 2 2 2 8 3 5" xfId="385" xr:uid="{00000000-0005-0000-0000-00007F010000}"/>
    <cellStyle name="Normal 11 4 2 4 2 2 3 3 2 3 2 2 2 2 8 4" xfId="386" xr:uid="{00000000-0005-0000-0000-000080010000}"/>
    <cellStyle name="Normal 11 4 2 4 2 2 3 3 2 3 2 2 2 2 9" xfId="387" xr:uid="{00000000-0005-0000-0000-000081010000}"/>
    <cellStyle name="Normal 11 4 2 4 2 2 3 3 2 3 2 2 2 3" xfId="388" xr:uid="{00000000-0005-0000-0000-000082010000}"/>
    <cellStyle name="Normal 11 4 2 4 2 2 3 3 2 3 2 2 2 3 2" xfId="389" xr:uid="{00000000-0005-0000-0000-000083010000}"/>
    <cellStyle name="Normal 11 4 2 4 2 2 3 3 2 3 2 2 2 3 2 2" xfId="390" xr:uid="{00000000-0005-0000-0000-000084010000}"/>
    <cellStyle name="Normal 11 4 2 4 2 2 3 3 2 3 2 2 2 3 2 2 2" xfId="391" xr:uid="{00000000-0005-0000-0000-000085010000}"/>
    <cellStyle name="Normal 11 4 2 4 2 2 3 3 2 3 2 2 2 3 2 2 2 2" xfId="392" xr:uid="{00000000-0005-0000-0000-000086010000}"/>
    <cellStyle name="Normal 11 4 2 4 2 2 3 3 2 3 2 2 2 3 2 2 3" xfId="393" xr:uid="{00000000-0005-0000-0000-000087010000}"/>
    <cellStyle name="Normal 11 4 2 4 2 2 3 3 2 3 2 2 2 3 2 3" xfId="394" xr:uid="{00000000-0005-0000-0000-000088010000}"/>
    <cellStyle name="Normal 11 4 2 4 2 2 3 3 2 3 2 2 2 3 3" xfId="395" xr:uid="{00000000-0005-0000-0000-000089010000}"/>
    <cellStyle name="Normal 11 4 2 4 2 2 3 3 2 3 2 2 2 3 3 2" xfId="396" xr:uid="{00000000-0005-0000-0000-00008A010000}"/>
    <cellStyle name="Normal 11 4 2 4 2 2 3 3 2 3 2 2 2 3 3 2 2" xfId="397" xr:uid="{00000000-0005-0000-0000-00008B010000}"/>
    <cellStyle name="Normal 11 4 2 4 2 2 3 3 2 3 2 2 2 3 3 2 2 2" xfId="398" xr:uid="{00000000-0005-0000-0000-00008C010000}"/>
    <cellStyle name="Normal 11 4 2 4 2 2 3 3 2 3 2 2 2 3 3 2 3" xfId="399" xr:uid="{00000000-0005-0000-0000-00008D010000}"/>
    <cellStyle name="Normal 11 4 2 4 2 2 3 3 2 3 2 2 2 3 3 2 3 2" xfId="400" xr:uid="{00000000-0005-0000-0000-00008E010000}"/>
    <cellStyle name="Normal 11 4 2 4 2 2 3 3 2 3 2 2 2 3 3 2 4" xfId="401" xr:uid="{00000000-0005-0000-0000-00008F010000}"/>
    <cellStyle name="Normal 11 4 2 4 2 2 3 3 2 3 2 2 2 3 3 3" xfId="402" xr:uid="{00000000-0005-0000-0000-000090010000}"/>
    <cellStyle name="Normal 11 4 2 4 2 2 3 3 2 3 2 2 2 3 3 3 2" xfId="403" xr:uid="{00000000-0005-0000-0000-000091010000}"/>
    <cellStyle name="Normal 11 4 2 4 2 2 3 3 2 3 2 2 2 3 3 4" xfId="404" xr:uid="{00000000-0005-0000-0000-000092010000}"/>
    <cellStyle name="Normal 11 4 2 4 2 2 3 3 2 3 2 2 2 3 4" xfId="405" xr:uid="{00000000-0005-0000-0000-000093010000}"/>
    <cellStyle name="Normal 11 4 2 4 2 2 3 3 2 3 2 2 2 3 4 2" xfId="406" xr:uid="{00000000-0005-0000-0000-000094010000}"/>
    <cellStyle name="Normal 11 4 2 4 2 2 3 3 2 3 2 2 2 3 5" xfId="407" xr:uid="{00000000-0005-0000-0000-000095010000}"/>
    <cellStyle name="Normal 11 4 2 4 2 2 3 3 2 3 2 2 2 4" xfId="408" xr:uid="{00000000-0005-0000-0000-000096010000}"/>
    <cellStyle name="Normal 11 4 2 4 2 2 3 3 2 3 2 2 2 4 2" xfId="409" xr:uid="{00000000-0005-0000-0000-000097010000}"/>
    <cellStyle name="Normal 11 4 2 4 2 2 3 3 2 3 2 2 2 4 2 2" xfId="410" xr:uid="{00000000-0005-0000-0000-000098010000}"/>
    <cellStyle name="Normal 11 4 2 4 2 2 3 3 2 3 2 2 2 4 3" xfId="411" xr:uid="{00000000-0005-0000-0000-000099010000}"/>
    <cellStyle name="Normal 11 4 2 4 2 2 3 3 2 3 2 2 2 4 3 2" xfId="412" xr:uid="{00000000-0005-0000-0000-00009A010000}"/>
    <cellStyle name="Normal 11 4 2 4 2 2 3 3 2 3 2 2 2 4 3 2 2" xfId="413" xr:uid="{00000000-0005-0000-0000-00009B010000}"/>
    <cellStyle name="Normal 11 4 2 4 2 2 3 3 2 3 2 2 2 4 3 2 2 2" xfId="414" xr:uid="{00000000-0005-0000-0000-00009C010000}"/>
    <cellStyle name="Normal 11 4 2 4 2 2 3 3 2 3 2 2 2 4 3 2 3" xfId="415" xr:uid="{00000000-0005-0000-0000-00009D010000}"/>
    <cellStyle name="Normal 11 4 2 4 2 2 3 3 2 3 2 2 2 4 3 3" xfId="416" xr:uid="{00000000-0005-0000-0000-00009E010000}"/>
    <cellStyle name="Normal 11 4 2 4 2 2 3 3 2 3 2 2 2 4 3 3 2" xfId="417" xr:uid="{00000000-0005-0000-0000-00009F010000}"/>
    <cellStyle name="Normal 11 4 2 4 2 2 3 3 2 3 2 2 2 4 3 4" xfId="418" xr:uid="{00000000-0005-0000-0000-0000A0010000}"/>
    <cellStyle name="Normal 11 4 2 4 2 2 3 3 2 3 2 2 2 4 3 4 2" xfId="419" xr:uid="{00000000-0005-0000-0000-0000A1010000}"/>
    <cellStyle name="Normal 11 4 2 4 2 2 3 3 2 3 2 2 2 4 3 5" xfId="420" xr:uid="{00000000-0005-0000-0000-0000A2010000}"/>
    <cellStyle name="Normal 11 4 2 4 2 2 3 3 2 3 2 2 2 4 3 5 2" xfId="421" xr:uid="{00000000-0005-0000-0000-0000A3010000}"/>
    <cellStyle name="Normal 11 4 2 4 2 2 3 3 2 3 2 2 2 4 3 6" xfId="422" xr:uid="{00000000-0005-0000-0000-0000A4010000}"/>
    <cellStyle name="Normal 11 4 2 4 2 2 3 3 2 3 2 2 2 4 3 6 2" xfId="423" xr:uid="{00000000-0005-0000-0000-0000A5010000}"/>
    <cellStyle name="Normal 11 4 2 4 2 2 3 3 2 3 2 2 2 4 3 7" xfId="424" xr:uid="{00000000-0005-0000-0000-0000A6010000}"/>
    <cellStyle name="Normal 11 4 2 4 2 2 3 3 2 3 2 2 2 4 3 7 2" xfId="425" xr:uid="{00000000-0005-0000-0000-0000A7010000}"/>
    <cellStyle name="Normal 11 4 2 4 2 2 3 3 2 3 2 2 2 4 3 8" xfId="426" xr:uid="{00000000-0005-0000-0000-0000A8010000}"/>
    <cellStyle name="Normal 11 4 2 4 2 2 3 3 2 3 2 2 2 4 4" xfId="427" xr:uid="{00000000-0005-0000-0000-0000A9010000}"/>
    <cellStyle name="Normal 11 4 2 4 2 2 3 3 2 3 2 2 2 5" xfId="428" xr:uid="{00000000-0005-0000-0000-0000AA010000}"/>
    <cellStyle name="Normal 11 4 2 4 2 2 3 3 2 3 2 2 3" xfId="429" xr:uid="{00000000-0005-0000-0000-0000AB010000}"/>
    <cellStyle name="Normal 11 4 2 4 2 2 3 3 2 3 2 2 3 2" xfId="430" xr:uid="{00000000-0005-0000-0000-0000AC010000}"/>
    <cellStyle name="Normal 11 4 2 4 2 2 3 3 2 3 2 2 4" xfId="431" xr:uid="{00000000-0005-0000-0000-0000AD010000}"/>
    <cellStyle name="Normal 11 4 2 4 2 2 3 3 2 3 2 2 4 2" xfId="432" xr:uid="{00000000-0005-0000-0000-0000AE010000}"/>
    <cellStyle name="Normal 11 4 2 4 2 2 3 3 2 3 2 2 5" xfId="433" xr:uid="{00000000-0005-0000-0000-0000AF010000}"/>
    <cellStyle name="Normal 11 4 2 4 2 2 3 3 2 3 2 2 5 2" xfId="434" xr:uid="{00000000-0005-0000-0000-0000B0010000}"/>
    <cellStyle name="Normal 11 4 2 4 2 2 3 3 2 3 2 2 6" xfId="435" xr:uid="{00000000-0005-0000-0000-0000B1010000}"/>
    <cellStyle name="Normal 11 4 2 4 2 2 3 3 2 3 2 2 6 2" xfId="436" xr:uid="{00000000-0005-0000-0000-0000B2010000}"/>
    <cellStyle name="Normal 11 4 2 4 2 2 3 3 2 3 2 2 7" xfId="437" xr:uid="{00000000-0005-0000-0000-0000B3010000}"/>
    <cellStyle name="Normal 11 4 2 4 2 2 3 3 2 3 2 3" xfId="438" xr:uid="{00000000-0005-0000-0000-0000B4010000}"/>
    <cellStyle name="Normal 11 4 2 4 2 2 3 3 2 3 2 3 2" xfId="439" xr:uid="{00000000-0005-0000-0000-0000B5010000}"/>
    <cellStyle name="Normal 11 4 2 4 2 2 3 3 2 3 2 4" xfId="440" xr:uid="{00000000-0005-0000-0000-0000B6010000}"/>
    <cellStyle name="Normal 11 4 2 4 2 2 3 3 2 3 3" xfId="441" xr:uid="{00000000-0005-0000-0000-0000B7010000}"/>
    <cellStyle name="Normal 11 4 2 4 2 2 3 3 2 4" xfId="442" xr:uid="{00000000-0005-0000-0000-0000B8010000}"/>
    <cellStyle name="Normal 11 4 2 4 2 2 3 3 3" xfId="443" xr:uid="{00000000-0005-0000-0000-0000B9010000}"/>
    <cellStyle name="Normal 11 4 2 4 2 2 3 4" xfId="444" xr:uid="{00000000-0005-0000-0000-0000BA010000}"/>
    <cellStyle name="Normal 11 4 2 4 2 2 4" xfId="445" xr:uid="{00000000-0005-0000-0000-0000BB010000}"/>
    <cellStyle name="Normal 11 4 2 4 2 2 4 2" xfId="446" xr:uid="{00000000-0005-0000-0000-0000BC010000}"/>
    <cellStyle name="Normal 11 4 2 4 2 2 5" xfId="447" xr:uid="{00000000-0005-0000-0000-0000BD010000}"/>
    <cellStyle name="Normal 11 4 2 4 2 2 5 2" xfId="448" xr:uid="{00000000-0005-0000-0000-0000BE010000}"/>
    <cellStyle name="Normal 11 4 2 4 2 2 5 2 2" xfId="449" xr:uid="{00000000-0005-0000-0000-0000BF010000}"/>
    <cellStyle name="Normal 11 4 2 4 2 2 5 2 2 2" xfId="450" xr:uid="{00000000-0005-0000-0000-0000C0010000}"/>
    <cellStyle name="Normal 11 4 2 4 2 2 5 2 2 2 2" xfId="451" xr:uid="{00000000-0005-0000-0000-0000C1010000}"/>
    <cellStyle name="Normal 11 4 2 4 2 2 5 2 2 3" xfId="452" xr:uid="{00000000-0005-0000-0000-0000C2010000}"/>
    <cellStyle name="Normal 11 4 2 4 2 2 5 2 2 3 2" xfId="453" xr:uid="{00000000-0005-0000-0000-0000C3010000}"/>
    <cellStyle name="Normal 11 4 2 4 2 2 5 2 2 4" xfId="454" xr:uid="{00000000-0005-0000-0000-0000C4010000}"/>
    <cellStyle name="Normal 11 4 2 4 2 2 5 2 2 4 2" xfId="455" xr:uid="{00000000-0005-0000-0000-0000C5010000}"/>
    <cellStyle name="Normal 11 4 2 4 2 2 5 2 2 4 2 2" xfId="456" xr:uid="{00000000-0005-0000-0000-0000C6010000}"/>
    <cellStyle name="Normal 11 4 2 4 2 2 5 2 2 4 3" xfId="457" xr:uid="{00000000-0005-0000-0000-0000C7010000}"/>
    <cellStyle name="Normal 11 4 2 4 2 2 5 2 2 4 3 2" xfId="458" xr:uid="{00000000-0005-0000-0000-0000C8010000}"/>
    <cellStyle name="Normal 11 4 2 4 2 2 5 2 2 4 3 2 2" xfId="459" xr:uid="{00000000-0005-0000-0000-0000C9010000}"/>
    <cellStyle name="Normal 11 4 2 4 2 2 5 2 2 4 3 3" xfId="460" xr:uid="{00000000-0005-0000-0000-0000CA010000}"/>
    <cellStyle name="Normal 11 4 2 4 2 2 5 2 2 4 3 3 2" xfId="461" xr:uid="{00000000-0005-0000-0000-0000CB010000}"/>
    <cellStyle name="Normal 11 4 2 4 2 2 5 2 2 4 3 4" xfId="462" xr:uid="{00000000-0005-0000-0000-0000CC010000}"/>
    <cellStyle name="Normal 11 4 2 4 2 2 5 2 2 4 3 4 2" xfId="463" xr:uid="{00000000-0005-0000-0000-0000CD010000}"/>
    <cellStyle name="Normal 11 4 2 4 2 2 5 2 2 4 3 5" xfId="464" xr:uid="{00000000-0005-0000-0000-0000CE010000}"/>
    <cellStyle name="Normal 11 4 2 4 2 2 5 2 2 4 4" xfId="465" xr:uid="{00000000-0005-0000-0000-0000CF010000}"/>
    <cellStyle name="Normal 11 4 2 4 2 2 5 2 2 5" xfId="466" xr:uid="{00000000-0005-0000-0000-0000D0010000}"/>
    <cellStyle name="Normal 11 4 2 4 2 2 5 2 2 5 2" xfId="467" xr:uid="{00000000-0005-0000-0000-0000D1010000}"/>
    <cellStyle name="Normal 11 4 2 4 2 2 5 2 2 6" xfId="468" xr:uid="{00000000-0005-0000-0000-0000D2010000}"/>
    <cellStyle name="Normal 11 4 2 4 2 2 5 2 2 6 2" xfId="469" xr:uid="{00000000-0005-0000-0000-0000D3010000}"/>
    <cellStyle name="Normal 11 4 2 4 2 2 5 2 2 7" xfId="470" xr:uid="{00000000-0005-0000-0000-0000D4010000}"/>
    <cellStyle name="Normal 11 4 2 4 2 2 5 2 2 7 2" xfId="471" xr:uid="{00000000-0005-0000-0000-0000D5010000}"/>
    <cellStyle name="Normal 11 4 2 4 2 2 5 2 2 8" xfId="472" xr:uid="{00000000-0005-0000-0000-0000D6010000}"/>
    <cellStyle name="Normal 11 4 2 4 2 2 5 2 3" xfId="473" xr:uid="{00000000-0005-0000-0000-0000D7010000}"/>
    <cellStyle name="Normal 11 4 2 4 2 2 5 2 3 2" xfId="474" xr:uid="{00000000-0005-0000-0000-0000D8010000}"/>
    <cellStyle name="Normal 11 4 2 4 2 2 5 2 3 2 10" xfId="475" xr:uid="{00000000-0005-0000-0000-0000D9010000}"/>
    <cellStyle name="Normal 11 4 2 4 2 2 5 2 3 2 10 2" xfId="476" xr:uid="{00000000-0005-0000-0000-0000DA010000}"/>
    <cellStyle name="Normal 11 4 2 4 2 2 5 2 3 2 10 2 2" xfId="477" xr:uid="{00000000-0005-0000-0000-0000DB010000}"/>
    <cellStyle name="Normal 11 4 2 4 2 2 5 2 3 2 10 2 2 2" xfId="478" xr:uid="{00000000-0005-0000-0000-0000DC010000}"/>
    <cellStyle name="Normal 11 4 2 4 2 2 5 2 3 2 10 2 3" xfId="479" xr:uid="{00000000-0005-0000-0000-0000DD010000}"/>
    <cellStyle name="Normal 11 4 2 4 2 2 5 2 3 2 10 2 3 2" xfId="480" xr:uid="{00000000-0005-0000-0000-0000DE010000}"/>
    <cellStyle name="Normal 11 4 2 4 2 2 5 2 3 2 10 2 4" xfId="481" xr:uid="{00000000-0005-0000-0000-0000DF010000}"/>
    <cellStyle name="Normal 11 4 2 4 2 2 5 2 3 2 10 2 4 2" xfId="482" xr:uid="{00000000-0005-0000-0000-0000E0010000}"/>
    <cellStyle name="Normal 11 4 2 4 2 2 5 2 3 2 10 2 4 2 2" xfId="483" xr:uid="{00000000-0005-0000-0000-0000E1010000}"/>
    <cellStyle name="Normal 11 4 2 4 2 2 5 2 3 2 10 2 4 3" xfId="484" xr:uid="{00000000-0005-0000-0000-0000E2010000}"/>
    <cellStyle name="Normal 11 4 2 4 2 2 5 2 3 2 10 2 5" xfId="485" xr:uid="{00000000-0005-0000-0000-0000E3010000}"/>
    <cellStyle name="Normal 11 4 2 4 2 2 5 2 3 2 10 3" xfId="486" xr:uid="{00000000-0005-0000-0000-0000E4010000}"/>
    <cellStyle name="Normal 11 4 2 4 2 2 5 2 3 2 11" xfId="487" xr:uid="{00000000-0005-0000-0000-0000E5010000}"/>
    <cellStyle name="Normal 11 4 2 4 2 2 5 2 3 2 11 2" xfId="488" xr:uid="{00000000-0005-0000-0000-0000E6010000}"/>
    <cellStyle name="Normal 11 4 2 4 2 2 5 2 3 2 11 2 2" xfId="489" xr:uid="{00000000-0005-0000-0000-0000E7010000}"/>
    <cellStyle name="Normal 11 4 2 4 2 2 5 2 3 2 11 3" xfId="490" xr:uid="{00000000-0005-0000-0000-0000E8010000}"/>
    <cellStyle name="Normal 11 4 2 4 2 2 5 2 3 2 11 3 2" xfId="491" xr:uid="{00000000-0005-0000-0000-0000E9010000}"/>
    <cellStyle name="Normal 11 4 2 4 2 2 5 2 3 2 11 3 2 2" xfId="492" xr:uid="{00000000-0005-0000-0000-0000EA010000}"/>
    <cellStyle name="Normal 11 4 2 4 2 2 5 2 3 2 11 3 2 2 2" xfId="493" xr:uid="{00000000-0005-0000-0000-0000EB010000}"/>
    <cellStyle name="Normal 11 4 2 4 2 2 5 2 3 2 11 3 2 3" xfId="494" xr:uid="{00000000-0005-0000-0000-0000EC010000}"/>
    <cellStyle name="Normal 11 4 2 4 2 2 5 2 3 2 11 3 2 3 2" xfId="495" xr:uid="{00000000-0005-0000-0000-0000ED010000}"/>
    <cellStyle name="Normal 11 4 2 4 2 2 5 2 3 2 11 3 2 3 2 2" xfId="496" xr:uid="{00000000-0005-0000-0000-0000EE010000}"/>
    <cellStyle name="Normal 11 4 2 4 2 2 5 2 3 2 11 3 2 3 2 2 2" xfId="497" xr:uid="{00000000-0005-0000-0000-0000EF010000}"/>
    <cellStyle name="Normal 11 4 2 4 2 2 5 2 3 2 11 3 2 3 2 3" xfId="498" xr:uid="{00000000-0005-0000-0000-0000F0010000}"/>
    <cellStyle name="Normal 11 4 2 4 2 2 5 2 3 2 11 3 2 3 2 3 2" xfId="499" xr:uid="{00000000-0005-0000-0000-0000F1010000}"/>
    <cellStyle name="Normal 11 4 2 4 2 2 5 2 3 2 11 3 2 3 2 4" xfId="500" xr:uid="{00000000-0005-0000-0000-0000F2010000}"/>
    <cellStyle name="Normal 11 4 2 4 2 2 5 2 3 2 11 3 2 3 2 4 2" xfId="501" xr:uid="{00000000-0005-0000-0000-0000F3010000}"/>
    <cellStyle name="Normal 11 4 2 4 2 2 5 2 3 2 11 3 2 3 2 5" xfId="502" xr:uid="{00000000-0005-0000-0000-0000F4010000}"/>
    <cellStyle name="Normal 11 4 2 4 2 2 5 2 3 2 11 3 2 3 2 5 2" xfId="503" xr:uid="{00000000-0005-0000-0000-0000F5010000}"/>
    <cellStyle name="Normal 11 4 2 4 2 2 5 2 3 2 11 3 2 3 2 6" xfId="504" xr:uid="{00000000-0005-0000-0000-0000F6010000}"/>
    <cellStyle name="Normal 11 4 2 4 2 2 5 2 3 2 11 3 2 3 2 6 2" xfId="505" xr:uid="{00000000-0005-0000-0000-0000F7010000}"/>
    <cellStyle name="Normal 11 4 2 4 2 2 5 2 3 2 11 3 2 3 2 7" xfId="506" xr:uid="{00000000-0005-0000-0000-0000F8010000}"/>
    <cellStyle name="Normal 11 4 2 4 2 2 5 2 3 2 11 3 2 3 3" xfId="507" xr:uid="{00000000-0005-0000-0000-0000F9010000}"/>
    <cellStyle name="Normal 11 4 2 4 2 2 5 2 3 2 11 3 2 4" xfId="508" xr:uid="{00000000-0005-0000-0000-0000FA010000}"/>
    <cellStyle name="Normal 11 4 2 4 2 2 5 2 3 2 11 3 3" xfId="509" xr:uid="{00000000-0005-0000-0000-0000FB010000}"/>
    <cellStyle name="Normal 11 4 2 4 2 2 5 2 3 2 11 3 3 2" xfId="510" xr:uid="{00000000-0005-0000-0000-0000FC010000}"/>
    <cellStyle name="Normal 11 4 2 4 2 2 5 2 3 2 11 3 3 2 2" xfId="511" xr:uid="{00000000-0005-0000-0000-0000FD010000}"/>
    <cellStyle name="Normal 11 4 2 4 2 2 5 2 3 2 11 3 3 3" xfId="512" xr:uid="{00000000-0005-0000-0000-0000FE010000}"/>
    <cellStyle name="Normal 11 4 2 4 2 2 5 2 3 2 11 3 4" xfId="513" xr:uid="{00000000-0005-0000-0000-0000FF010000}"/>
    <cellStyle name="Normal 11 4 2 4 2 2 5 2 3 2 11 3 4 2" xfId="514" xr:uid="{00000000-0005-0000-0000-000000020000}"/>
    <cellStyle name="Normal 11 4 2 4 2 2 5 2 3 2 11 3 4 2 2" xfId="515" xr:uid="{00000000-0005-0000-0000-000001020000}"/>
    <cellStyle name="Normal 11 4 2 4 2 2 5 2 3 2 11 3 4 2 2 2" xfId="516" xr:uid="{00000000-0005-0000-0000-000002020000}"/>
    <cellStyle name="Normal 11 4 2 4 2 2 5 2 3 2 11 3 4 2 3" xfId="517" xr:uid="{00000000-0005-0000-0000-000003020000}"/>
    <cellStyle name="Normal 11 4 2 4 2 2 5 2 3 2 11 3 4 2 3 2" xfId="518" xr:uid="{00000000-0005-0000-0000-000004020000}"/>
    <cellStyle name="Normal 11 4 2 4 2 2 5 2 3 2 11 3 4 2 4" xfId="519" xr:uid="{00000000-0005-0000-0000-000005020000}"/>
    <cellStyle name="Normal 11 4 2 4 2 2 5 2 3 2 11 3 4 2 4 2" xfId="520" xr:uid="{00000000-0005-0000-0000-000006020000}"/>
    <cellStyle name="Normal 11 4 2 4 2 2 5 2 3 2 11 3 4 2 5" xfId="521" xr:uid="{00000000-0005-0000-0000-000007020000}"/>
    <cellStyle name="Normal 11 4 2 4 2 2 5 2 3 2 11 3 4 2 5 2" xfId="522" xr:uid="{00000000-0005-0000-0000-000008020000}"/>
    <cellStyle name="Normal 11 4 2 4 2 2 5 2 3 2 11 3 4 2 6" xfId="523" xr:uid="{00000000-0005-0000-0000-000009020000}"/>
    <cellStyle name="Normal 11 4 2 4 2 2 5 2 3 2 11 3 4 2 6 2" xfId="524" xr:uid="{00000000-0005-0000-0000-00000A020000}"/>
    <cellStyle name="Normal 11 4 2 4 2 2 5 2 3 2 11 3 4 2 7" xfId="525" xr:uid="{00000000-0005-0000-0000-00000B020000}"/>
    <cellStyle name="Normal 11 4 2 4 2 2 5 2 3 2 11 3 4 3" xfId="526" xr:uid="{00000000-0005-0000-0000-00000C020000}"/>
    <cellStyle name="Normal 11 4 2 4 2 2 5 2 3 2 11 3 5" xfId="527" xr:uid="{00000000-0005-0000-0000-00000D020000}"/>
    <cellStyle name="Normal 11 4 2 4 2 2 5 2 3 2 11 4" xfId="528" xr:uid="{00000000-0005-0000-0000-00000E020000}"/>
    <cellStyle name="Normal 11 4 2 4 2 2 5 2 3 2 12" xfId="529" xr:uid="{00000000-0005-0000-0000-00000F020000}"/>
    <cellStyle name="Normal 11 4 2 4 2 2 5 2 3 2 2" xfId="530" xr:uid="{00000000-0005-0000-0000-000010020000}"/>
    <cellStyle name="Normal 11 4 2 4 2 2 5 2 3 2 2 2" xfId="531" xr:uid="{00000000-0005-0000-0000-000011020000}"/>
    <cellStyle name="Normal 11 4 2 4 2 2 5 2 3 2 2 2 2" xfId="532" xr:uid="{00000000-0005-0000-0000-000012020000}"/>
    <cellStyle name="Normal 11 4 2 4 2 2 5 2 3 2 2 2 2 2" xfId="533" xr:uid="{00000000-0005-0000-0000-000013020000}"/>
    <cellStyle name="Normal 11 4 2 4 2 2 5 2 3 2 2 2 3" xfId="534" xr:uid="{00000000-0005-0000-0000-000014020000}"/>
    <cellStyle name="Normal 11 4 2 4 2 2 5 2 3 2 2 3" xfId="535" xr:uid="{00000000-0005-0000-0000-000015020000}"/>
    <cellStyle name="Normal 11 4 2 4 2 2 5 2 3 2 3" xfId="536" xr:uid="{00000000-0005-0000-0000-000016020000}"/>
    <cellStyle name="Normal 11 4 2 4 2 2 5 2 3 2 3 2" xfId="537" xr:uid="{00000000-0005-0000-0000-000017020000}"/>
    <cellStyle name="Normal 11 4 2 4 2 2 5 2 3 2 4" xfId="538" xr:uid="{00000000-0005-0000-0000-000018020000}"/>
    <cellStyle name="Normal 11 4 2 4 2 2 5 2 3 2 4 2" xfId="539" xr:uid="{00000000-0005-0000-0000-000019020000}"/>
    <cellStyle name="Normal 11 4 2 4 2 2 5 2 3 2 4 2 2" xfId="540" xr:uid="{00000000-0005-0000-0000-00001A020000}"/>
    <cellStyle name="Normal 11 4 2 4 2 2 5 2 3 2 4 3" xfId="541" xr:uid="{00000000-0005-0000-0000-00001B020000}"/>
    <cellStyle name="Normal 11 4 2 4 2 2 5 2 3 2 4 3 2" xfId="542" xr:uid="{00000000-0005-0000-0000-00001C020000}"/>
    <cellStyle name="Normal 11 4 2 4 2 2 5 2 3 2 4 3 2 2" xfId="543" xr:uid="{00000000-0005-0000-0000-00001D020000}"/>
    <cellStyle name="Normal 11 4 2 4 2 2 5 2 3 2 4 3 3" xfId="544" xr:uid="{00000000-0005-0000-0000-00001E020000}"/>
    <cellStyle name="Normal 11 4 2 4 2 2 5 2 3 2 4 4" xfId="545" xr:uid="{00000000-0005-0000-0000-00001F020000}"/>
    <cellStyle name="Normal 11 4 2 4 2 2 5 2 3 2 4 4 2" xfId="546" xr:uid="{00000000-0005-0000-0000-000020020000}"/>
    <cellStyle name="Normal 11 4 2 4 2 2 5 2 3 2 4 5" xfId="547" xr:uid="{00000000-0005-0000-0000-000021020000}"/>
    <cellStyle name="Normal 11 4 2 4 2 2 5 2 3 2 5" xfId="548" xr:uid="{00000000-0005-0000-0000-000022020000}"/>
    <cellStyle name="Normal 11 4 2 4 2 2 5 2 3 2 5 2" xfId="549" xr:uid="{00000000-0005-0000-0000-000023020000}"/>
    <cellStyle name="Normal 11 4 2 4 2 2 5 2 3 2 5 2 2" xfId="550" xr:uid="{00000000-0005-0000-0000-000024020000}"/>
    <cellStyle name="Normal 11 4 2 4 2 2 5 2 3 2 5 2 2 2" xfId="551" xr:uid="{00000000-0005-0000-0000-000025020000}"/>
    <cellStyle name="Normal 11 4 2 4 2 2 5 2 3 2 5 2 2 2 2" xfId="552" xr:uid="{00000000-0005-0000-0000-000026020000}"/>
    <cellStyle name="Normal 11 4 2 4 2 2 5 2 3 2 5 2 2 3" xfId="553" xr:uid="{00000000-0005-0000-0000-000027020000}"/>
    <cellStyle name="Normal 11 4 2 4 2 2 5 2 3 2 5 2 2 3 2" xfId="554" xr:uid="{00000000-0005-0000-0000-000028020000}"/>
    <cellStyle name="Normal 11 4 2 4 2 2 5 2 3 2 5 2 2 3 2 2" xfId="555" xr:uid="{00000000-0005-0000-0000-000029020000}"/>
    <cellStyle name="Normal 11 4 2 4 2 2 5 2 3 2 5 2 2 3 2 2 2" xfId="556" xr:uid="{00000000-0005-0000-0000-00002A020000}"/>
    <cellStyle name="Normal 11 4 2 4 2 2 5 2 3 2 5 2 2 3 2 3" xfId="557" xr:uid="{00000000-0005-0000-0000-00002B020000}"/>
    <cellStyle name="Normal 11 4 2 4 2 2 5 2 3 2 5 2 2 3 2 3 2" xfId="558" xr:uid="{00000000-0005-0000-0000-00002C020000}"/>
    <cellStyle name="Normal 11 4 2 4 2 2 5 2 3 2 5 2 2 3 2 4" xfId="559" xr:uid="{00000000-0005-0000-0000-00002D020000}"/>
    <cellStyle name="Normal 11 4 2 4 2 2 5 2 3 2 5 2 2 3 2 4 2" xfId="560" xr:uid="{00000000-0005-0000-0000-00002E020000}"/>
    <cellStyle name="Normal 11 4 2 4 2 2 5 2 3 2 5 2 2 3 2 5" xfId="561" xr:uid="{00000000-0005-0000-0000-00002F020000}"/>
    <cellStyle name="Normal 11 4 2 4 2 2 5 2 3 2 5 2 2 3 2 5 2" xfId="562" xr:uid="{00000000-0005-0000-0000-000030020000}"/>
    <cellStyle name="Normal 11 4 2 4 2 2 5 2 3 2 5 2 2 3 2 6" xfId="563" xr:uid="{00000000-0005-0000-0000-000031020000}"/>
    <cellStyle name="Normal 11 4 2 4 2 2 5 2 3 2 5 2 2 3 2 6 2" xfId="564" xr:uid="{00000000-0005-0000-0000-000032020000}"/>
    <cellStyle name="Normal 11 4 2 4 2 2 5 2 3 2 5 2 2 3 2 7" xfId="565" xr:uid="{00000000-0005-0000-0000-000033020000}"/>
    <cellStyle name="Normal 11 4 2 4 2 2 5 2 3 2 5 2 2 3 3" xfId="566" xr:uid="{00000000-0005-0000-0000-000034020000}"/>
    <cellStyle name="Normal 11 4 2 4 2 2 5 2 3 2 5 2 2 4" xfId="567" xr:uid="{00000000-0005-0000-0000-000035020000}"/>
    <cellStyle name="Normal 11 4 2 4 2 2 5 2 3 2 5 2 3" xfId="568" xr:uid="{00000000-0005-0000-0000-000036020000}"/>
    <cellStyle name="Normal 11 4 2 4 2 2 5 2 3 2 5 2 3 2" xfId="569" xr:uid="{00000000-0005-0000-0000-000037020000}"/>
    <cellStyle name="Normal 11 4 2 4 2 2 5 2 3 2 5 2 4" xfId="570" xr:uid="{00000000-0005-0000-0000-000038020000}"/>
    <cellStyle name="Normal 11 4 2 4 2 2 5 2 3 2 5 2 4 2" xfId="571" xr:uid="{00000000-0005-0000-0000-000039020000}"/>
    <cellStyle name="Normal 11 4 2 4 2 2 5 2 3 2 5 2 4 2 2" xfId="572" xr:uid="{00000000-0005-0000-0000-00003A020000}"/>
    <cellStyle name="Normal 11 4 2 4 2 2 5 2 3 2 5 2 4 2 2 2" xfId="573" xr:uid="{00000000-0005-0000-0000-00003B020000}"/>
    <cellStyle name="Normal 11 4 2 4 2 2 5 2 3 2 5 2 4 2 3" xfId="574" xr:uid="{00000000-0005-0000-0000-00003C020000}"/>
    <cellStyle name="Normal 11 4 2 4 2 2 5 2 3 2 5 2 4 2 3 2" xfId="575" xr:uid="{00000000-0005-0000-0000-00003D020000}"/>
    <cellStyle name="Normal 11 4 2 4 2 2 5 2 3 2 5 2 4 2 4" xfId="576" xr:uid="{00000000-0005-0000-0000-00003E020000}"/>
    <cellStyle name="Normal 11 4 2 4 2 2 5 2 3 2 5 2 4 2 4 2" xfId="577" xr:uid="{00000000-0005-0000-0000-00003F020000}"/>
    <cellStyle name="Normal 11 4 2 4 2 2 5 2 3 2 5 2 4 2 5" xfId="578" xr:uid="{00000000-0005-0000-0000-000040020000}"/>
    <cellStyle name="Normal 11 4 2 4 2 2 5 2 3 2 5 2 4 2 5 2" xfId="579" xr:uid="{00000000-0005-0000-0000-000041020000}"/>
    <cellStyle name="Normal 11 4 2 4 2 2 5 2 3 2 5 2 4 2 6" xfId="580" xr:uid="{00000000-0005-0000-0000-000042020000}"/>
    <cellStyle name="Normal 11 4 2 4 2 2 5 2 3 2 5 2 4 2 6 2" xfId="581" xr:uid="{00000000-0005-0000-0000-000043020000}"/>
    <cellStyle name="Normal 11 4 2 4 2 2 5 2 3 2 5 2 4 2 7" xfId="582" xr:uid="{00000000-0005-0000-0000-000044020000}"/>
    <cellStyle name="Normal 11 4 2 4 2 2 5 2 3 2 5 2 4 3" xfId="583" xr:uid="{00000000-0005-0000-0000-000045020000}"/>
    <cellStyle name="Normal 11 4 2 4 2 2 5 2 3 2 5 2 5" xfId="584" xr:uid="{00000000-0005-0000-0000-000046020000}"/>
    <cellStyle name="Normal 11 4 2 4 2 2 5 2 3 2 5 3" xfId="585" xr:uid="{00000000-0005-0000-0000-000047020000}"/>
    <cellStyle name="Normal 11 4 2 4 2 2 5 2 3 2 5 3 2" xfId="586" xr:uid="{00000000-0005-0000-0000-000048020000}"/>
    <cellStyle name="Normal 11 4 2 4 2 2 5 2 3 2 5 3 2 2" xfId="587" xr:uid="{00000000-0005-0000-0000-000049020000}"/>
    <cellStyle name="Normal 11 4 2 4 2 2 5 2 3 2 5 3 3" xfId="588" xr:uid="{00000000-0005-0000-0000-00004A020000}"/>
    <cellStyle name="Normal 11 4 2 4 2 2 5 2 3 2 5 3 3 2" xfId="589" xr:uid="{00000000-0005-0000-0000-00004B020000}"/>
    <cellStyle name="Normal 11 4 2 4 2 2 5 2 3 2 5 3 3 2 2" xfId="590" xr:uid="{00000000-0005-0000-0000-00004C020000}"/>
    <cellStyle name="Normal 11 4 2 4 2 2 5 2 3 2 5 3 3 3" xfId="591" xr:uid="{00000000-0005-0000-0000-00004D020000}"/>
    <cellStyle name="Normal 11 4 2 4 2 2 5 2 3 2 5 3 4" xfId="592" xr:uid="{00000000-0005-0000-0000-00004E020000}"/>
    <cellStyle name="Normal 11 4 2 4 2 2 5 2 3 2 5 3 4 2" xfId="593" xr:uid="{00000000-0005-0000-0000-00004F020000}"/>
    <cellStyle name="Normal 11 4 2 4 2 2 5 2 3 2 5 3 4 2 2" xfId="594" xr:uid="{00000000-0005-0000-0000-000050020000}"/>
    <cellStyle name="Normal 11 4 2 4 2 2 5 2 3 2 5 3 4 2 2 2" xfId="595" xr:uid="{00000000-0005-0000-0000-000051020000}"/>
    <cellStyle name="Normal 11 4 2 4 2 2 5 2 3 2 5 3 4 2 3" xfId="596" xr:uid="{00000000-0005-0000-0000-000052020000}"/>
    <cellStyle name="Normal 11 4 2 4 2 2 5 2 3 2 5 3 4 2 3 2" xfId="597" xr:uid="{00000000-0005-0000-0000-000053020000}"/>
    <cellStyle name="Normal 11 4 2 4 2 2 5 2 3 2 5 3 4 2 4" xfId="598" xr:uid="{00000000-0005-0000-0000-000054020000}"/>
    <cellStyle name="Normal 11 4 2 4 2 2 5 2 3 2 5 3 4 2 4 2" xfId="599" xr:uid="{00000000-0005-0000-0000-000055020000}"/>
    <cellStyle name="Normal 11 4 2 4 2 2 5 2 3 2 5 3 4 2 5" xfId="600" xr:uid="{00000000-0005-0000-0000-000056020000}"/>
    <cellStyle name="Normal 11 4 2 4 2 2 5 2 3 2 5 3 4 2 5 2" xfId="601" xr:uid="{00000000-0005-0000-0000-000057020000}"/>
    <cellStyle name="Normal 11 4 2 4 2 2 5 2 3 2 5 3 4 2 6" xfId="602" xr:uid="{00000000-0005-0000-0000-000058020000}"/>
    <cellStyle name="Normal 11 4 2 4 2 2 5 2 3 2 5 3 4 2 6 2" xfId="603" xr:uid="{00000000-0005-0000-0000-000059020000}"/>
    <cellStyle name="Normal 11 4 2 4 2 2 5 2 3 2 5 3 4 2 7" xfId="604" xr:uid="{00000000-0005-0000-0000-00005A020000}"/>
    <cellStyle name="Normal 11 4 2 4 2 2 5 2 3 2 5 3 4 3" xfId="605" xr:uid="{00000000-0005-0000-0000-00005B020000}"/>
    <cellStyle name="Normal 11 4 2 4 2 2 5 2 3 2 5 3 5" xfId="606" xr:uid="{00000000-0005-0000-0000-00005C020000}"/>
    <cellStyle name="Normal 11 4 2 4 2 2 5 2 3 2 5 4" xfId="607" xr:uid="{00000000-0005-0000-0000-00005D020000}"/>
    <cellStyle name="Normal 11 4 2 4 2 2 5 2 3 2 5 4 2" xfId="608" xr:uid="{00000000-0005-0000-0000-00005E020000}"/>
    <cellStyle name="Normal 11 4 2 4 2 2 5 2 3 2 5 5" xfId="609" xr:uid="{00000000-0005-0000-0000-00005F020000}"/>
    <cellStyle name="Normal 11 4 2 4 2 2 5 2 3 2 6" xfId="610" xr:uid="{00000000-0005-0000-0000-000060020000}"/>
    <cellStyle name="Normal 11 4 2 4 2 2 5 2 3 2 6 2" xfId="611" xr:uid="{00000000-0005-0000-0000-000061020000}"/>
    <cellStyle name="Normal 11 4 2 4 2 2 5 2 3 2 7" xfId="612" xr:uid="{00000000-0005-0000-0000-000062020000}"/>
    <cellStyle name="Normal 11 4 2 4 2 2 5 2 3 2 7 2" xfId="613" xr:uid="{00000000-0005-0000-0000-000063020000}"/>
    <cellStyle name="Normal 11 4 2 4 2 2 5 2 3 2 7 2 2" xfId="614" xr:uid="{00000000-0005-0000-0000-000064020000}"/>
    <cellStyle name="Normal 11 4 2 4 2 2 5 2 3 2 7 2 2 2" xfId="615" xr:uid="{00000000-0005-0000-0000-000065020000}"/>
    <cellStyle name="Normal 11 4 2 4 2 2 5 2 3 2 7 2 3" xfId="616" xr:uid="{00000000-0005-0000-0000-000066020000}"/>
    <cellStyle name="Normal 11 4 2 4 2 2 5 2 3 2 7 3" xfId="617" xr:uid="{00000000-0005-0000-0000-000067020000}"/>
    <cellStyle name="Normal 11 4 2 4 2 2 5 2 3 2 8" xfId="618" xr:uid="{00000000-0005-0000-0000-000068020000}"/>
    <cellStyle name="Normal 11 4 2 4 2 2 5 2 3 2 8 2" xfId="619" xr:uid="{00000000-0005-0000-0000-000069020000}"/>
    <cellStyle name="Normal 11 4 2 4 2 2 5 2 3 2 8 2 2" xfId="620" xr:uid="{00000000-0005-0000-0000-00006A020000}"/>
    <cellStyle name="Normal 11 4 2 4 2 2 5 2 3 2 8 3" xfId="621" xr:uid="{00000000-0005-0000-0000-00006B020000}"/>
    <cellStyle name="Normal 11 4 2 4 2 2 5 2 3 2 8 3 2" xfId="622" xr:uid="{00000000-0005-0000-0000-00006C020000}"/>
    <cellStyle name="Normal 11 4 2 4 2 2 5 2 3 2 8 3 2 2" xfId="623" xr:uid="{00000000-0005-0000-0000-00006D020000}"/>
    <cellStyle name="Normal 11 4 2 4 2 2 5 2 3 2 8 3 3" xfId="624" xr:uid="{00000000-0005-0000-0000-00006E020000}"/>
    <cellStyle name="Normal 11 4 2 4 2 2 5 2 3 2 8 4" xfId="625" xr:uid="{00000000-0005-0000-0000-00006F020000}"/>
    <cellStyle name="Normal 11 4 2 4 2 2 5 2 3 2 8 4 2" xfId="626" xr:uid="{00000000-0005-0000-0000-000070020000}"/>
    <cellStyle name="Normal 11 4 2 4 2 2 5 2 3 2 8 4 2 2" xfId="627" xr:uid="{00000000-0005-0000-0000-000071020000}"/>
    <cellStyle name="Normal 11 4 2 4 2 2 5 2 3 2 8 4 3" xfId="628" xr:uid="{00000000-0005-0000-0000-000072020000}"/>
    <cellStyle name="Normal 11 4 2 4 2 2 5 2 3 2 8 5" xfId="629" xr:uid="{00000000-0005-0000-0000-000073020000}"/>
    <cellStyle name="Normal 11 4 2 4 2 2 5 2 3 2 9" xfId="630" xr:uid="{00000000-0005-0000-0000-000074020000}"/>
    <cellStyle name="Normal 11 4 2 4 2 2 5 2 3 2 9 2" xfId="631" xr:uid="{00000000-0005-0000-0000-000075020000}"/>
    <cellStyle name="Normal 11 4 2 4 2 2 5 2 3 3" xfId="632" xr:uid="{00000000-0005-0000-0000-000076020000}"/>
    <cellStyle name="Normal 11 4 2 4 2 2 5 2 4" xfId="633" xr:uid="{00000000-0005-0000-0000-000077020000}"/>
    <cellStyle name="Normal 11 4 2 4 2 2 5 3" xfId="634" xr:uid="{00000000-0005-0000-0000-000078020000}"/>
    <cellStyle name="Normal 11 4 2 4 2 2 6" xfId="635" xr:uid="{00000000-0005-0000-0000-000079020000}"/>
    <cellStyle name="Normal 11 4 2 4 2 3" xfId="636" xr:uid="{00000000-0005-0000-0000-00007A020000}"/>
    <cellStyle name="Normal 11 4 2 4 3" xfId="637" xr:uid="{00000000-0005-0000-0000-00007B020000}"/>
    <cellStyle name="Normal 11 4 2 5" xfId="638" xr:uid="{00000000-0005-0000-0000-00007C020000}"/>
    <cellStyle name="Normal 11 4 3" xfId="639" xr:uid="{00000000-0005-0000-0000-00007D020000}"/>
    <cellStyle name="Normal 11 5" xfId="640" xr:uid="{00000000-0005-0000-0000-00007E020000}"/>
    <cellStyle name="Normal 11 5 2" xfId="641" xr:uid="{00000000-0005-0000-0000-00007F020000}"/>
    <cellStyle name="Normal 11 5 2 2" xfId="642" xr:uid="{00000000-0005-0000-0000-000080020000}"/>
    <cellStyle name="Normal 11 5 2 2 2" xfId="643" xr:uid="{00000000-0005-0000-0000-000081020000}"/>
    <cellStyle name="Normal 11 5 2 2 2 2" xfId="644" xr:uid="{00000000-0005-0000-0000-000082020000}"/>
    <cellStyle name="Normal 11 5 2 2 2 2 2" xfId="645" xr:uid="{00000000-0005-0000-0000-000083020000}"/>
    <cellStyle name="Normal 11 5 2 2 2 2 2 2" xfId="646" xr:uid="{00000000-0005-0000-0000-000084020000}"/>
    <cellStyle name="Normal 11 5 2 2 2 2 3" xfId="647" xr:uid="{00000000-0005-0000-0000-000085020000}"/>
    <cellStyle name="Normal 11 5 2 2 2 3" xfId="648" xr:uid="{00000000-0005-0000-0000-000086020000}"/>
    <cellStyle name="Normal 11 5 2 2 2 3 2" xfId="649" xr:uid="{00000000-0005-0000-0000-000087020000}"/>
    <cellStyle name="Normal 11 5 2 2 2 3 2 2" xfId="650" xr:uid="{00000000-0005-0000-0000-000088020000}"/>
    <cellStyle name="Normal 11 5 2 2 2 3 2 2 2" xfId="651" xr:uid="{00000000-0005-0000-0000-000089020000}"/>
    <cellStyle name="Normal 11 5 2 2 2 3 2 2 2 2" xfId="652" xr:uid="{00000000-0005-0000-0000-00008A020000}"/>
    <cellStyle name="Normal 11 5 2 2 2 3 2 2 2 2 2" xfId="653" xr:uid="{00000000-0005-0000-0000-00008B020000}"/>
    <cellStyle name="Normal 11 5 2 2 2 3 2 2 2 2 3" xfId="654" xr:uid="{00000000-0005-0000-0000-00008C020000}"/>
    <cellStyle name="Normal 11 5 2 2 2 3 2 2 2 2 3 2" xfId="655" xr:uid="{00000000-0005-0000-0000-00008D020000}"/>
    <cellStyle name="Normal 11 5 2 2 2 3 2 2 2 3" xfId="656" xr:uid="{00000000-0005-0000-0000-00008E020000}"/>
    <cellStyle name="Normal 11 5 2 2 2 3 2 2 3" xfId="657" xr:uid="{00000000-0005-0000-0000-00008F020000}"/>
    <cellStyle name="Normal 11 5 2 2 2 3 2 3" xfId="658" xr:uid="{00000000-0005-0000-0000-000090020000}"/>
    <cellStyle name="Normal 11 5 2 2 2 3 2 3 2" xfId="659" xr:uid="{00000000-0005-0000-0000-000091020000}"/>
    <cellStyle name="Normal 11 5 2 2 2 3 2 3 2 2" xfId="660" xr:uid="{00000000-0005-0000-0000-000092020000}"/>
    <cellStyle name="Normal 11 5 2 2 2 3 2 3 2 2 2" xfId="661" xr:uid="{00000000-0005-0000-0000-000093020000}"/>
    <cellStyle name="Normal 11 5 2 2 2 3 2 3 2 3" xfId="662" xr:uid="{00000000-0005-0000-0000-000094020000}"/>
    <cellStyle name="Normal 11 5 2 2 2 3 2 3 3" xfId="663" xr:uid="{00000000-0005-0000-0000-000095020000}"/>
    <cellStyle name="Normal 11 5 2 2 2 3 2 4" xfId="664" xr:uid="{00000000-0005-0000-0000-000096020000}"/>
    <cellStyle name="Normal 11 5 2 2 2 3 2 5" xfId="665" xr:uid="{00000000-0005-0000-0000-000097020000}"/>
    <cellStyle name="Normal 11 5 2 2 2 3 2 5 2" xfId="666" xr:uid="{00000000-0005-0000-0000-000098020000}"/>
    <cellStyle name="Normal 11 5 2 2 2 3 3" xfId="667" xr:uid="{00000000-0005-0000-0000-000099020000}"/>
    <cellStyle name="Normal 11 5 2 2 2 4" xfId="668" xr:uid="{00000000-0005-0000-0000-00009A020000}"/>
    <cellStyle name="Normal 11 5 2 2 3" xfId="669" xr:uid="{00000000-0005-0000-0000-00009B020000}"/>
    <cellStyle name="Normal 11 5 2 2 3 2" xfId="670" xr:uid="{00000000-0005-0000-0000-00009C020000}"/>
    <cellStyle name="Normal 11 5 2 2 4" xfId="671" xr:uid="{00000000-0005-0000-0000-00009D020000}"/>
    <cellStyle name="Normal 11 5 2 2 4 2" xfId="672" xr:uid="{00000000-0005-0000-0000-00009E020000}"/>
    <cellStyle name="Normal 11 5 2 2 5" xfId="673" xr:uid="{00000000-0005-0000-0000-00009F020000}"/>
    <cellStyle name="Normal 11 5 2 3" xfId="674" xr:uid="{00000000-0005-0000-0000-0000A0020000}"/>
    <cellStyle name="Normal 11 5 3" xfId="675" xr:uid="{00000000-0005-0000-0000-0000A1020000}"/>
    <cellStyle name="Normal 11 6" xfId="676" xr:uid="{00000000-0005-0000-0000-0000A2020000}"/>
    <cellStyle name="Normal 11 6 2" xfId="677" xr:uid="{00000000-0005-0000-0000-0000A3020000}"/>
    <cellStyle name="Normal 11 7" xfId="678" xr:uid="{00000000-0005-0000-0000-0000A4020000}"/>
    <cellStyle name="Normal 12" xfId="679" xr:uid="{00000000-0005-0000-0000-0000A5020000}"/>
    <cellStyle name="Normal 12 2" xfId="680" xr:uid="{00000000-0005-0000-0000-0000A6020000}"/>
    <cellStyle name="Normal 12 2 2" xfId="681" xr:uid="{00000000-0005-0000-0000-0000A7020000}"/>
    <cellStyle name="Normal 12 2 2 2" xfId="682" xr:uid="{00000000-0005-0000-0000-0000A8020000}"/>
    <cellStyle name="Normal 12 2 3" xfId="683" xr:uid="{00000000-0005-0000-0000-0000A9020000}"/>
    <cellStyle name="Normal 12 2 3 2" xfId="684" xr:uid="{00000000-0005-0000-0000-0000AA020000}"/>
    <cellStyle name="Normal 12 2 4" xfId="685" xr:uid="{00000000-0005-0000-0000-0000AB020000}"/>
    <cellStyle name="Normal 12 3" xfId="686" xr:uid="{00000000-0005-0000-0000-0000AC020000}"/>
    <cellStyle name="Normal 12 3 2" xfId="687" xr:uid="{00000000-0005-0000-0000-0000AD020000}"/>
    <cellStyle name="Normal 12 3 2 2" xfId="688" xr:uid="{00000000-0005-0000-0000-0000AE020000}"/>
    <cellStyle name="Normal 12 3 3" xfId="689" xr:uid="{00000000-0005-0000-0000-0000AF020000}"/>
    <cellStyle name="Normal 12 3 3 2" xfId="690" xr:uid="{00000000-0005-0000-0000-0000B0020000}"/>
    <cellStyle name="Normal 12 3 4" xfId="691" xr:uid="{00000000-0005-0000-0000-0000B1020000}"/>
    <cellStyle name="Normal 12 4" xfId="692" xr:uid="{00000000-0005-0000-0000-0000B2020000}"/>
    <cellStyle name="Normal 12 4 2" xfId="693" xr:uid="{00000000-0005-0000-0000-0000B3020000}"/>
    <cellStyle name="Normal 12 5" xfId="694" xr:uid="{00000000-0005-0000-0000-0000B4020000}"/>
    <cellStyle name="Normal 12 5 2" xfId="695" xr:uid="{00000000-0005-0000-0000-0000B5020000}"/>
    <cellStyle name="Normal 12 6" xfId="696" xr:uid="{00000000-0005-0000-0000-0000B6020000}"/>
    <cellStyle name="Normal 13" xfId="697" xr:uid="{00000000-0005-0000-0000-0000B7020000}"/>
    <cellStyle name="Normal 13 2" xfId="698" xr:uid="{00000000-0005-0000-0000-0000B8020000}"/>
    <cellStyle name="Normal 14" xfId="699" xr:uid="{00000000-0005-0000-0000-0000B9020000}"/>
    <cellStyle name="Normal 15" xfId="700" xr:uid="{00000000-0005-0000-0000-0000BA020000}"/>
    <cellStyle name="Normal 16" xfId="701" xr:uid="{00000000-0005-0000-0000-0000BB020000}"/>
    <cellStyle name="Normal 16 2" xfId="702" xr:uid="{00000000-0005-0000-0000-0000BC020000}"/>
    <cellStyle name="Normal 16 2 2" xfId="703" xr:uid="{00000000-0005-0000-0000-0000BD020000}"/>
    <cellStyle name="Normal 16 3" xfId="704" xr:uid="{00000000-0005-0000-0000-0000BE020000}"/>
    <cellStyle name="Normal 17" xfId="705" xr:uid="{00000000-0005-0000-0000-0000BF020000}"/>
    <cellStyle name="Normal 17 2" xfId="706" xr:uid="{00000000-0005-0000-0000-0000C0020000}"/>
    <cellStyle name="Normal 17 2 2" xfId="707" xr:uid="{00000000-0005-0000-0000-0000C1020000}"/>
    <cellStyle name="Normal 17 3" xfId="708" xr:uid="{00000000-0005-0000-0000-0000C2020000}"/>
    <cellStyle name="Normal 17 3 2" xfId="709" xr:uid="{00000000-0005-0000-0000-0000C3020000}"/>
    <cellStyle name="Normal 17 3 2 2" xfId="710" xr:uid="{00000000-0005-0000-0000-0000C4020000}"/>
    <cellStyle name="Normal 17 3 2 2 2" xfId="711" xr:uid="{00000000-0005-0000-0000-0000C5020000}"/>
    <cellStyle name="Normal 17 3 2 3" xfId="712" xr:uid="{00000000-0005-0000-0000-0000C6020000}"/>
    <cellStyle name="Normal 17 3 3" xfId="713" xr:uid="{00000000-0005-0000-0000-0000C7020000}"/>
    <cellStyle name="Normal 17 4" xfId="714" xr:uid="{00000000-0005-0000-0000-0000C8020000}"/>
    <cellStyle name="Normal 18" xfId="715" xr:uid="{00000000-0005-0000-0000-0000C9020000}"/>
    <cellStyle name="Normal 18 2" xfId="716" xr:uid="{00000000-0005-0000-0000-0000CA020000}"/>
    <cellStyle name="Normal 18 3" xfId="717" xr:uid="{00000000-0005-0000-0000-0000CB020000}"/>
    <cellStyle name="Normal 19" xfId="718" xr:uid="{00000000-0005-0000-0000-0000CC020000}"/>
    <cellStyle name="Normal 2" xfId="719" xr:uid="{00000000-0005-0000-0000-0000CD020000}"/>
    <cellStyle name="Normal 2 10" xfId="2" xr:uid="{00000000-0005-0000-0000-0000CE020000}"/>
    <cellStyle name="Normal 2 11" xfId="720" xr:uid="{00000000-0005-0000-0000-0000CF020000}"/>
    <cellStyle name="Normal 2 12" xfId="721" xr:uid="{00000000-0005-0000-0000-0000D0020000}"/>
    <cellStyle name="Normal 2 13" xfId="722" xr:uid="{00000000-0005-0000-0000-0000D1020000}"/>
    <cellStyle name="Normal 2 14" xfId="723" xr:uid="{00000000-0005-0000-0000-0000D2020000}"/>
    <cellStyle name="Normal 2 15" xfId="724" xr:uid="{00000000-0005-0000-0000-0000D3020000}"/>
    <cellStyle name="Normal 2 16" xfId="725" xr:uid="{00000000-0005-0000-0000-0000D4020000}"/>
    <cellStyle name="Normal 2 17" xfId="726" xr:uid="{00000000-0005-0000-0000-0000D5020000}"/>
    <cellStyle name="Normal 2 17 2" xfId="727" xr:uid="{00000000-0005-0000-0000-0000D6020000}"/>
    <cellStyle name="Normal 2 17 2 2" xfId="728" xr:uid="{00000000-0005-0000-0000-0000D7020000}"/>
    <cellStyle name="Normal 2 17 3" xfId="729" xr:uid="{00000000-0005-0000-0000-0000D8020000}"/>
    <cellStyle name="Normal 2 18" xfId="730" xr:uid="{00000000-0005-0000-0000-0000D9020000}"/>
    <cellStyle name="Normal 2 18 2" xfId="731" xr:uid="{00000000-0005-0000-0000-0000DA020000}"/>
    <cellStyle name="Normal 2 18 2 2" xfId="732" xr:uid="{00000000-0005-0000-0000-0000DB020000}"/>
    <cellStyle name="Normal 2 18 3" xfId="733" xr:uid="{00000000-0005-0000-0000-0000DC020000}"/>
    <cellStyle name="Normal 2 18 3 2" xfId="734" xr:uid="{00000000-0005-0000-0000-0000DD020000}"/>
    <cellStyle name="Normal 2 18 4" xfId="735" xr:uid="{00000000-0005-0000-0000-0000DE020000}"/>
    <cellStyle name="Normal 2 18 4 2" xfId="736" xr:uid="{00000000-0005-0000-0000-0000DF020000}"/>
    <cellStyle name="Normal 2 18 5" xfId="737" xr:uid="{00000000-0005-0000-0000-0000E0020000}"/>
    <cellStyle name="Normal 2 2" xfId="738" xr:uid="{00000000-0005-0000-0000-0000E1020000}"/>
    <cellStyle name="Normal 2 3" xfId="739" xr:uid="{00000000-0005-0000-0000-0000E2020000}"/>
    <cellStyle name="Normal 2 4" xfId="740" xr:uid="{00000000-0005-0000-0000-0000E3020000}"/>
    <cellStyle name="Normal 2 5" xfId="741" xr:uid="{00000000-0005-0000-0000-0000E4020000}"/>
    <cellStyle name="Normal 2 6" xfId="742" xr:uid="{00000000-0005-0000-0000-0000E5020000}"/>
    <cellStyle name="Normal 2 6 2" xfId="743" xr:uid="{00000000-0005-0000-0000-0000E6020000}"/>
    <cellStyle name="Normal 2 7" xfId="744" xr:uid="{00000000-0005-0000-0000-0000E7020000}"/>
    <cellStyle name="Normal 2 8" xfId="745" xr:uid="{00000000-0005-0000-0000-0000E8020000}"/>
    <cellStyle name="Normal 2 9" xfId="746" xr:uid="{00000000-0005-0000-0000-0000E9020000}"/>
    <cellStyle name="Normal 20" xfId="3" xr:uid="{00000000-0005-0000-0000-0000EA020000}"/>
    <cellStyle name="Normal 21" xfId="747" xr:uid="{00000000-0005-0000-0000-0000EB020000}"/>
    <cellStyle name="Normal 21 2" xfId="748" xr:uid="{00000000-0005-0000-0000-0000EC020000}"/>
    <cellStyle name="Normal 21 2 2" xfId="749" xr:uid="{00000000-0005-0000-0000-0000ED020000}"/>
    <cellStyle name="Normal 21 3" xfId="750" xr:uid="{00000000-0005-0000-0000-0000EE020000}"/>
    <cellStyle name="Normal 21 3 2" xfId="751" xr:uid="{00000000-0005-0000-0000-0000EF020000}"/>
    <cellStyle name="Normal 21 4" xfId="752" xr:uid="{00000000-0005-0000-0000-0000F0020000}"/>
    <cellStyle name="Normal 22" xfId="753" xr:uid="{00000000-0005-0000-0000-0000F1020000}"/>
    <cellStyle name="Normal 22 2" xfId="754" xr:uid="{00000000-0005-0000-0000-0000F2020000}"/>
    <cellStyle name="Normal 23" xfId="755" xr:uid="{00000000-0005-0000-0000-0000F3020000}"/>
    <cellStyle name="Normal 23 2" xfId="756" xr:uid="{00000000-0005-0000-0000-0000F4020000}"/>
    <cellStyle name="Normal 24" xfId="757" xr:uid="{00000000-0005-0000-0000-0000F5020000}"/>
    <cellStyle name="Normal 25" xfId="758" xr:uid="{00000000-0005-0000-0000-0000F6020000}"/>
    <cellStyle name="Normal 25 2" xfId="759" xr:uid="{00000000-0005-0000-0000-0000F7020000}"/>
    <cellStyle name="Normal 26" xfId="760" xr:uid="{00000000-0005-0000-0000-0000F8020000}"/>
    <cellStyle name="Normal 26 2" xfId="761" xr:uid="{00000000-0005-0000-0000-0000F9020000}"/>
    <cellStyle name="Normal 27" xfId="762" xr:uid="{00000000-0005-0000-0000-0000FA020000}"/>
    <cellStyle name="Normal 28" xfId="763" xr:uid="{00000000-0005-0000-0000-0000FB020000}"/>
    <cellStyle name="Normal 29" xfId="764" xr:uid="{00000000-0005-0000-0000-0000FC020000}"/>
    <cellStyle name="Normal 3" xfId="765" xr:uid="{00000000-0005-0000-0000-0000FD020000}"/>
    <cellStyle name="Normal 3 2" xfId="766" xr:uid="{00000000-0005-0000-0000-0000FE020000}"/>
    <cellStyle name="Normal 3 2 2" xfId="767" xr:uid="{00000000-0005-0000-0000-0000FF020000}"/>
    <cellStyle name="Normal 3 2 3" xfId="768" xr:uid="{00000000-0005-0000-0000-000000030000}"/>
    <cellStyle name="Normal 3 2 4" xfId="769" xr:uid="{00000000-0005-0000-0000-000001030000}"/>
    <cellStyle name="Normal 3 2 5" xfId="770" xr:uid="{00000000-0005-0000-0000-000002030000}"/>
    <cellStyle name="Normal 3 2 5 2" xfId="771" xr:uid="{00000000-0005-0000-0000-000003030000}"/>
    <cellStyle name="Normal 3 2 5 2 2" xfId="772" xr:uid="{00000000-0005-0000-0000-000004030000}"/>
    <cellStyle name="Normal 3 2 5 3" xfId="773" xr:uid="{00000000-0005-0000-0000-000005030000}"/>
    <cellStyle name="Normal 3 2 5 3 2" xfId="774" xr:uid="{00000000-0005-0000-0000-000006030000}"/>
    <cellStyle name="Normal 3 2 5 4" xfId="775" xr:uid="{00000000-0005-0000-0000-000007030000}"/>
    <cellStyle name="Normal 3 2 6" xfId="776" xr:uid="{00000000-0005-0000-0000-000008030000}"/>
    <cellStyle name="Normal 3 2 6 2" xfId="777" xr:uid="{00000000-0005-0000-0000-000009030000}"/>
    <cellStyle name="Normal 3 2 6 2 2" xfId="778" xr:uid="{00000000-0005-0000-0000-00000A030000}"/>
    <cellStyle name="Normal 3 2 6 3" xfId="779" xr:uid="{00000000-0005-0000-0000-00000B030000}"/>
    <cellStyle name="Normal 3 2 6 3 2" xfId="780" xr:uid="{00000000-0005-0000-0000-00000C030000}"/>
    <cellStyle name="Normal 3 2 6 4" xfId="781" xr:uid="{00000000-0005-0000-0000-00000D030000}"/>
    <cellStyle name="Normal 3 2 7" xfId="782" xr:uid="{00000000-0005-0000-0000-00000E030000}"/>
    <cellStyle name="Normal 3 2 7 2" xfId="783" xr:uid="{00000000-0005-0000-0000-00000F030000}"/>
    <cellStyle name="Normal 3 2 8" xfId="784" xr:uid="{00000000-0005-0000-0000-000010030000}"/>
    <cellStyle name="Normal 3 2 8 2" xfId="785" xr:uid="{00000000-0005-0000-0000-000011030000}"/>
    <cellStyle name="Normal 3 2 9" xfId="786" xr:uid="{00000000-0005-0000-0000-000012030000}"/>
    <cellStyle name="Normal 3 3" xfId="787" xr:uid="{00000000-0005-0000-0000-000013030000}"/>
    <cellStyle name="Normal 3 3 2" xfId="788" xr:uid="{00000000-0005-0000-0000-000014030000}"/>
    <cellStyle name="Normal 3 3 2 2" xfId="789" xr:uid="{00000000-0005-0000-0000-000015030000}"/>
    <cellStyle name="Normal 3 3 2 2 2" xfId="790" xr:uid="{00000000-0005-0000-0000-000016030000}"/>
    <cellStyle name="Normal 3 3 2 3" xfId="791" xr:uid="{00000000-0005-0000-0000-000017030000}"/>
    <cellStyle name="Normal 3 3 2 3 2" xfId="792" xr:uid="{00000000-0005-0000-0000-000018030000}"/>
    <cellStyle name="Normal 3 3 2 4" xfId="793" xr:uid="{00000000-0005-0000-0000-000019030000}"/>
    <cellStyle name="Normal 3 3 3" xfId="794" xr:uid="{00000000-0005-0000-0000-00001A030000}"/>
    <cellStyle name="Normal 3 3 3 2" xfId="795" xr:uid="{00000000-0005-0000-0000-00001B030000}"/>
    <cellStyle name="Normal 3 3 3 2 2" xfId="796" xr:uid="{00000000-0005-0000-0000-00001C030000}"/>
    <cellStyle name="Normal 3 3 3 3" xfId="797" xr:uid="{00000000-0005-0000-0000-00001D030000}"/>
    <cellStyle name="Normal 3 3 3 3 2" xfId="798" xr:uid="{00000000-0005-0000-0000-00001E030000}"/>
    <cellStyle name="Normal 3 3 3 4" xfId="799" xr:uid="{00000000-0005-0000-0000-00001F030000}"/>
    <cellStyle name="Normal 3 3 4" xfId="800" xr:uid="{00000000-0005-0000-0000-000020030000}"/>
    <cellStyle name="Normal 3 3 4 2" xfId="801" xr:uid="{00000000-0005-0000-0000-000021030000}"/>
    <cellStyle name="Normal 3 3 5" xfId="802" xr:uid="{00000000-0005-0000-0000-000022030000}"/>
    <cellStyle name="Normal 3 3 5 2" xfId="803" xr:uid="{00000000-0005-0000-0000-000023030000}"/>
    <cellStyle name="Normal 3 3 6" xfId="804" xr:uid="{00000000-0005-0000-0000-000024030000}"/>
    <cellStyle name="Normal 3 4" xfId="805" xr:uid="{00000000-0005-0000-0000-000025030000}"/>
    <cellStyle name="Normal 3 4 2" xfId="806" xr:uid="{00000000-0005-0000-0000-000026030000}"/>
    <cellStyle name="Normal 3 4 2 2" xfId="807" xr:uid="{00000000-0005-0000-0000-000027030000}"/>
    <cellStyle name="Normal 3 4 2 2 2" xfId="808" xr:uid="{00000000-0005-0000-0000-000028030000}"/>
    <cellStyle name="Normal 3 4 2 3" xfId="809" xr:uid="{00000000-0005-0000-0000-000029030000}"/>
    <cellStyle name="Normal 3 4 2 3 2" xfId="810" xr:uid="{00000000-0005-0000-0000-00002A030000}"/>
    <cellStyle name="Normal 3 4 2 4" xfId="811" xr:uid="{00000000-0005-0000-0000-00002B030000}"/>
    <cellStyle name="Normal 3 4 3" xfId="812" xr:uid="{00000000-0005-0000-0000-00002C030000}"/>
    <cellStyle name="Normal 3 4 3 2" xfId="813" xr:uid="{00000000-0005-0000-0000-00002D030000}"/>
    <cellStyle name="Normal 3 4 3 2 2" xfId="814" xr:uid="{00000000-0005-0000-0000-00002E030000}"/>
    <cellStyle name="Normal 3 4 3 3" xfId="815" xr:uid="{00000000-0005-0000-0000-00002F030000}"/>
    <cellStyle name="Normal 3 4 3 3 2" xfId="816" xr:uid="{00000000-0005-0000-0000-000030030000}"/>
    <cellStyle name="Normal 3 4 3 4" xfId="817" xr:uid="{00000000-0005-0000-0000-000031030000}"/>
    <cellStyle name="Normal 3 4 4" xfId="818" xr:uid="{00000000-0005-0000-0000-000032030000}"/>
    <cellStyle name="Normal 3 4 4 2" xfId="819" xr:uid="{00000000-0005-0000-0000-000033030000}"/>
    <cellStyle name="Normal 3 4 5" xfId="820" xr:uid="{00000000-0005-0000-0000-000034030000}"/>
    <cellStyle name="Normal 3 4 5 2" xfId="821" xr:uid="{00000000-0005-0000-0000-000035030000}"/>
    <cellStyle name="Normal 3 4 6" xfId="822" xr:uid="{00000000-0005-0000-0000-000036030000}"/>
    <cellStyle name="Normal 3 5" xfId="823" xr:uid="{00000000-0005-0000-0000-000037030000}"/>
    <cellStyle name="Normal 3 6" xfId="824" xr:uid="{00000000-0005-0000-0000-000038030000}"/>
    <cellStyle name="Normal 3 7" xfId="825" xr:uid="{00000000-0005-0000-0000-000039030000}"/>
    <cellStyle name="Normal 3 8" xfId="826" xr:uid="{00000000-0005-0000-0000-00003A030000}"/>
    <cellStyle name="Normal 4" xfId="827" xr:uid="{00000000-0005-0000-0000-00003B030000}"/>
    <cellStyle name="Normal 4 10" xfId="828" xr:uid="{00000000-0005-0000-0000-00003C030000}"/>
    <cellStyle name="Normal 4 2" xfId="829" xr:uid="{00000000-0005-0000-0000-00003D030000}"/>
    <cellStyle name="Normal 4 3" xfId="830" xr:uid="{00000000-0005-0000-0000-00003E030000}"/>
    <cellStyle name="Normal 4 4" xfId="831" xr:uid="{00000000-0005-0000-0000-00003F030000}"/>
    <cellStyle name="Normal 4 5" xfId="832" xr:uid="{00000000-0005-0000-0000-000040030000}"/>
    <cellStyle name="Normal 4 6" xfId="833" xr:uid="{00000000-0005-0000-0000-000041030000}"/>
    <cellStyle name="Normal 4 7" xfId="834" xr:uid="{00000000-0005-0000-0000-000042030000}"/>
    <cellStyle name="Normal 4 8" xfId="835" xr:uid="{00000000-0005-0000-0000-000043030000}"/>
    <cellStyle name="Normal 4 9" xfId="836" xr:uid="{00000000-0005-0000-0000-000044030000}"/>
    <cellStyle name="Normal 5" xfId="837" xr:uid="{00000000-0005-0000-0000-000045030000}"/>
    <cellStyle name="Normal 5 2" xfId="838" xr:uid="{00000000-0005-0000-0000-000046030000}"/>
    <cellStyle name="Normal 5 3" xfId="839" xr:uid="{00000000-0005-0000-0000-000047030000}"/>
    <cellStyle name="Normal 5 4" xfId="840" xr:uid="{00000000-0005-0000-0000-000048030000}"/>
    <cellStyle name="Normal 5 5" xfId="841" xr:uid="{00000000-0005-0000-0000-000049030000}"/>
    <cellStyle name="Normal 6" xfId="842" xr:uid="{00000000-0005-0000-0000-00004A030000}"/>
    <cellStyle name="Normal 6 10" xfId="843" xr:uid="{00000000-0005-0000-0000-00004B030000}"/>
    <cellStyle name="Normal 6 2" xfId="844" xr:uid="{00000000-0005-0000-0000-00004C030000}"/>
    <cellStyle name="Normal 6 3" xfId="845" xr:uid="{00000000-0005-0000-0000-00004D030000}"/>
    <cellStyle name="Normal 6 5" xfId="846" xr:uid="{00000000-0005-0000-0000-00004E030000}"/>
    <cellStyle name="Normal 6 7" xfId="847" xr:uid="{00000000-0005-0000-0000-00004F030000}"/>
    <cellStyle name="Normal 6 8" xfId="848" xr:uid="{00000000-0005-0000-0000-000050030000}"/>
    <cellStyle name="Normal 6 9" xfId="849" xr:uid="{00000000-0005-0000-0000-000051030000}"/>
    <cellStyle name="Normal 7" xfId="850" xr:uid="{00000000-0005-0000-0000-000052030000}"/>
    <cellStyle name="Normal 7 2" xfId="851" xr:uid="{00000000-0005-0000-0000-000053030000}"/>
    <cellStyle name="Normal 7 3" xfId="852" xr:uid="{00000000-0005-0000-0000-000054030000}"/>
    <cellStyle name="Normal 7 4" xfId="853" xr:uid="{00000000-0005-0000-0000-000055030000}"/>
    <cellStyle name="Normal 7 5" xfId="854" xr:uid="{00000000-0005-0000-0000-000056030000}"/>
    <cellStyle name="Normal 7 5 2" xfId="855" xr:uid="{00000000-0005-0000-0000-000057030000}"/>
    <cellStyle name="Normal 7 5 2 2" xfId="856" xr:uid="{00000000-0005-0000-0000-000058030000}"/>
    <cellStyle name="Normal 7 5 2 2 2" xfId="857" xr:uid="{00000000-0005-0000-0000-000059030000}"/>
    <cellStyle name="Normal 7 5 2 3" xfId="858" xr:uid="{00000000-0005-0000-0000-00005A030000}"/>
    <cellStyle name="Normal 7 5 2 3 2" xfId="859" xr:uid="{00000000-0005-0000-0000-00005B030000}"/>
    <cellStyle name="Normal 7 5 2 4" xfId="860" xr:uid="{00000000-0005-0000-0000-00005C030000}"/>
    <cellStyle name="Normal 7 5 3" xfId="861" xr:uid="{00000000-0005-0000-0000-00005D030000}"/>
    <cellStyle name="Normal 7 5 3 2" xfId="862" xr:uid="{00000000-0005-0000-0000-00005E030000}"/>
    <cellStyle name="Normal 7 5 3 2 2" xfId="863" xr:uid="{00000000-0005-0000-0000-00005F030000}"/>
    <cellStyle name="Normal 7 5 3 3" xfId="864" xr:uid="{00000000-0005-0000-0000-000060030000}"/>
    <cellStyle name="Normal 7 5 3 3 2" xfId="865" xr:uid="{00000000-0005-0000-0000-000061030000}"/>
    <cellStyle name="Normal 7 5 3 4" xfId="866" xr:uid="{00000000-0005-0000-0000-000062030000}"/>
    <cellStyle name="Normal 7 5 4" xfId="867" xr:uid="{00000000-0005-0000-0000-000063030000}"/>
    <cellStyle name="Normal 7 5 4 2" xfId="868" xr:uid="{00000000-0005-0000-0000-000064030000}"/>
    <cellStyle name="Normal 7 5 5" xfId="869" xr:uid="{00000000-0005-0000-0000-000065030000}"/>
    <cellStyle name="Normal 7 5 5 2" xfId="870" xr:uid="{00000000-0005-0000-0000-000066030000}"/>
    <cellStyle name="Normal 7 5 6" xfId="871" xr:uid="{00000000-0005-0000-0000-000067030000}"/>
    <cellStyle name="Normal 8" xfId="872" xr:uid="{00000000-0005-0000-0000-000068030000}"/>
    <cellStyle name="Normal 8 2" xfId="873" xr:uid="{00000000-0005-0000-0000-000069030000}"/>
    <cellStyle name="Normal 8 2 2" xfId="874" xr:uid="{00000000-0005-0000-0000-00006A030000}"/>
    <cellStyle name="Normal 8 2 2 2" xfId="875" xr:uid="{00000000-0005-0000-0000-00006B030000}"/>
    <cellStyle name="Normal 8 2 2 2 2" xfId="876" xr:uid="{00000000-0005-0000-0000-00006C030000}"/>
    <cellStyle name="Normal 8 2 2 3" xfId="877" xr:uid="{00000000-0005-0000-0000-00006D030000}"/>
    <cellStyle name="Normal 8 2 2 3 2" xfId="878" xr:uid="{00000000-0005-0000-0000-00006E030000}"/>
    <cellStyle name="Normal 8 2 2 4" xfId="879" xr:uid="{00000000-0005-0000-0000-00006F030000}"/>
    <cellStyle name="Normal 8 2 3" xfId="880" xr:uid="{00000000-0005-0000-0000-000070030000}"/>
    <cellStyle name="Normal 8 2 3 2" xfId="881" xr:uid="{00000000-0005-0000-0000-000071030000}"/>
    <cellStyle name="Normal 8 2 3 2 2" xfId="882" xr:uid="{00000000-0005-0000-0000-000072030000}"/>
    <cellStyle name="Normal 8 2 3 3" xfId="883" xr:uid="{00000000-0005-0000-0000-000073030000}"/>
    <cellStyle name="Normal 8 2 3 3 2" xfId="884" xr:uid="{00000000-0005-0000-0000-000074030000}"/>
    <cellStyle name="Normal 8 2 3 4" xfId="885" xr:uid="{00000000-0005-0000-0000-000075030000}"/>
    <cellStyle name="Normal 8 2 4" xfId="886" xr:uid="{00000000-0005-0000-0000-000076030000}"/>
    <cellStyle name="Normal 8 2 4 2" xfId="887" xr:uid="{00000000-0005-0000-0000-000077030000}"/>
    <cellStyle name="Normal 8 2 5" xfId="888" xr:uid="{00000000-0005-0000-0000-000078030000}"/>
    <cellStyle name="Normal 8 2 5 2" xfId="889" xr:uid="{00000000-0005-0000-0000-000079030000}"/>
    <cellStyle name="Normal 8 2 6" xfId="890" xr:uid="{00000000-0005-0000-0000-00007A030000}"/>
    <cellStyle name="Normal 8 3" xfId="891" xr:uid="{00000000-0005-0000-0000-00007B030000}"/>
    <cellStyle name="Normal 8 3 2" xfId="892" xr:uid="{00000000-0005-0000-0000-00007C030000}"/>
    <cellStyle name="Normal 8 3 2 2" xfId="893" xr:uid="{00000000-0005-0000-0000-00007D030000}"/>
    <cellStyle name="Normal 8 3 2 2 2" xfId="894" xr:uid="{00000000-0005-0000-0000-00007E030000}"/>
    <cellStyle name="Normal 8 3 2 3" xfId="895" xr:uid="{00000000-0005-0000-0000-00007F030000}"/>
    <cellStyle name="Normal 8 3 2 3 2" xfId="896" xr:uid="{00000000-0005-0000-0000-000080030000}"/>
    <cellStyle name="Normal 8 3 2 4" xfId="897" xr:uid="{00000000-0005-0000-0000-000081030000}"/>
    <cellStyle name="Normal 8 3 3" xfId="898" xr:uid="{00000000-0005-0000-0000-000082030000}"/>
    <cellStyle name="Normal 8 3 3 2" xfId="899" xr:uid="{00000000-0005-0000-0000-000083030000}"/>
    <cellStyle name="Normal 8 3 3 2 2" xfId="900" xr:uid="{00000000-0005-0000-0000-000084030000}"/>
    <cellStyle name="Normal 8 3 3 3" xfId="901" xr:uid="{00000000-0005-0000-0000-000085030000}"/>
    <cellStyle name="Normal 8 3 3 3 2" xfId="902" xr:uid="{00000000-0005-0000-0000-000086030000}"/>
    <cellStyle name="Normal 8 3 3 4" xfId="903" xr:uid="{00000000-0005-0000-0000-000087030000}"/>
    <cellStyle name="Normal 8 3 4" xfId="904" xr:uid="{00000000-0005-0000-0000-000088030000}"/>
    <cellStyle name="Normal 8 3 4 2" xfId="905" xr:uid="{00000000-0005-0000-0000-000089030000}"/>
    <cellStyle name="Normal 8 3 5" xfId="906" xr:uid="{00000000-0005-0000-0000-00008A030000}"/>
    <cellStyle name="Normal 8 3 5 2" xfId="907" xr:uid="{00000000-0005-0000-0000-00008B030000}"/>
    <cellStyle name="Normal 8 3 6" xfId="908" xr:uid="{00000000-0005-0000-0000-00008C030000}"/>
    <cellStyle name="Normal 8 4" xfId="909" xr:uid="{00000000-0005-0000-0000-00008D030000}"/>
    <cellStyle name="Normal 8 4 2" xfId="910" xr:uid="{00000000-0005-0000-0000-00008E030000}"/>
    <cellStyle name="Normal 8 4 2 2" xfId="911" xr:uid="{00000000-0005-0000-0000-00008F030000}"/>
    <cellStyle name="Normal 8 4 3" xfId="912" xr:uid="{00000000-0005-0000-0000-000090030000}"/>
    <cellStyle name="Normal 8 4 3 2" xfId="913" xr:uid="{00000000-0005-0000-0000-000091030000}"/>
    <cellStyle name="Normal 8 4 4" xfId="914" xr:uid="{00000000-0005-0000-0000-000092030000}"/>
    <cellStyle name="Normal 8 5" xfId="915" xr:uid="{00000000-0005-0000-0000-000093030000}"/>
    <cellStyle name="Normal 8 5 2" xfId="916" xr:uid="{00000000-0005-0000-0000-000094030000}"/>
    <cellStyle name="Normal 8 5 2 2" xfId="917" xr:uid="{00000000-0005-0000-0000-000095030000}"/>
    <cellStyle name="Normal 8 5 3" xfId="918" xr:uid="{00000000-0005-0000-0000-000096030000}"/>
    <cellStyle name="Normal 8 5 3 2" xfId="919" xr:uid="{00000000-0005-0000-0000-000097030000}"/>
    <cellStyle name="Normal 8 5 4" xfId="920" xr:uid="{00000000-0005-0000-0000-000098030000}"/>
    <cellStyle name="Normal 8 6" xfId="921" xr:uid="{00000000-0005-0000-0000-000099030000}"/>
    <cellStyle name="Normal 8 6 2" xfId="922" xr:uid="{00000000-0005-0000-0000-00009A030000}"/>
    <cellStyle name="Normal 8 7" xfId="923" xr:uid="{00000000-0005-0000-0000-00009B030000}"/>
    <cellStyle name="Normal 8 7 2" xfId="924" xr:uid="{00000000-0005-0000-0000-00009C030000}"/>
    <cellStyle name="Normal 8 8" xfId="925" xr:uid="{00000000-0005-0000-0000-00009D030000}"/>
    <cellStyle name="Normal 9" xfId="926" xr:uid="{00000000-0005-0000-0000-00009E030000}"/>
    <cellStyle name="Normal 9 2" xfId="927" xr:uid="{00000000-0005-0000-0000-00009F030000}"/>
    <cellStyle name="Normal 9 2 2" xfId="928" xr:uid="{00000000-0005-0000-0000-0000A0030000}"/>
    <cellStyle name="Normal 9 2 2 2" xfId="929" xr:uid="{00000000-0005-0000-0000-0000A1030000}"/>
    <cellStyle name="Normal 9 2 2 2 2" xfId="930" xr:uid="{00000000-0005-0000-0000-0000A2030000}"/>
    <cellStyle name="Normal 9 2 2 3" xfId="931" xr:uid="{00000000-0005-0000-0000-0000A3030000}"/>
    <cellStyle name="Normal 9 2 2 3 2" xfId="932" xr:uid="{00000000-0005-0000-0000-0000A4030000}"/>
    <cellStyle name="Normal 9 2 2 4" xfId="933" xr:uid="{00000000-0005-0000-0000-0000A5030000}"/>
    <cellStyle name="Normal 9 2 3" xfId="934" xr:uid="{00000000-0005-0000-0000-0000A6030000}"/>
    <cellStyle name="Normal 9 2 3 2" xfId="935" xr:uid="{00000000-0005-0000-0000-0000A7030000}"/>
    <cellStyle name="Normal 9 2 3 2 2" xfId="936" xr:uid="{00000000-0005-0000-0000-0000A8030000}"/>
    <cellStyle name="Normal 9 2 3 3" xfId="937" xr:uid="{00000000-0005-0000-0000-0000A9030000}"/>
    <cellStyle name="Normal 9 2 3 3 2" xfId="938" xr:uid="{00000000-0005-0000-0000-0000AA030000}"/>
    <cellStyle name="Normal 9 2 3 4" xfId="939" xr:uid="{00000000-0005-0000-0000-0000AB030000}"/>
    <cellStyle name="Normal 9 2 4" xfId="940" xr:uid="{00000000-0005-0000-0000-0000AC030000}"/>
    <cellStyle name="Normal 9 2 4 2" xfId="941" xr:uid="{00000000-0005-0000-0000-0000AD030000}"/>
    <cellStyle name="Normal 9 2 5" xfId="942" xr:uid="{00000000-0005-0000-0000-0000AE030000}"/>
    <cellStyle name="Normal 9 2 5 2" xfId="943" xr:uid="{00000000-0005-0000-0000-0000AF030000}"/>
    <cellStyle name="Normal 9 2 6" xfId="944" xr:uid="{00000000-0005-0000-0000-0000B0030000}"/>
    <cellStyle name="Normal_Tableau Gestion" xfId="970" xr:uid="{00000000-0005-0000-0000-0000B1030000}"/>
    <cellStyle name="Pourcentage 2" xfId="945" xr:uid="{00000000-0005-0000-0000-0000B2030000}"/>
    <cellStyle name="Pourcentage 3" xfId="946" xr:uid="{00000000-0005-0000-0000-0000B3030000}"/>
    <cellStyle name="Pourcentage 3 2" xfId="947" xr:uid="{00000000-0005-0000-0000-0000B4030000}"/>
    <cellStyle name="Pourcentage 3 2 2" xfId="948" xr:uid="{00000000-0005-0000-0000-0000B5030000}"/>
    <cellStyle name="Pourcentage 3 3" xfId="949" xr:uid="{00000000-0005-0000-0000-0000B6030000}"/>
    <cellStyle name="Pourcentage 4" xfId="950" xr:uid="{00000000-0005-0000-0000-0000B7030000}"/>
    <cellStyle name="Pourcentage 5" xfId="951" xr:uid="{00000000-0005-0000-0000-0000B8030000}"/>
    <cellStyle name="Pourcentage 5 2" xfId="952" xr:uid="{00000000-0005-0000-0000-0000B9030000}"/>
    <cellStyle name="Pourcentage 6" xfId="953" xr:uid="{00000000-0005-0000-0000-0000BA030000}"/>
    <cellStyle name="Pourcentage 6 2" xfId="954" xr:uid="{00000000-0005-0000-0000-0000BB030000}"/>
    <cellStyle name="Style 1" xfId="955" xr:uid="{00000000-0005-0000-0000-0000BC030000}"/>
    <cellStyle name="te" xfId="956" xr:uid="{00000000-0005-0000-0000-0000BD030000}"/>
    <cellStyle name="text" xfId="957" xr:uid="{00000000-0005-0000-0000-0000BE030000}"/>
    <cellStyle name="texte" xfId="958" xr:uid="{00000000-0005-0000-0000-0000BF030000}"/>
    <cellStyle name="tit" xfId="959" xr:uid="{00000000-0005-0000-0000-0000C0030000}"/>
    <cellStyle name="titre 10" xfId="960" xr:uid="{00000000-0005-0000-0000-0000C1030000}"/>
    <cellStyle name="titre 2" xfId="961" xr:uid="{00000000-0005-0000-0000-0000C2030000}"/>
    <cellStyle name="titre 3" xfId="962" xr:uid="{00000000-0005-0000-0000-0000C3030000}"/>
    <cellStyle name="titre 4" xfId="963" xr:uid="{00000000-0005-0000-0000-0000C4030000}"/>
    <cellStyle name="titre 5" xfId="964" xr:uid="{00000000-0005-0000-0000-0000C5030000}"/>
    <cellStyle name="titre 6" xfId="965" xr:uid="{00000000-0005-0000-0000-0000C6030000}"/>
    <cellStyle name="titre 7" xfId="966" xr:uid="{00000000-0005-0000-0000-0000C7030000}"/>
    <cellStyle name="titre 8" xfId="967" xr:uid="{00000000-0005-0000-0000-0000C8030000}"/>
    <cellStyle name="titre 9" xfId="968" xr:uid="{00000000-0005-0000-0000-0000C9030000}"/>
    <cellStyle name="tot." xfId="969" xr:uid="{00000000-0005-0000-0000-0000CA03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2155030</xdr:colOff>
      <xdr:row>0</xdr:row>
      <xdr:rowOff>178594</xdr:rowOff>
    </xdr:from>
    <xdr:to>
      <xdr:col>12</xdr:col>
      <xdr:colOff>523873</xdr:colOff>
      <xdr:row>2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12130" y="178594"/>
          <a:ext cx="11684793" cy="4214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fr-FR" sz="2000"/>
            <a:t>ETAT DES REALISATIONS DE L'AGENCE URBAINE DE GUELMIM OUED NOUN AU TITRE DE L'EXERCICE 2022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2155030</xdr:colOff>
      <xdr:row>0</xdr:row>
      <xdr:rowOff>178594</xdr:rowOff>
    </xdr:from>
    <xdr:to>
      <xdr:col>12</xdr:col>
      <xdr:colOff>523873</xdr:colOff>
      <xdr:row>2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812130" y="178594"/>
          <a:ext cx="11684793" cy="4214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fr-FR" sz="2000"/>
            <a:t>ETAT DES REALISATIONS DE L'AGENCE URBAINE DE GUELMIM OUED NOUN AU TITRE DE L'EXERCICE 2021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2155030</xdr:colOff>
      <xdr:row>0</xdr:row>
      <xdr:rowOff>178594</xdr:rowOff>
    </xdr:from>
    <xdr:to>
      <xdr:col>12</xdr:col>
      <xdr:colOff>523873</xdr:colOff>
      <xdr:row>2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12130" y="178594"/>
          <a:ext cx="11684793" cy="42148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fr-FR" sz="2000"/>
            <a:t>ETAT DES REALISATIONS DE L'AGENCE URBAINE DE GUELMIM OUED NOUN AU TITRE DE L'EXERCICE 2020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1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ournal Décembre 21"/>
      <sheetName val="Journal JANVIER 22"/>
      <sheetName val="GL JANVIER 22"/>
      <sheetName val="Journal FEVRIER 22 "/>
      <sheetName val="GL FEVRIER 22 "/>
      <sheetName val="Journal MARS 22 "/>
      <sheetName val="GL MARS 22"/>
      <sheetName val="Journal AVRIL 22 "/>
      <sheetName val="GL AVRIL 22 "/>
      <sheetName val="Journal MAI 22 "/>
      <sheetName val="GL MAI 22"/>
      <sheetName val="Journal JUIN 22"/>
      <sheetName val="GL JUIN 22 "/>
      <sheetName val="Journal JUILLET 22"/>
      <sheetName val="GL JUILLET 22 "/>
      <sheetName val="Journal AOUT 22"/>
      <sheetName val="GL AOUT 22 "/>
      <sheetName val="Journal SEPT 22"/>
      <sheetName val="GL SEPT 22 "/>
      <sheetName val="Journal OCT 22"/>
      <sheetName val="GL OCT 22 "/>
      <sheetName val="Journal NOV 22"/>
      <sheetName val="GL NOV 22 "/>
      <sheetName val="Journal DEC 22 "/>
      <sheetName val="GL DEC 22"/>
      <sheetName val="PAIEMENTS BUDGET 2022"/>
      <sheetName val="RESTE A PAYER 2022"/>
      <sheetName val="REALISATIONS BUDGET 2022"/>
      <sheetName val="ENCAISSEMENTS 2022"/>
      <sheetName val="SIT - TRESORERIE"/>
      <sheetName val="ETAT DE RAPPROCHEMENT"/>
      <sheetName val="SITUATION DES RESSOURCES PROPRE"/>
      <sheetName val="Feuil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11">
          <cell r="E11">
            <v>8010000</v>
          </cell>
          <cell r="R11">
            <v>7110635.2199999997</v>
          </cell>
        </row>
        <row r="12">
          <cell r="E12">
            <v>1727400</v>
          </cell>
          <cell r="R12">
            <v>1475057.56</v>
          </cell>
        </row>
        <row r="13">
          <cell r="E13">
            <v>480000</v>
          </cell>
          <cell r="R13">
            <v>472268.29</v>
          </cell>
        </row>
        <row r="15">
          <cell r="E15">
            <v>1066000</v>
          </cell>
          <cell r="R15">
            <v>1060948.6499999999</v>
          </cell>
        </row>
        <row r="16">
          <cell r="E16">
            <v>176000</v>
          </cell>
          <cell r="R16">
            <v>164952.45000000001</v>
          </cell>
        </row>
        <row r="17">
          <cell r="E17">
            <v>149000</v>
          </cell>
          <cell r="R17">
            <v>133700</v>
          </cell>
        </row>
        <row r="18">
          <cell r="E18">
            <v>0</v>
          </cell>
        </row>
        <row r="19">
          <cell r="E19">
            <v>196000</v>
          </cell>
          <cell r="R19">
            <v>172678.76</v>
          </cell>
        </row>
        <row r="21">
          <cell r="E21">
            <v>400000</v>
          </cell>
          <cell r="R21">
            <v>400000</v>
          </cell>
        </row>
        <row r="22">
          <cell r="E22">
            <v>10000</v>
          </cell>
          <cell r="R22">
            <v>9998.4</v>
          </cell>
        </row>
        <row r="23">
          <cell r="E23">
            <v>40000</v>
          </cell>
        </row>
        <row r="24">
          <cell r="E24">
            <v>0</v>
          </cell>
          <cell r="R24">
            <v>0</v>
          </cell>
        </row>
        <row r="25">
          <cell r="E25">
            <v>12000</v>
          </cell>
          <cell r="R25">
            <v>10200</v>
          </cell>
        </row>
        <row r="33">
          <cell r="E33">
            <v>0</v>
          </cell>
          <cell r="R33">
            <v>0</v>
          </cell>
        </row>
        <row r="34">
          <cell r="E34">
            <v>100000</v>
          </cell>
          <cell r="R34">
            <v>99600</v>
          </cell>
        </row>
        <row r="35">
          <cell r="E35">
            <v>250000</v>
          </cell>
          <cell r="R35">
            <v>249983.55</v>
          </cell>
        </row>
        <row r="36">
          <cell r="E36">
            <v>200000</v>
          </cell>
          <cell r="R36">
            <v>198586.27</v>
          </cell>
        </row>
        <row r="37">
          <cell r="E37">
            <v>50000</v>
          </cell>
          <cell r="R37">
            <v>50000</v>
          </cell>
        </row>
        <row r="38">
          <cell r="E38">
            <v>10000</v>
          </cell>
          <cell r="R38">
            <v>10000</v>
          </cell>
        </row>
        <row r="39">
          <cell r="E39">
            <v>490000</v>
          </cell>
          <cell r="R39">
            <v>484995.03</v>
          </cell>
        </row>
        <row r="41">
          <cell r="E41">
            <v>60000</v>
          </cell>
        </row>
        <row r="42">
          <cell r="E42">
            <v>120000</v>
          </cell>
        </row>
        <row r="43">
          <cell r="R43">
            <v>73800</v>
          </cell>
        </row>
        <row r="44">
          <cell r="E44">
            <v>0</v>
          </cell>
        </row>
        <row r="45">
          <cell r="E45">
            <v>0</v>
          </cell>
          <cell r="R45">
            <v>0</v>
          </cell>
        </row>
        <row r="48">
          <cell r="E48">
            <v>670000</v>
          </cell>
          <cell r="R48">
            <v>666000</v>
          </cell>
        </row>
        <row r="50">
          <cell r="E50">
            <v>50000</v>
          </cell>
          <cell r="R50">
            <v>49920</v>
          </cell>
        </row>
        <row r="51">
          <cell r="E51">
            <v>350000</v>
          </cell>
          <cell r="R51">
            <v>349000</v>
          </cell>
        </row>
        <row r="52">
          <cell r="E52">
            <v>0</v>
          </cell>
          <cell r="R52">
            <v>0</v>
          </cell>
        </row>
        <row r="53">
          <cell r="E53">
            <v>80000</v>
          </cell>
          <cell r="R53">
            <v>80000</v>
          </cell>
        </row>
        <row r="54">
          <cell r="E54">
            <v>70000</v>
          </cell>
          <cell r="R54">
            <v>69996</v>
          </cell>
        </row>
        <row r="56">
          <cell r="E56">
            <v>0</v>
          </cell>
        </row>
        <row r="57">
          <cell r="E57">
            <v>40000</v>
          </cell>
          <cell r="R57">
            <v>34641.39</v>
          </cell>
        </row>
        <row r="59">
          <cell r="E59">
            <v>391000</v>
          </cell>
          <cell r="R59">
            <v>390156</v>
          </cell>
        </row>
        <row r="60">
          <cell r="E60">
            <v>126000</v>
          </cell>
          <cell r="R60">
            <v>124913.88</v>
          </cell>
        </row>
        <row r="62">
          <cell r="E62">
            <v>10000</v>
          </cell>
        </row>
        <row r="63">
          <cell r="E63">
            <v>967200</v>
          </cell>
          <cell r="R63">
            <v>967140</v>
          </cell>
        </row>
        <row r="64">
          <cell r="E64">
            <v>2800</v>
          </cell>
          <cell r="R64">
            <v>2800</v>
          </cell>
        </row>
        <row r="65">
          <cell r="E65">
            <v>50000</v>
          </cell>
          <cell r="R65">
            <v>50000</v>
          </cell>
        </row>
        <row r="66">
          <cell r="E66">
            <v>70000</v>
          </cell>
        </row>
        <row r="67">
          <cell r="E67">
            <v>250000</v>
          </cell>
          <cell r="R67">
            <v>249700</v>
          </cell>
        </row>
        <row r="69">
          <cell r="E69">
            <v>20000</v>
          </cell>
        </row>
        <row r="70">
          <cell r="E70">
            <v>240000</v>
          </cell>
          <cell r="R70">
            <v>240000</v>
          </cell>
        </row>
        <row r="72">
          <cell r="E72">
            <v>240000</v>
          </cell>
          <cell r="R72">
            <v>237134.3</v>
          </cell>
        </row>
        <row r="73">
          <cell r="E73">
            <v>13150</v>
          </cell>
          <cell r="R73">
            <v>13150</v>
          </cell>
        </row>
        <row r="77">
          <cell r="E77">
            <v>29500</v>
          </cell>
          <cell r="R77">
            <v>4800</v>
          </cell>
        </row>
        <row r="79">
          <cell r="R79">
            <v>70008</v>
          </cell>
        </row>
        <row r="80">
          <cell r="E80">
            <v>50000</v>
          </cell>
        </row>
        <row r="92">
          <cell r="E92">
            <v>810000</v>
          </cell>
        </row>
        <row r="93">
          <cell r="E93">
            <v>250000</v>
          </cell>
        </row>
        <row r="94">
          <cell r="E94">
            <v>250000</v>
          </cell>
        </row>
        <row r="95">
          <cell r="E95">
            <v>500000</v>
          </cell>
        </row>
        <row r="99">
          <cell r="E99">
            <v>0</v>
          </cell>
        </row>
        <row r="103">
          <cell r="E103">
            <v>0</v>
          </cell>
        </row>
        <row r="109">
          <cell r="R109">
            <v>0</v>
          </cell>
        </row>
        <row r="111">
          <cell r="R111">
            <v>0</v>
          </cell>
        </row>
        <row r="112">
          <cell r="E112">
            <v>0</v>
          </cell>
          <cell r="R112">
            <v>0</v>
          </cell>
        </row>
        <row r="116">
          <cell r="E116">
            <v>150000</v>
          </cell>
        </row>
        <row r="121">
          <cell r="E121">
            <v>190000</v>
          </cell>
        </row>
        <row r="123">
          <cell r="E123">
            <v>100000</v>
          </cell>
        </row>
        <row r="124">
          <cell r="E124">
            <v>250000</v>
          </cell>
        </row>
        <row r="125">
          <cell r="E125">
            <v>0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ournal Janv 21"/>
      <sheetName val="GL Janv 21 "/>
      <sheetName val="Journal Fév 21"/>
      <sheetName val="GL  Fév 21 "/>
      <sheetName val="Journal Mars 21 "/>
      <sheetName val="GL Mars 21"/>
      <sheetName val="Journal Avril 21 "/>
      <sheetName val="GL Avril 21 "/>
      <sheetName val="Journal Mai 21 "/>
      <sheetName val="GL Mai 21 "/>
      <sheetName val="Journal Juin 21 "/>
      <sheetName val="GL Juin 21 "/>
      <sheetName val="Journal Juillet 21 "/>
      <sheetName val="GL Juillet 21 "/>
      <sheetName val="Journal Aout 21 "/>
      <sheetName val="GL Aout 21 "/>
      <sheetName val="Journal Sept 21"/>
      <sheetName val="GL Sept 21"/>
      <sheetName val="Journal octobre 21 "/>
      <sheetName val="GL octobre 21"/>
      <sheetName val="Journal Novembre 21"/>
      <sheetName val="GL Novembre 21"/>
      <sheetName val="Journal Décembre 21"/>
      <sheetName val="GL Décembre 21 "/>
      <sheetName val="PAIEMENTS BUDGET 2021"/>
      <sheetName val="Paiement des RAP programmés"/>
      <sheetName val="RAP 2022"/>
      <sheetName val="RESTE A PAYER 2022"/>
      <sheetName val="REALISATIONS BUDGET 2021"/>
      <sheetName val="ENCAISSEMENTS 2021"/>
      <sheetName val="SIT - TRESORERIE"/>
      <sheetName val="ETAT DE RAPPROCHEMENT"/>
      <sheetName val="SITUATION DES RESSOURCES PROP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1">
          <cell r="E11">
            <v>7948000</v>
          </cell>
          <cell r="R11">
            <v>7566096.5</v>
          </cell>
        </row>
        <row r="12">
          <cell r="E12">
            <v>2100000</v>
          </cell>
          <cell r="R12">
            <v>1316668.29</v>
          </cell>
        </row>
        <row r="13">
          <cell r="E13">
            <v>452000</v>
          </cell>
          <cell r="R13">
            <v>451332.48</v>
          </cell>
        </row>
        <row r="15">
          <cell r="E15">
            <v>995000</v>
          </cell>
          <cell r="R15">
            <v>994400.39</v>
          </cell>
        </row>
        <row r="16">
          <cell r="E16">
            <v>265000</v>
          </cell>
          <cell r="R16">
            <v>157676.72</v>
          </cell>
        </row>
        <row r="17">
          <cell r="E17">
            <v>200000</v>
          </cell>
          <cell r="R17">
            <v>124080</v>
          </cell>
        </row>
        <row r="18">
          <cell r="E18">
            <v>80000</v>
          </cell>
        </row>
        <row r="19">
          <cell r="E19">
            <v>170000</v>
          </cell>
          <cell r="R19">
            <v>157781.29</v>
          </cell>
        </row>
        <row r="21">
          <cell r="E21">
            <v>400000</v>
          </cell>
        </row>
        <row r="22">
          <cell r="E22">
            <v>10000</v>
          </cell>
        </row>
        <row r="23">
          <cell r="E23">
            <v>40000</v>
          </cell>
          <cell r="R23">
            <v>39999.69</v>
          </cell>
        </row>
        <row r="24">
          <cell r="E24">
            <v>80000</v>
          </cell>
        </row>
        <row r="25">
          <cell r="E25">
            <v>10145.49</v>
          </cell>
        </row>
        <row r="33">
          <cell r="E33">
            <v>40000</v>
          </cell>
        </row>
        <row r="34">
          <cell r="E34">
            <v>100000</v>
          </cell>
          <cell r="R34">
            <v>99300</v>
          </cell>
        </row>
        <row r="35">
          <cell r="E35">
            <v>250000</v>
          </cell>
          <cell r="R35">
            <v>249720</v>
          </cell>
        </row>
        <row r="36">
          <cell r="E36">
            <v>200000</v>
          </cell>
          <cell r="R36">
            <v>199200</v>
          </cell>
        </row>
        <row r="37">
          <cell r="E37">
            <v>50000</v>
          </cell>
          <cell r="R37">
            <v>50000</v>
          </cell>
        </row>
        <row r="38">
          <cell r="E38">
            <v>10000</v>
          </cell>
          <cell r="R38">
            <v>10000</v>
          </cell>
        </row>
        <row r="39">
          <cell r="E39">
            <v>350000</v>
          </cell>
          <cell r="R39">
            <v>349993.46</v>
          </cell>
        </row>
        <row r="41">
          <cell r="E41">
            <v>90000</v>
          </cell>
        </row>
        <row r="42">
          <cell r="E42">
            <v>120000</v>
          </cell>
          <cell r="R42">
            <v>120000</v>
          </cell>
        </row>
        <row r="43">
          <cell r="E43">
            <v>150000</v>
          </cell>
        </row>
        <row r="44">
          <cell r="E44">
            <v>250000</v>
          </cell>
        </row>
        <row r="45">
          <cell r="E45">
            <v>10000</v>
          </cell>
          <cell r="R45">
            <v>10000</v>
          </cell>
        </row>
        <row r="48">
          <cell r="E48">
            <v>780000</v>
          </cell>
          <cell r="R48">
            <v>499500</v>
          </cell>
        </row>
        <row r="50">
          <cell r="E50">
            <v>50000</v>
          </cell>
        </row>
        <row r="51">
          <cell r="E51">
            <v>200000</v>
          </cell>
          <cell r="R51">
            <v>199938</v>
          </cell>
        </row>
        <row r="52">
          <cell r="E52">
            <v>0</v>
          </cell>
          <cell r="R52">
            <v>0</v>
          </cell>
        </row>
        <row r="53">
          <cell r="E53">
            <v>80000</v>
          </cell>
        </row>
        <row r="54">
          <cell r="E54">
            <v>50000</v>
          </cell>
          <cell r="R54">
            <v>26598</v>
          </cell>
        </row>
        <row r="56">
          <cell r="E56">
            <v>25000</v>
          </cell>
        </row>
        <row r="57">
          <cell r="E57">
            <v>40000</v>
          </cell>
        </row>
        <row r="59">
          <cell r="E59">
            <v>391000</v>
          </cell>
          <cell r="R59">
            <v>388875</v>
          </cell>
        </row>
        <row r="60">
          <cell r="E60">
            <v>100000</v>
          </cell>
        </row>
        <row r="62">
          <cell r="E62">
            <v>10000</v>
          </cell>
          <cell r="R62">
            <v>9960</v>
          </cell>
        </row>
        <row r="63">
          <cell r="E63">
            <v>1100000</v>
          </cell>
          <cell r="R63">
            <v>1100000</v>
          </cell>
        </row>
        <row r="64">
          <cell r="E64">
            <v>20000</v>
          </cell>
          <cell r="R64">
            <v>13120</v>
          </cell>
        </row>
        <row r="65">
          <cell r="R65">
            <v>0</v>
          </cell>
        </row>
        <row r="66">
          <cell r="E66">
            <v>0</v>
          </cell>
          <cell r="R66">
            <v>0</v>
          </cell>
        </row>
        <row r="67">
          <cell r="E67">
            <v>170000</v>
          </cell>
          <cell r="R67">
            <v>169950</v>
          </cell>
        </row>
        <row r="69">
          <cell r="E69">
            <v>10000</v>
          </cell>
        </row>
        <row r="70">
          <cell r="E70">
            <v>250000</v>
          </cell>
        </row>
        <row r="72">
          <cell r="E72">
            <v>210000</v>
          </cell>
        </row>
        <row r="73">
          <cell r="E73">
            <v>13150</v>
          </cell>
          <cell r="R73">
            <v>13150</v>
          </cell>
        </row>
        <row r="77">
          <cell r="E77">
            <v>40000</v>
          </cell>
          <cell r="R77">
            <v>9000</v>
          </cell>
        </row>
        <row r="80">
          <cell r="E80">
            <v>50000</v>
          </cell>
        </row>
        <row r="93">
          <cell r="E93">
            <v>0</v>
          </cell>
        </row>
        <row r="95">
          <cell r="E95">
            <v>0</v>
          </cell>
        </row>
        <row r="99">
          <cell r="E99">
            <v>0</v>
          </cell>
        </row>
        <row r="103">
          <cell r="E103">
            <v>250000</v>
          </cell>
        </row>
        <row r="109">
          <cell r="R109">
            <v>0</v>
          </cell>
        </row>
        <row r="111">
          <cell r="R111">
            <v>0</v>
          </cell>
        </row>
        <row r="112">
          <cell r="E112">
            <v>130000</v>
          </cell>
          <cell r="R112">
            <v>129993.60000000001</v>
          </cell>
        </row>
        <row r="114">
          <cell r="R114">
            <v>0</v>
          </cell>
        </row>
        <row r="116">
          <cell r="E116">
            <v>120000</v>
          </cell>
        </row>
        <row r="121">
          <cell r="E121">
            <v>150000</v>
          </cell>
        </row>
        <row r="123">
          <cell r="E123">
            <v>100000</v>
          </cell>
        </row>
        <row r="124">
          <cell r="E124">
            <v>0</v>
          </cell>
        </row>
        <row r="125">
          <cell r="E125">
            <v>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ournal JANV 20"/>
      <sheetName val="GL JANV 20"/>
      <sheetName val="Journal FEV 20"/>
      <sheetName val="GL FEV 20 "/>
      <sheetName val="Journal MARS 20"/>
      <sheetName val="GL MARS 20"/>
      <sheetName val="Journal AVRIL 20"/>
      <sheetName val="GL AVRIL 20 "/>
      <sheetName val="Journal MAI 20 "/>
      <sheetName val="GL MAI 20 "/>
      <sheetName val="Journal Juin 20 "/>
      <sheetName val="GL Juin 20"/>
      <sheetName val="Journal Juillet 20"/>
      <sheetName val="GL Juillet 20 "/>
      <sheetName val="Journal Aout 20"/>
      <sheetName val="GL Aout 20 "/>
      <sheetName val="Journal SEPT 20"/>
      <sheetName val="GL SEPT 20"/>
      <sheetName val="Journal OCT 20"/>
      <sheetName val="GL OCT 20"/>
      <sheetName val="Journal NOV 20"/>
      <sheetName val="GL NOV 20 "/>
      <sheetName val="JOURNAL DEC 20"/>
      <sheetName val="GL DEC 20"/>
      <sheetName val="PAIEMENTS BUDGET 2020"/>
      <sheetName val="REALISATIONS BUDGET 2020"/>
      <sheetName val="PAIEMENT DES R. à P. 2020"/>
      <sheetName val="ENCAISSEMENTS 2020"/>
      <sheetName val="SIT - TRESORERIE"/>
      <sheetName val="ETAT DE RAPPROCHEMENT"/>
      <sheetName val="SITUATION DES RESSOURCES PROPRE"/>
      <sheetName val="ETAT DES BC 2020"/>
      <sheetName val="ETAT CONTRAT-CON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11">
          <cell r="E11">
            <v>6295000</v>
          </cell>
          <cell r="R11">
            <v>5974211.1399999997</v>
          </cell>
        </row>
        <row r="12">
          <cell r="R12">
            <v>1297266.26</v>
          </cell>
        </row>
        <row r="13">
          <cell r="E13">
            <v>425000</v>
          </cell>
          <cell r="R13">
            <v>416235.6</v>
          </cell>
        </row>
        <row r="15">
          <cell r="E15">
            <v>890000</v>
          </cell>
          <cell r="R15">
            <v>873538.84</v>
          </cell>
        </row>
        <row r="16">
          <cell r="R16">
            <v>137916.24</v>
          </cell>
        </row>
        <row r="17">
          <cell r="R17">
            <v>114210</v>
          </cell>
        </row>
        <row r="19">
          <cell r="R19">
            <v>110435.94</v>
          </cell>
        </row>
        <row r="23">
          <cell r="R23">
            <v>19999.919999999998</v>
          </cell>
        </row>
        <row r="24">
          <cell r="R24">
            <v>0</v>
          </cell>
        </row>
        <row r="33">
          <cell r="Q33">
            <v>19392</v>
          </cell>
        </row>
        <row r="37">
          <cell r="R37">
            <v>50000</v>
          </cell>
        </row>
        <row r="38">
          <cell r="R38">
            <v>50000</v>
          </cell>
        </row>
        <row r="39">
          <cell r="R39">
            <v>300000</v>
          </cell>
        </row>
        <row r="41">
          <cell r="R41">
            <v>0</v>
          </cell>
        </row>
        <row r="45">
          <cell r="R45">
            <v>0</v>
          </cell>
        </row>
        <row r="47">
          <cell r="R47">
            <v>666000</v>
          </cell>
        </row>
        <row r="49">
          <cell r="Q49">
            <v>39984</v>
          </cell>
        </row>
        <row r="50">
          <cell r="R50">
            <v>150000</v>
          </cell>
        </row>
        <row r="51">
          <cell r="R51">
            <v>0</v>
          </cell>
        </row>
        <row r="56">
          <cell r="R56">
            <v>36440.269999999997</v>
          </cell>
        </row>
        <row r="58">
          <cell r="R58">
            <v>292755.33</v>
          </cell>
        </row>
        <row r="61">
          <cell r="R61">
            <v>0</v>
          </cell>
        </row>
        <row r="62">
          <cell r="E62">
            <v>845280</v>
          </cell>
          <cell r="R62">
            <v>845280</v>
          </cell>
        </row>
        <row r="63">
          <cell r="E63">
            <v>4720</v>
          </cell>
          <cell r="R63">
            <v>4720</v>
          </cell>
        </row>
        <row r="64">
          <cell r="R64">
            <v>50000</v>
          </cell>
        </row>
        <row r="65">
          <cell r="R65">
            <v>0</v>
          </cell>
        </row>
        <row r="69">
          <cell r="R69">
            <v>220000</v>
          </cell>
        </row>
        <row r="71">
          <cell r="R71">
            <v>209841.3</v>
          </cell>
        </row>
        <row r="72">
          <cell r="R72">
            <v>13150</v>
          </cell>
        </row>
        <row r="77">
          <cell r="R77">
            <v>0</v>
          </cell>
        </row>
        <row r="78">
          <cell r="R78">
            <v>0</v>
          </cell>
        </row>
        <row r="79">
          <cell r="R79">
            <v>0</v>
          </cell>
        </row>
        <row r="103">
          <cell r="R103">
            <v>0</v>
          </cell>
        </row>
        <row r="105">
          <cell r="R105">
            <v>0</v>
          </cell>
        </row>
        <row r="107">
          <cell r="R107">
            <v>0</v>
          </cell>
        </row>
      </sheetData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Fonct"/>
      <sheetName val="BUDGET Invest"/>
      <sheetName val="PLAN COMPTABLE"/>
      <sheetName val="J DEC 2018 "/>
      <sheetName val="Journal JANV2019 "/>
      <sheetName val="GL JANV2019 "/>
      <sheetName val="Journal FEV 2019 "/>
      <sheetName val="GL FEV 2019 "/>
      <sheetName val="Journal mars 2019 "/>
      <sheetName val="GL mars 2019"/>
      <sheetName val="Journal Avril 2019 "/>
      <sheetName val="GL Avril 2019 "/>
      <sheetName val="Journal Mai 2019"/>
      <sheetName val="GL Mai 2019 "/>
      <sheetName val="Journal Juin 2019"/>
      <sheetName val="GL Juin 2019"/>
      <sheetName val="Journal Juillet 2019 "/>
      <sheetName val="GL Juillet 2019"/>
      <sheetName val="Journal Aout 2019"/>
      <sheetName val="GL Aout 2019"/>
      <sheetName val="Journal SEPT 2019"/>
      <sheetName val="GL SEPT 2019 "/>
      <sheetName val="Journal Oct 2019"/>
      <sheetName val="GL OCT 2019"/>
      <sheetName val="Journal NOV 2019"/>
      <sheetName val="GL NOV 2019 "/>
      <sheetName val="Journal DEC 2019"/>
      <sheetName val="GL DEC 2019"/>
      <sheetName val="PAIEMENTS BUDGET 2019"/>
      <sheetName val="PAIEMENT DES R. à P. 2019"/>
      <sheetName val="ENGAGEMENTS 2019"/>
      <sheetName val="ENCAISSEMENTS 2019"/>
      <sheetName val="SIT - TRESORERIE"/>
      <sheetName val="ETAT DE RAPPROCHEMENT"/>
      <sheetName val="SITUATION DES RESSOURCES PROPRE"/>
      <sheetName val="RAP 20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43">
          <cell r="R43">
            <v>3320111.62</v>
          </cell>
        </row>
        <row r="44">
          <cell r="R44">
            <v>210209.94</v>
          </cell>
        </row>
        <row r="45">
          <cell r="R45">
            <v>1163893.6299999999</v>
          </cell>
        </row>
        <row r="46">
          <cell r="R46">
            <v>1841123.33</v>
          </cell>
        </row>
        <row r="47">
          <cell r="R47">
            <v>883797.93</v>
          </cell>
        </row>
        <row r="48">
          <cell r="R48">
            <v>85800</v>
          </cell>
        </row>
        <row r="50">
          <cell r="R50">
            <v>3800</v>
          </cell>
        </row>
        <row r="51">
          <cell r="R51">
            <v>1850</v>
          </cell>
        </row>
        <row r="52">
          <cell r="R52">
            <v>600</v>
          </cell>
        </row>
        <row r="53">
          <cell r="R53">
            <v>400000</v>
          </cell>
        </row>
        <row r="57">
          <cell r="R57">
            <v>92284.53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Fonct"/>
      <sheetName val="BUDGET Invest"/>
      <sheetName val="PLAN COMPTABLE"/>
      <sheetName val="J DEC 2017"/>
      <sheetName val="GL DEC 2017 "/>
      <sheetName val="J janv 2018 "/>
      <sheetName val="GL janv 2018 "/>
      <sheetName val="J Fevr 2018"/>
      <sheetName val="GL Fevr 2018"/>
      <sheetName val="J MARS 2018 "/>
      <sheetName val="GL MARS 2018 "/>
      <sheetName val="J AVR 2018"/>
      <sheetName val="GL AVR 2018"/>
      <sheetName val="J MAI 2018"/>
      <sheetName val="GL MAI 2018 "/>
      <sheetName val="J JUIN 2018 "/>
      <sheetName val="GL JUIN 2018 "/>
      <sheetName val="J JUILLET 2018 "/>
      <sheetName val="GL JUILLET 2018"/>
      <sheetName val="J AOUT 2018 "/>
      <sheetName val="GL AOUT 2018"/>
      <sheetName val="J SEPT 2018"/>
      <sheetName val="GL SEPT 2018 "/>
      <sheetName val="J OCT 2018"/>
      <sheetName val="GL OCT 2018"/>
      <sheetName val="J NOV 2018"/>
      <sheetName val="GL NOV 2018 "/>
      <sheetName val="J DEC 2018 "/>
      <sheetName val="GL DEC 2018"/>
      <sheetName val="PAIEMENTS BUDGET 2018"/>
      <sheetName val="PAIEMENT DES R. à P. 2018"/>
      <sheetName val="ENGAGEMENTS 2018"/>
      <sheetName val="ENCAISSEMENTS 2018"/>
      <sheetName val="SIT - TRESORERIE"/>
      <sheetName val="ETAT DE RAPPROCHEMENT"/>
      <sheetName val="SIT REALISATIONS"/>
      <sheetName val="ETAT CONV"/>
      <sheetName val="SITUATION DES RESSOURCES PROPRE"/>
      <sheetName val="RAP 20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3">
          <cell r="Q13">
            <v>166500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Fonct"/>
      <sheetName val="BUDGET Invest"/>
      <sheetName val="PLAN COMPTABLE"/>
      <sheetName val="J Décembre 2016"/>
      <sheetName val="J JANV 2017"/>
      <sheetName val="J FEV 2017"/>
      <sheetName val="J MARS 2017 "/>
      <sheetName val="J AVRIL 2017"/>
      <sheetName val="J MAI 2017"/>
      <sheetName val="J JUIN 2017"/>
      <sheetName val="J JUILLET 2017"/>
      <sheetName val="J aout 2017 "/>
      <sheetName val="J SEPT 2017 "/>
      <sheetName val="J OCT 2017 "/>
      <sheetName val="J NOV 2017 "/>
      <sheetName val="J DEC 2017 "/>
      <sheetName val="GL JANV 2017"/>
      <sheetName val="GL FEV 2017"/>
      <sheetName val="GL MARS 2017"/>
      <sheetName val="GL AVRIL 2017"/>
      <sheetName val="GL MAI 2017"/>
      <sheetName val="GL JUIN 2017"/>
      <sheetName val="GL JUILLET 2017"/>
      <sheetName val="GL AOUT 2017"/>
      <sheetName val="GL SEPTEMBRE 2017"/>
      <sheetName val="GL OCTOBRE 2017"/>
      <sheetName val="GL NOV 2017"/>
      <sheetName val="GL DEC 2017"/>
      <sheetName val="PAIEMENTS BUDGET 2017"/>
      <sheetName val="PAIEMENT DES R. à P. 2017"/>
      <sheetName val="ENGAGEMENTS 2017"/>
      <sheetName val="ENCAISSEMENTS 2017"/>
      <sheetName val="SIT - TRESORERIE"/>
      <sheetName val="ETAT DE RAPPROCHEMENT"/>
      <sheetName val="SIT REALISATIONS"/>
      <sheetName val=" R. à P. 2018"/>
      <sheetName val="ETAT CONV"/>
      <sheetName val="SITUATION DES RESSOURCES PROPRE"/>
    </sheetNames>
    <sheetDataSet>
      <sheetData sheetId="0">
        <row r="10">
          <cell r="E10">
            <v>250000</v>
          </cell>
        </row>
        <row r="13">
          <cell r="E13">
            <v>40000</v>
          </cell>
        </row>
        <row r="20">
          <cell r="E20">
            <v>120000</v>
          </cell>
        </row>
        <row r="24">
          <cell r="E24">
            <v>645000</v>
          </cell>
        </row>
        <row r="27">
          <cell r="E27">
            <v>50000</v>
          </cell>
        </row>
        <row r="28">
          <cell r="E28">
            <v>145000</v>
          </cell>
        </row>
        <row r="30">
          <cell r="E30">
            <v>80000</v>
          </cell>
        </row>
        <row r="31">
          <cell r="E31">
            <v>50000</v>
          </cell>
        </row>
        <row r="33">
          <cell r="E33">
            <v>25000</v>
          </cell>
        </row>
        <row r="34">
          <cell r="E34">
            <v>50000</v>
          </cell>
        </row>
        <row r="36">
          <cell r="E36">
            <v>293000</v>
          </cell>
        </row>
        <row r="37">
          <cell r="E37">
            <v>77535</v>
          </cell>
        </row>
        <row r="39">
          <cell r="E39">
            <v>150000</v>
          </cell>
        </row>
        <row r="43">
          <cell r="E43">
            <v>30000</v>
          </cell>
        </row>
        <row r="44">
          <cell r="E44">
            <v>30000</v>
          </cell>
        </row>
        <row r="45">
          <cell r="E45">
            <v>80000</v>
          </cell>
        </row>
        <row r="47">
          <cell r="E47">
            <v>10000</v>
          </cell>
        </row>
        <row r="51">
          <cell r="E51">
            <v>20000</v>
          </cell>
        </row>
        <row r="55">
          <cell r="E55">
            <v>40000</v>
          </cell>
        </row>
        <row r="57">
          <cell r="E57">
            <v>80000</v>
          </cell>
        </row>
        <row r="60">
          <cell r="E60">
            <v>220000</v>
          </cell>
        </row>
        <row r="71">
          <cell r="E71">
            <v>60000</v>
          </cell>
        </row>
        <row r="85">
          <cell r="E85">
            <v>60000</v>
          </cell>
        </row>
        <row r="92">
          <cell r="E92">
            <v>10000</v>
          </cell>
        </row>
      </sheetData>
      <sheetData sheetId="1">
        <row r="15">
          <cell r="G15">
            <v>250000</v>
          </cell>
        </row>
        <row r="16">
          <cell r="G16">
            <v>250000</v>
          </cell>
        </row>
        <row r="17">
          <cell r="G17">
            <v>1150000</v>
          </cell>
        </row>
        <row r="19">
          <cell r="G19">
            <v>100000</v>
          </cell>
        </row>
        <row r="29">
          <cell r="G29">
            <v>100000</v>
          </cell>
        </row>
        <row r="31">
          <cell r="G31">
            <v>150000</v>
          </cell>
        </row>
        <row r="36">
          <cell r="G36">
            <v>150000</v>
          </cell>
        </row>
        <row r="38">
          <cell r="G38">
            <v>200000</v>
          </cell>
        </row>
        <row r="39">
          <cell r="G39">
            <v>100000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C1:U137"/>
  <sheetViews>
    <sheetView tabSelected="1" view="pageBreakPreview" zoomScale="70" zoomScaleNormal="110" zoomScaleSheetLayoutView="70" workbookViewId="0">
      <pane xSplit="4" ySplit="5" topLeftCell="E84" activePane="bottomRight" state="frozen"/>
      <selection activeCell="C129" sqref="C129:M129"/>
      <selection pane="topRight" activeCell="C129" sqref="C129:M129"/>
      <selection pane="bottomLeft" activeCell="C129" sqref="C129:M129"/>
      <selection pane="bottomRight" activeCell="D91" sqref="D91"/>
    </sheetView>
  </sheetViews>
  <sheetFormatPr defaultColWidth="11.42578125" defaultRowHeight="16.5"/>
  <cols>
    <col min="1" max="1" width="2.28515625" style="6" customWidth="1"/>
    <col min="2" max="2" width="1.7109375" style="6" customWidth="1"/>
    <col min="3" max="3" width="23.140625" style="1" customWidth="1"/>
    <col min="4" max="4" width="65.5703125" style="2" customWidth="1"/>
    <col min="5" max="5" width="24.140625" style="3" customWidth="1"/>
    <col min="6" max="6" width="14" style="4" customWidth="1"/>
    <col min="7" max="7" width="12.140625" style="4" customWidth="1"/>
    <col min="8" max="8" width="3.7109375" style="4" customWidth="1"/>
    <col min="9" max="9" width="13.28515625" style="4" customWidth="1"/>
    <col min="10" max="10" width="14.28515625" style="4" customWidth="1"/>
    <col min="11" max="11" width="5.85546875" style="4" customWidth="1"/>
    <col min="12" max="12" width="14.42578125" style="4" customWidth="1"/>
    <col min="13" max="13" width="13.140625" style="4" customWidth="1"/>
    <col min="14" max="14" width="5.28515625" style="4" customWidth="1"/>
    <col min="15" max="15" width="13.7109375" style="4" customWidth="1"/>
    <col min="16" max="16" width="12.42578125" style="5" customWidth="1"/>
    <col min="17" max="17" width="13.7109375" style="4" customWidth="1"/>
    <col min="18" max="18" width="1.85546875" style="6" customWidth="1"/>
    <col min="19" max="21" width="11.42578125" style="7"/>
    <col min="22" max="16384" width="11.42578125" style="6"/>
  </cols>
  <sheetData>
    <row r="1" spans="3:21" ht="17.25" thickBot="1"/>
    <row r="2" spans="3:21" ht="30" customHeight="1" thickBot="1"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311" t="s">
        <v>0</v>
      </c>
      <c r="P2" s="312"/>
      <c r="Q2" s="313"/>
    </row>
    <row r="3" spans="3:21" ht="17.25" thickBot="1"/>
    <row r="4" spans="3:21" s="9" customFormat="1" ht="24" customHeight="1">
      <c r="C4" s="314" t="s">
        <v>1</v>
      </c>
      <c r="D4" s="316" t="s">
        <v>2</v>
      </c>
      <c r="E4" s="316" t="s">
        <v>3</v>
      </c>
      <c r="F4" s="318" t="s">
        <v>4</v>
      </c>
      <c r="G4" s="319"/>
      <c r="H4" s="320"/>
      <c r="I4" s="324" t="s">
        <v>5</v>
      </c>
      <c r="J4" s="325"/>
      <c r="K4" s="326"/>
      <c r="L4" s="324" t="s">
        <v>6</v>
      </c>
      <c r="M4" s="325"/>
      <c r="N4" s="326"/>
      <c r="O4" s="324" t="s">
        <v>7</v>
      </c>
      <c r="P4" s="325"/>
      <c r="Q4" s="326"/>
      <c r="S4" s="10"/>
      <c r="T4" s="10"/>
      <c r="U4" s="10"/>
    </row>
    <row r="5" spans="3:21" s="11" customFormat="1" ht="24" customHeight="1" thickBot="1">
      <c r="C5" s="315"/>
      <c r="D5" s="317"/>
      <c r="E5" s="317"/>
      <c r="F5" s="321"/>
      <c r="G5" s="322"/>
      <c r="H5" s="323"/>
      <c r="I5" s="327"/>
      <c r="J5" s="328"/>
      <c r="K5" s="329"/>
      <c r="L5" s="327"/>
      <c r="M5" s="328"/>
      <c r="N5" s="329"/>
      <c r="O5" s="327"/>
      <c r="P5" s="328"/>
      <c r="Q5" s="329"/>
      <c r="S5" s="10"/>
      <c r="T5" s="10"/>
      <c r="U5" s="10"/>
    </row>
    <row r="6" spans="3:21" s="14" customFormat="1" thickBot="1">
      <c r="C6" s="307" t="s">
        <v>8</v>
      </c>
      <c r="D6" s="308"/>
      <c r="E6" s="12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S6" s="7"/>
      <c r="T6" s="7"/>
      <c r="U6" s="7"/>
    </row>
    <row r="7" spans="3:21" s="14" customFormat="1" thickBot="1">
      <c r="C7" s="309" t="s">
        <v>9</v>
      </c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  <c r="S7" s="7"/>
      <c r="T7" s="7"/>
      <c r="U7" s="7"/>
    </row>
    <row r="8" spans="3:21" s="14" customFormat="1" ht="24" customHeight="1" thickBot="1">
      <c r="C8" s="15">
        <v>602</v>
      </c>
      <c r="D8" s="16" t="s">
        <v>10</v>
      </c>
      <c r="E8" s="1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S8" s="7"/>
      <c r="T8" s="7"/>
      <c r="U8" s="7"/>
    </row>
    <row r="9" spans="3:21" s="14" customFormat="1" ht="24" customHeight="1" thickBot="1">
      <c r="C9" s="19">
        <v>10</v>
      </c>
      <c r="D9" s="20" t="s">
        <v>11</v>
      </c>
      <c r="E9" s="21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S9" s="7"/>
      <c r="T9" s="7"/>
      <c r="U9" s="7"/>
    </row>
    <row r="10" spans="3:21" s="14" customFormat="1" ht="24" customHeight="1" thickBot="1">
      <c r="C10" s="15">
        <v>10</v>
      </c>
      <c r="D10" s="16" t="s">
        <v>12</v>
      </c>
      <c r="E10" s="1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S10" s="7"/>
      <c r="T10" s="7"/>
      <c r="U10" s="7"/>
    </row>
    <row r="11" spans="3:21" ht="24" customHeight="1" thickBot="1">
      <c r="C11" s="23">
        <v>61711</v>
      </c>
      <c r="D11" s="24" t="s">
        <v>13</v>
      </c>
      <c r="E11" s="25">
        <f>+'[1]PAIEMENTS BUDGET 2022'!E11</f>
        <v>8010000</v>
      </c>
      <c r="F11" s="283">
        <f>+'[1]PAIEMENTS BUDGET 2022'!R11+219098.93</f>
        <v>7329734.1499999994</v>
      </c>
      <c r="G11" s="284"/>
      <c r="H11" s="285"/>
      <c r="I11" s="283">
        <v>7110635.2199999997</v>
      </c>
      <c r="J11" s="284"/>
      <c r="K11" s="285"/>
      <c r="L11" s="283">
        <f>+E11-F11</f>
        <v>680265.85000000056</v>
      </c>
      <c r="M11" s="284"/>
      <c r="N11" s="285"/>
      <c r="O11" s="283">
        <f>+F11-I11</f>
        <v>219098.9299999997</v>
      </c>
      <c r="P11" s="284"/>
      <c r="Q11" s="285"/>
      <c r="R11" s="26"/>
    </row>
    <row r="12" spans="3:21" s="31" customFormat="1" ht="24" customHeight="1" thickBot="1">
      <c r="C12" s="27">
        <v>61712</v>
      </c>
      <c r="D12" s="28" t="s">
        <v>14</v>
      </c>
      <c r="E12" s="25">
        <f>+'[1]PAIEMENTS BUDGET 2022'!E12</f>
        <v>1727400</v>
      </c>
      <c r="F12" s="283">
        <f>+'[1]PAIEMENTS BUDGET 2022'!R12+195555.14</f>
        <v>1670612.7000000002</v>
      </c>
      <c r="G12" s="284"/>
      <c r="H12" s="285"/>
      <c r="I12" s="283">
        <v>1475057.56</v>
      </c>
      <c r="J12" s="284"/>
      <c r="K12" s="285"/>
      <c r="L12" s="283">
        <f>+E12-F12</f>
        <v>56787.299999999814</v>
      </c>
      <c r="M12" s="284"/>
      <c r="N12" s="285"/>
      <c r="O12" s="283">
        <f>+F12-I12</f>
        <v>195555.14000000013</v>
      </c>
      <c r="P12" s="284"/>
      <c r="Q12" s="285"/>
      <c r="R12" s="29"/>
      <c r="S12" s="30"/>
      <c r="T12" s="30"/>
      <c r="U12" s="30"/>
    </row>
    <row r="13" spans="3:21" ht="24" customHeight="1" thickBot="1">
      <c r="C13" s="27">
        <v>61713</v>
      </c>
      <c r="D13" s="28" t="s">
        <v>15</v>
      </c>
      <c r="E13" s="25">
        <f>+'[1]PAIEMENTS BUDGET 2022'!E13</f>
        <v>480000</v>
      </c>
      <c r="F13" s="283">
        <f>+'[1]PAIEMENTS BUDGET 2022'!R13</f>
        <v>472268.29</v>
      </c>
      <c r="G13" s="284"/>
      <c r="H13" s="285"/>
      <c r="I13" s="283">
        <v>472268.29</v>
      </c>
      <c r="J13" s="284"/>
      <c r="K13" s="285"/>
      <c r="L13" s="283">
        <f>+E13-F13</f>
        <v>7731.710000000021</v>
      </c>
      <c r="M13" s="284"/>
      <c r="N13" s="285"/>
      <c r="O13" s="283">
        <f>+F13-I13</f>
        <v>0</v>
      </c>
      <c r="P13" s="284"/>
      <c r="Q13" s="285"/>
      <c r="R13" s="26"/>
    </row>
    <row r="14" spans="3:21" ht="24" customHeight="1" thickBot="1">
      <c r="C14" s="15">
        <v>20</v>
      </c>
      <c r="D14" s="16" t="s">
        <v>16</v>
      </c>
      <c r="E14" s="32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26"/>
    </row>
    <row r="15" spans="3:21" ht="24" customHeight="1" thickBot="1">
      <c r="C15" s="23">
        <v>61742</v>
      </c>
      <c r="D15" s="24" t="s">
        <v>17</v>
      </c>
      <c r="E15" s="25">
        <f>+'[1]PAIEMENTS BUDGET 2022'!E15</f>
        <v>1066000</v>
      </c>
      <c r="F15" s="283">
        <f>+'[1]PAIEMENTS BUDGET 2022'!R15+2606.28</f>
        <v>1063554.93</v>
      </c>
      <c r="G15" s="284"/>
      <c r="H15" s="285"/>
      <c r="I15" s="283">
        <v>1060948.6499999999</v>
      </c>
      <c r="J15" s="284"/>
      <c r="K15" s="285"/>
      <c r="L15" s="283">
        <f>+E15-F15</f>
        <v>2445.0700000000652</v>
      </c>
      <c r="M15" s="284"/>
      <c r="N15" s="285"/>
      <c r="O15" s="283">
        <f>+F15-I15</f>
        <v>2606.2800000000279</v>
      </c>
      <c r="P15" s="284"/>
      <c r="Q15" s="285"/>
      <c r="R15" s="26"/>
    </row>
    <row r="16" spans="3:21" ht="24" customHeight="1" thickBot="1">
      <c r="C16" s="23">
        <v>61743</v>
      </c>
      <c r="D16" s="24" t="s">
        <v>18</v>
      </c>
      <c r="E16" s="25">
        <f>+'[1]PAIEMENTS BUDGET 2022'!E16</f>
        <v>176000</v>
      </c>
      <c r="F16" s="283">
        <f>+'[1]PAIEMENTS BUDGET 2022'!R16+530.44</f>
        <v>165482.89000000001</v>
      </c>
      <c r="G16" s="284"/>
      <c r="H16" s="285"/>
      <c r="I16" s="283">
        <v>164952.45000000001</v>
      </c>
      <c r="J16" s="284"/>
      <c r="K16" s="285"/>
      <c r="L16" s="283">
        <f>+E16-F16</f>
        <v>10517.109999999986</v>
      </c>
      <c r="M16" s="284"/>
      <c r="N16" s="285"/>
      <c r="O16" s="283">
        <f>+F16-I16</f>
        <v>530.44000000000233</v>
      </c>
      <c r="P16" s="284"/>
      <c r="Q16" s="285"/>
      <c r="R16" s="26"/>
    </row>
    <row r="17" spans="3:21" ht="24" customHeight="1" thickBot="1">
      <c r="C17" s="23">
        <v>61744</v>
      </c>
      <c r="D17" s="24" t="s">
        <v>19</v>
      </c>
      <c r="E17" s="25">
        <f>+'[1]PAIEMENTS BUDGET 2022'!E17</f>
        <v>149000</v>
      </c>
      <c r="F17" s="283">
        <f>+'[1]PAIEMENTS BUDGET 2022'!R17</f>
        <v>133700</v>
      </c>
      <c r="G17" s="284"/>
      <c r="H17" s="285"/>
      <c r="I17" s="283">
        <v>133700</v>
      </c>
      <c r="J17" s="284"/>
      <c r="K17" s="285"/>
      <c r="L17" s="283">
        <f>+E17-F17</f>
        <v>15300</v>
      </c>
      <c r="M17" s="284"/>
      <c r="N17" s="285"/>
      <c r="O17" s="283">
        <f>+F17-I17</f>
        <v>0</v>
      </c>
      <c r="P17" s="284"/>
      <c r="Q17" s="285"/>
      <c r="R17" s="26"/>
    </row>
    <row r="18" spans="3:21" s="31" customFormat="1" ht="24" hidden="1" customHeight="1" thickBot="1">
      <c r="C18" s="27">
        <v>61745</v>
      </c>
      <c r="D18" s="28" t="s">
        <v>20</v>
      </c>
      <c r="E18" s="25">
        <f>+'[1]PAIEMENTS BUDGET 2022'!E18</f>
        <v>0</v>
      </c>
      <c r="F18" s="283">
        <v>0</v>
      </c>
      <c r="G18" s="284"/>
      <c r="H18" s="285"/>
      <c r="I18" s="283">
        <v>0</v>
      </c>
      <c r="J18" s="284"/>
      <c r="K18" s="285"/>
      <c r="L18" s="283">
        <f>+E18-F18</f>
        <v>0</v>
      </c>
      <c r="M18" s="284"/>
      <c r="N18" s="285"/>
      <c r="O18" s="283">
        <f>+F18-I18</f>
        <v>0</v>
      </c>
      <c r="P18" s="284"/>
      <c r="Q18" s="285"/>
      <c r="R18" s="29"/>
      <c r="S18" s="30"/>
      <c r="T18" s="30"/>
      <c r="U18" s="30"/>
    </row>
    <row r="19" spans="3:21" ht="24" customHeight="1" thickBot="1">
      <c r="C19" s="27">
        <v>61768</v>
      </c>
      <c r="D19" s="28" t="s">
        <v>21</v>
      </c>
      <c r="E19" s="25">
        <f>+'[1]PAIEMENTS BUDGET 2022'!E19</f>
        <v>196000</v>
      </c>
      <c r="F19" s="283">
        <f>+'[1]PAIEMENTS BUDGET 2022'!R19+374.5</f>
        <v>173053.26</v>
      </c>
      <c r="G19" s="284"/>
      <c r="H19" s="285"/>
      <c r="I19" s="283">
        <v>172678.76</v>
      </c>
      <c r="J19" s="284"/>
      <c r="K19" s="285"/>
      <c r="L19" s="283">
        <f>+E19-F19</f>
        <v>22946.739999999991</v>
      </c>
      <c r="M19" s="284"/>
      <c r="N19" s="285"/>
      <c r="O19" s="283">
        <f>+F19-I19</f>
        <v>374.5</v>
      </c>
      <c r="P19" s="284"/>
      <c r="Q19" s="285"/>
      <c r="R19" s="26"/>
    </row>
    <row r="20" spans="3:21" ht="24" customHeight="1" thickBot="1">
      <c r="C20" s="15">
        <v>30</v>
      </c>
      <c r="D20" s="16" t="s">
        <v>22</v>
      </c>
      <c r="E20" s="1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26"/>
    </row>
    <row r="21" spans="3:21" ht="24" customHeight="1" thickBot="1">
      <c r="C21" s="23">
        <v>61763</v>
      </c>
      <c r="D21" s="24" t="s">
        <v>23</v>
      </c>
      <c r="E21" s="25">
        <f>+'[1]PAIEMENTS BUDGET 2022'!E21</f>
        <v>400000</v>
      </c>
      <c r="F21" s="283">
        <f>+'[1]PAIEMENTS BUDGET 2022'!R21</f>
        <v>400000</v>
      </c>
      <c r="G21" s="284"/>
      <c r="H21" s="285"/>
      <c r="I21" s="283">
        <v>400000</v>
      </c>
      <c r="J21" s="284"/>
      <c r="K21" s="285"/>
      <c r="L21" s="283">
        <f>+E21-F21</f>
        <v>0</v>
      </c>
      <c r="M21" s="284"/>
      <c r="N21" s="285"/>
      <c r="O21" s="283">
        <f>+F21-I21</f>
        <v>0</v>
      </c>
      <c r="P21" s="284"/>
      <c r="Q21" s="285"/>
      <c r="R21" s="26"/>
    </row>
    <row r="22" spans="3:21" ht="24" customHeight="1" thickBot="1">
      <c r="C22" s="23">
        <v>61764</v>
      </c>
      <c r="D22" s="24" t="s">
        <v>24</v>
      </c>
      <c r="E22" s="25">
        <f>+'[1]PAIEMENTS BUDGET 2022'!E22</f>
        <v>10000</v>
      </c>
      <c r="F22" s="283">
        <f>+'[1]PAIEMENTS BUDGET 2022'!R22</f>
        <v>9998.4</v>
      </c>
      <c r="G22" s="284"/>
      <c r="H22" s="285"/>
      <c r="I22" s="283">
        <v>9998.4</v>
      </c>
      <c r="J22" s="284"/>
      <c r="K22" s="285"/>
      <c r="L22" s="283">
        <f>+E22-F22</f>
        <v>1.6000000000003638</v>
      </c>
      <c r="M22" s="284"/>
      <c r="N22" s="285"/>
      <c r="O22" s="283">
        <f>+F22-I22</f>
        <v>0</v>
      </c>
      <c r="P22" s="284"/>
      <c r="Q22" s="285"/>
      <c r="R22" s="26"/>
    </row>
    <row r="23" spans="3:21" ht="24" customHeight="1" thickBot="1">
      <c r="C23" s="23">
        <v>61766</v>
      </c>
      <c r="D23" s="24" t="s">
        <v>25</v>
      </c>
      <c r="E23" s="25">
        <f>+'[1]PAIEMENTS BUDGET 2022'!E23</f>
        <v>40000</v>
      </c>
      <c r="F23" s="283">
        <v>40000</v>
      </c>
      <c r="G23" s="284"/>
      <c r="H23" s="285"/>
      <c r="I23" s="283">
        <v>0</v>
      </c>
      <c r="J23" s="284"/>
      <c r="K23" s="285"/>
      <c r="L23" s="283">
        <f>+E23-F23</f>
        <v>0</v>
      </c>
      <c r="M23" s="284"/>
      <c r="N23" s="285"/>
      <c r="O23" s="283">
        <f>+F23-I23</f>
        <v>40000</v>
      </c>
      <c r="P23" s="284"/>
      <c r="Q23" s="285"/>
      <c r="R23" s="26"/>
    </row>
    <row r="24" spans="3:21" ht="30.75" hidden="1" customHeight="1" thickBot="1">
      <c r="C24" s="23">
        <v>61768</v>
      </c>
      <c r="D24" s="24" t="s">
        <v>26</v>
      </c>
      <c r="E24" s="25">
        <f>+'[1]PAIEMENTS BUDGET 2022'!E24</f>
        <v>0</v>
      </c>
      <c r="F24" s="283">
        <f>+'[1]PAIEMENTS BUDGET 2022'!R24</f>
        <v>0</v>
      </c>
      <c r="G24" s="284"/>
      <c r="H24" s="285"/>
      <c r="I24" s="283">
        <v>0</v>
      </c>
      <c r="J24" s="284"/>
      <c r="K24" s="285"/>
      <c r="L24" s="283">
        <f>+E24-F24</f>
        <v>0</v>
      </c>
      <c r="M24" s="284"/>
      <c r="N24" s="285"/>
      <c r="O24" s="283">
        <f>+F24-I24</f>
        <v>0</v>
      </c>
      <c r="P24" s="284"/>
      <c r="Q24" s="285"/>
      <c r="R24" s="26"/>
    </row>
    <row r="25" spans="3:21" ht="24" customHeight="1" thickBot="1">
      <c r="C25" s="27">
        <v>61769</v>
      </c>
      <c r="D25" s="28" t="s">
        <v>27</v>
      </c>
      <c r="E25" s="25">
        <f>+'[1]PAIEMENTS BUDGET 2022'!E25</f>
        <v>12000</v>
      </c>
      <c r="F25" s="283">
        <f>+'[1]PAIEMENTS BUDGET 2022'!R25</f>
        <v>10200</v>
      </c>
      <c r="G25" s="284"/>
      <c r="H25" s="285"/>
      <c r="I25" s="283">
        <v>10200</v>
      </c>
      <c r="J25" s="284"/>
      <c r="K25" s="285"/>
      <c r="L25" s="283">
        <f>+E25-F25</f>
        <v>1800</v>
      </c>
      <c r="M25" s="284"/>
      <c r="N25" s="285"/>
      <c r="O25" s="283">
        <f>+F25-I25</f>
        <v>0</v>
      </c>
      <c r="P25" s="284"/>
      <c r="Q25" s="285"/>
      <c r="R25" s="26"/>
    </row>
    <row r="26" spans="3:21" s="39" customFormat="1" ht="24" customHeight="1" thickBot="1">
      <c r="C26" s="34"/>
      <c r="D26" s="35" t="s">
        <v>28</v>
      </c>
      <c r="E26" s="36">
        <f>SUM(E11:E25)</f>
        <v>12266400</v>
      </c>
      <c r="F26" s="301">
        <f>SUM(F11:H25)</f>
        <v>11468604.619999999</v>
      </c>
      <c r="G26" s="302"/>
      <c r="H26" s="303"/>
      <c r="I26" s="301">
        <f>SUM(I11:K25)</f>
        <v>11010439.329999998</v>
      </c>
      <c r="J26" s="302"/>
      <c r="K26" s="303"/>
      <c r="L26" s="304">
        <f>SUM(L11:N25)</f>
        <v>797795.38000000035</v>
      </c>
      <c r="M26" s="305"/>
      <c r="N26" s="306"/>
      <c r="O26" s="301">
        <f>SUM(O11:O25)</f>
        <v>458165.28999999986</v>
      </c>
      <c r="P26" s="302">
        <f>SUM(P11:P25)</f>
        <v>0</v>
      </c>
      <c r="Q26" s="303">
        <f>SUM(Q11:Q25)</f>
        <v>0</v>
      </c>
      <c r="R26" s="37"/>
      <c r="S26" s="38"/>
      <c r="T26" s="38"/>
      <c r="U26" s="38"/>
    </row>
    <row r="27" spans="3:21" s="39" customFormat="1" ht="24" customHeight="1" thickBot="1">
      <c r="C27" s="40"/>
      <c r="D27" s="41" t="s">
        <v>29</v>
      </c>
      <c r="E27" s="42">
        <f>+E26</f>
        <v>12266400</v>
      </c>
      <c r="F27" s="280">
        <f>SUM(F11:H25)</f>
        <v>11468604.619999999</v>
      </c>
      <c r="G27" s="281"/>
      <c r="H27" s="282"/>
      <c r="I27" s="280">
        <f>SUM(I11:K25)</f>
        <v>11010439.329999998</v>
      </c>
      <c r="J27" s="281">
        <f t="shared" ref="I27:Q28" si="0">+J26</f>
        <v>0</v>
      </c>
      <c r="K27" s="282">
        <f t="shared" si="0"/>
        <v>0</v>
      </c>
      <c r="L27" s="280">
        <f t="shared" si="0"/>
        <v>797795.38000000035</v>
      </c>
      <c r="M27" s="281">
        <f t="shared" si="0"/>
        <v>0</v>
      </c>
      <c r="N27" s="282">
        <f t="shared" si="0"/>
        <v>0</v>
      </c>
      <c r="O27" s="280">
        <f t="shared" si="0"/>
        <v>458165.28999999986</v>
      </c>
      <c r="P27" s="281">
        <f t="shared" si="0"/>
        <v>0</v>
      </c>
      <c r="Q27" s="282">
        <f t="shared" si="0"/>
        <v>0</v>
      </c>
      <c r="R27" s="37"/>
      <c r="S27" s="38"/>
      <c r="T27" s="38"/>
      <c r="U27" s="38"/>
    </row>
    <row r="28" spans="3:21" s="39" customFormat="1" ht="28.5" customHeight="1" thickBot="1">
      <c r="C28" s="294" t="s">
        <v>30</v>
      </c>
      <c r="D28" s="295"/>
      <c r="E28" s="44">
        <f>SUM(E27)</f>
        <v>12266400</v>
      </c>
      <c r="F28" s="265">
        <f>+F27</f>
        <v>11468604.619999999</v>
      </c>
      <c r="G28" s="266"/>
      <c r="H28" s="267"/>
      <c r="I28" s="265">
        <f t="shared" si="0"/>
        <v>11010439.329999998</v>
      </c>
      <c r="J28" s="266">
        <f t="shared" si="0"/>
        <v>0</v>
      </c>
      <c r="K28" s="267">
        <f t="shared" si="0"/>
        <v>0</v>
      </c>
      <c r="L28" s="265">
        <f t="shared" si="0"/>
        <v>797795.38000000035</v>
      </c>
      <c r="M28" s="266">
        <f t="shared" si="0"/>
        <v>0</v>
      </c>
      <c r="N28" s="267">
        <f t="shared" si="0"/>
        <v>0</v>
      </c>
      <c r="O28" s="265">
        <f t="shared" si="0"/>
        <v>458165.28999999986</v>
      </c>
      <c r="P28" s="266">
        <f t="shared" si="0"/>
        <v>0</v>
      </c>
      <c r="Q28" s="267">
        <f t="shared" si="0"/>
        <v>0</v>
      </c>
      <c r="R28" s="37"/>
      <c r="S28" s="38"/>
      <c r="T28" s="38"/>
      <c r="U28" s="38"/>
    </row>
    <row r="29" spans="3:21" s="14" customFormat="1" ht="38.25" customHeight="1" thickBot="1">
      <c r="C29" s="299" t="s">
        <v>31</v>
      </c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0"/>
      <c r="S29" s="7"/>
      <c r="T29" s="7"/>
      <c r="U29" s="7"/>
    </row>
    <row r="30" spans="3:21" s="14" customFormat="1" ht="24" customHeight="1" thickBot="1">
      <c r="C30" s="15">
        <v>610</v>
      </c>
      <c r="D30" s="16" t="s">
        <v>32</v>
      </c>
      <c r="E30" s="1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7"/>
      <c r="T30" s="7"/>
      <c r="U30" s="7"/>
    </row>
    <row r="31" spans="3:21" s="14" customFormat="1" ht="24" customHeight="1" thickBot="1">
      <c r="C31" s="19">
        <v>10</v>
      </c>
      <c r="D31" s="20" t="s">
        <v>11</v>
      </c>
      <c r="E31" s="21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S31" s="7"/>
      <c r="T31" s="7"/>
      <c r="U31" s="7"/>
    </row>
    <row r="32" spans="3:21" s="14" customFormat="1" ht="24" customHeight="1" thickBot="1">
      <c r="C32" s="15">
        <v>10</v>
      </c>
      <c r="D32" s="16" t="s">
        <v>33</v>
      </c>
      <c r="E32" s="1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7"/>
      <c r="T32" s="7"/>
      <c r="U32" s="7"/>
    </row>
    <row r="33" spans="3:21" s="14" customFormat="1" ht="24" hidden="1" customHeight="1" thickBot="1">
      <c r="C33" s="27">
        <v>61224</v>
      </c>
      <c r="D33" s="28" t="s">
        <v>34</v>
      </c>
      <c r="E33" s="25">
        <f>+'[1]PAIEMENTS BUDGET 2022'!E33</f>
        <v>0</v>
      </c>
      <c r="F33" s="283">
        <f>+'[1]PAIEMENTS BUDGET 2022'!R33</f>
        <v>0</v>
      </c>
      <c r="G33" s="284"/>
      <c r="H33" s="285"/>
      <c r="I33" s="283"/>
      <c r="J33" s="284"/>
      <c r="K33" s="285"/>
      <c r="L33" s="283">
        <f>+E33-F33</f>
        <v>0</v>
      </c>
      <c r="M33" s="284"/>
      <c r="N33" s="285"/>
      <c r="O33" s="283">
        <f>+F33-I33</f>
        <v>0</v>
      </c>
      <c r="P33" s="284"/>
      <c r="Q33" s="285"/>
      <c r="S33" s="7"/>
      <c r="T33" s="7"/>
      <c r="U33" s="7"/>
    </row>
    <row r="34" spans="3:21" ht="24" customHeight="1" thickBot="1">
      <c r="C34" s="27">
        <v>61225</v>
      </c>
      <c r="D34" s="28" t="s">
        <v>35</v>
      </c>
      <c r="E34" s="25">
        <f>+'[1]PAIEMENTS BUDGET 2022'!E34</f>
        <v>100000</v>
      </c>
      <c r="F34" s="283">
        <f>+'[1]PAIEMENTS BUDGET 2022'!R34</f>
        <v>99600</v>
      </c>
      <c r="G34" s="284"/>
      <c r="H34" s="285"/>
      <c r="I34" s="283">
        <v>99600</v>
      </c>
      <c r="J34" s="284"/>
      <c r="K34" s="285"/>
      <c r="L34" s="283">
        <f t="shared" ref="L34:L39" si="1">+E34-F34</f>
        <v>400</v>
      </c>
      <c r="M34" s="284"/>
      <c r="N34" s="285"/>
      <c r="O34" s="283">
        <f t="shared" ref="O34:O39" si="2">+F34-I34</f>
        <v>0</v>
      </c>
      <c r="P34" s="284"/>
      <c r="Q34" s="285"/>
      <c r="R34" s="26"/>
    </row>
    <row r="35" spans="3:21" ht="32.25" thickBot="1">
      <c r="C35" s="27">
        <v>61226</v>
      </c>
      <c r="D35" s="45" t="s">
        <v>36</v>
      </c>
      <c r="E35" s="25">
        <f>+'[1]PAIEMENTS BUDGET 2022'!E35</f>
        <v>250000</v>
      </c>
      <c r="F35" s="283">
        <f>+'[1]PAIEMENTS BUDGET 2022'!R35</f>
        <v>249983.55</v>
      </c>
      <c r="G35" s="284"/>
      <c r="H35" s="285"/>
      <c r="I35" s="283">
        <v>249983.55</v>
      </c>
      <c r="J35" s="284"/>
      <c r="K35" s="285"/>
      <c r="L35" s="283">
        <f t="shared" si="1"/>
        <v>16.450000000011642</v>
      </c>
      <c r="M35" s="284"/>
      <c r="N35" s="285"/>
      <c r="O35" s="283">
        <f t="shared" si="2"/>
        <v>0</v>
      </c>
      <c r="P35" s="284"/>
      <c r="Q35" s="285"/>
      <c r="R35" s="26"/>
    </row>
    <row r="36" spans="3:21" ht="24" customHeight="1" thickBot="1">
      <c r="C36" s="27">
        <v>61254</v>
      </c>
      <c r="D36" s="28" t="s">
        <v>37</v>
      </c>
      <c r="E36" s="25">
        <f>+'[1]PAIEMENTS BUDGET 2022'!E36</f>
        <v>200000</v>
      </c>
      <c r="F36" s="283">
        <f>+'[1]PAIEMENTS BUDGET 2022'!R36</f>
        <v>198586.27</v>
      </c>
      <c r="G36" s="284"/>
      <c r="H36" s="285"/>
      <c r="I36" s="283">
        <v>198586.27</v>
      </c>
      <c r="J36" s="284"/>
      <c r="K36" s="285"/>
      <c r="L36" s="283">
        <f t="shared" si="1"/>
        <v>1413.7300000000105</v>
      </c>
      <c r="M36" s="284"/>
      <c r="N36" s="285"/>
      <c r="O36" s="283">
        <f t="shared" si="2"/>
        <v>0</v>
      </c>
      <c r="P36" s="284"/>
      <c r="Q36" s="285"/>
      <c r="R36" s="26"/>
    </row>
    <row r="37" spans="3:21" ht="24" customHeight="1" thickBot="1">
      <c r="C37" s="27">
        <v>612511</v>
      </c>
      <c r="D37" s="28" t="s">
        <v>38</v>
      </c>
      <c r="E37" s="25">
        <f>+'[1]PAIEMENTS BUDGET 2022'!E37</f>
        <v>50000</v>
      </c>
      <c r="F37" s="283">
        <f>+'[1]PAIEMENTS BUDGET 2022'!R37</f>
        <v>50000</v>
      </c>
      <c r="G37" s="284"/>
      <c r="H37" s="285"/>
      <c r="I37" s="283">
        <v>50000</v>
      </c>
      <c r="J37" s="284"/>
      <c r="K37" s="285"/>
      <c r="L37" s="283">
        <f t="shared" si="1"/>
        <v>0</v>
      </c>
      <c r="M37" s="284"/>
      <c r="N37" s="285"/>
      <c r="O37" s="283">
        <f t="shared" si="2"/>
        <v>0</v>
      </c>
      <c r="P37" s="284"/>
      <c r="Q37" s="285"/>
      <c r="R37" s="26"/>
    </row>
    <row r="38" spans="3:21" ht="24" customHeight="1" thickBot="1">
      <c r="C38" s="27">
        <v>612512</v>
      </c>
      <c r="D38" s="28" t="s">
        <v>39</v>
      </c>
      <c r="E38" s="25">
        <f>+'[1]PAIEMENTS BUDGET 2022'!E38</f>
        <v>10000</v>
      </c>
      <c r="F38" s="283">
        <f>+'[1]PAIEMENTS BUDGET 2022'!R38</f>
        <v>10000</v>
      </c>
      <c r="G38" s="284"/>
      <c r="H38" s="285"/>
      <c r="I38" s="283">
        <v>10000</v>
      </c>
      <c r="J38" s="284"/>
      <c r="K38" s="285"/>
      <c r="L38" s="283">
        <f t="shared" si="1"/>
        <v>0</v>
      </c>
      <c r="M38" s="284"/>
      <c r="N38" s="285"/>
      <c r="O38" s="283">
        <f t="shared" si="2"/>
        <v>0</v>
      </c>
      <c r="P38" s="284"/>
      <c r="Q38" s="285"/>
      <c r="R38" s="26"/>
    </row>
    <row r="39" spans="3:21" ht="24" customHeight="1" thickBot="1">
      <c r="C39" s="27">
        <v>61223</v>
      </c>
      <c r="D39" s="28" t="s">
        <v>40</v>
      </c>
      <c r="E39" s="25">
        <f>+'[1]PAIEMENTS BUDGET 2022'!E39</f>
        <v>490000</v>
      </c>
      <c r="F39" s="283">
        <f>+'[1]PAIEMENTS BUDGET 2022'!R39</f>
        <v>484995.03</v>
      </c>
      <c r="G39" s="284"/>
      <c r="H39" s="285"/>
      <c r="I39" s="283">
        <v>484995.03</v>
      </c>
      <c r="J39" s="284"/>
      <c r="K39" s="285"/>
      <c r="L39" s="283">
        <f t="shared" si="1"/>
        <v>5004.9699999999721</v>
      </c>
      <c r="M39" s="284"/>
      <c r="N39" s="285"/>
      <c r="O39" s="283">
        <f t="shared" si="2"/>
        <v>0</v>
      </c>
      <c r="P39" s="284"/>
      <c r="Q39" s="285"/>
      <c r="R39" s="26"/>
    </row>
    <row r="40" spans="3:21" s="14" customFormat="1" ht="24" customHeight="1" thickBot="1">
      <c r="C40" s="15">
        <v>20</v>
      </c>
      <c r="D40" s="16" t="s">
        <v>41</v>
      </c>
      <c r="E40" s="17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S40" s="7"/>
      <c r="T40" s="7"/>
      <c r="U40" s="7"/>
    </row>
    <row r="41" spans="3:21" ht="26.25" customHeight="1" thickBot="1">
      <c r="C41" s="27">
        <v>61262</v>
      </c>
      <c r="D41" s="28" t="s">
        <v>42</v>
      </c>
      <c r="E41" s="25">
        <f>+'[1]PAIEMENTS BUDGET 2022'!E41</f>
        <v>60000</v>
      </c>
      <c r="F41" s="283">
        <v>60000</v>
      </c>
      <c r="G41" s="284"/>
      <c r="H41" s="285"/>
      <c r="I41" s="283">
        <v>0</v>
      </c>
      <c r="J41" s="284"/>
      <c r="K41" s="285"/>
      <c r="L41" s="283">
        <f t="shared" ref="L41:L46" si="3">+E41-F41</f>
        <v>0</v>
      </c>
      <c r="M41" s="284"/>
      <c r="N41" s="285"/>
      <c r="O41" s="283">
        <f>+F41-I41</f>
        <v>60000</v>
      </c>
      <c r="P41" s="284"/>
      <c r="Q41" s="285"/>
      <c r="R41" s="26"/>
    </row>
    <row r="42" spans="3:21" ht="24" customHeight="1" thickBot="1">
      <c r="C42" s="27">
        <v>61264</v>
      </c>
      <c r="D42" s="28" t="s">
        <v>43</v>
      </c>
      <c r="E42" s="25">
        <f>+'[1]PAIEMENTS BUDGET 2022'!E42</f>
        <v>120000</v>
      </c>
      <c r="F42" s="283">
        <v>120000</v>
      </c>
      <c r="G42" s="284"/>
      <c r="H42" s="285"/>
      <c r="I42" s="283">
        <v>0</v>
      </c>
      <c r="J42" s="284"/>
      <c r="K42" s="285"/>
      <c r="L42" s="283">
        <f t="shared" si="3"/>
        <v>0</v>
      </c>
      <c r="M42" s="284"/>
      <c r="N42" s="285"/>
      <c r="O42" s="283">
        <f>+F42-I42</f>
        <v>120000</v>
      </c>
      <c r="P42" s="284"/>
      <c r="Q42" s="285"/>
      <c r="R42" s="26"/>
      <c r="S42" s="46"/>
    </row>
    <row r="43" spans="3:21" ht="37.5" customHeight="1" thickBot="1">
      <c r="C43" s="27">
        <v>61365</v>
      </c>
      <c r="D43" s="45" t="s">
        <v>44</v>
      </c>
      <c r="E43" s="25">
        <v>130000</v>
      </c>
      <c r="F43" s="283">
        <f>+'[1]PAIEMENTS BUDGET 2022'!R43+46284</f>
        <v>120084</v>
      </c>
      <c r="G43" s="284"/>
      <c r="H43" s="285"/>
      <c r="I43" s="283">
        <v>73800</v>
      </c>
      <c r="J43" s="284"/>
      <c r="K43" s="285"/>
      <c r="L43" s="283">
        <f t="shared" si="3"/>
        <v>9916</v>
      </c>
      <c r="M43" s="284"/>
      <c r="N43" s="285"/>
      <c r="O43" s="283">
        <f>+F43-I43</f>
        <v>46284</v>
      </c>
      <c r="P43" s="284"/>
      <c r="Q43" s="285"/>
      <c r="R43" s="26"/>
    </row>
    <row r="44" spans="3:21" ht="29.25" hidden="1" customHeight="1" thickBot="1">
      <c r="C44" s="27">
        <v>61368</v>
      </c>
      <c r="D44" s="45" t="s">
        <v>45</v>
      </c>
      <c r="E44" s="25">
        <f>+'[1]PAIEMENTS BUDGET 2022'!E44</f>
        <v>0</v>
      </c>
      <c r="F44" s="283">
        <v>0</v>
      </c>
      <c r="G44" s="284"/>
      <c r="H44" s="285"/>
      <c r="I44" s="277">
        <v>0</v>
      </c>
      <c r="J44" s="278"/>
      <c r="K44" s="279"/>
      <c r="L44" s="283">
        <f t="shared" si="3"/>
        <v>0</v>
      </c>
      <c r="M44" s="284"/>
      <c r="N44" s="285"/>
      <c r="O44" s="277">
        <v>0</v>
      </c>
      <c r="P44" s="278"/>
      <c r="Q44" s="279"/>
      <c r="R44" s="26"/>
    </row>
    <row r="45" spans="3:21" ht="24" customHeight="1" thickBot="1">
      <c r="C45" s="27">
        <v>61416</v>
      </c>
      <c r="D45" s="28" t="s">
        <v>46</v>
      </c>
      <c r="E45" s="25">
        <f>+'[1]PAIEMENTS BUDGET 2022'!E45</f>
        <v>0</v>
      </c>
      <c r="F45" s="283">
        <f>+'[1]PAIEMENTS BUDGET 2022'!R45</f>
        <v>0</v>
      </c>
      <c r="G45" s="284"/>
      <c r="H45" s="285"/>
      <c r="I45" s="283">
        <v>0</v>
      </c>
      <c r="J45" s="284"/>
      <c r="K45" s="285"/>
      <c r="L45" s="283">
        <f t="shared" si="3"/>
        <v>0</v>
      </c>
      <c r="M45" s="284"/>
      <c r="N45" s="285"/>
      <c r="O45" s="283">
        <f>+F45-I45</f>
        <v>0</v>
      </c>
      <c r="P45" s="284"/>
      <c r="Q45" s="285"/>
      <c r="R45" s="26"/>
    </row>
    <row r="46" spans="3:21" ht="24" hidden="1" customHeight="1" thickBot="1">
      <c r="C46" s="27">
        <v>6587</v>
      </c>
      <c r="D46" s="28" t="s">
        <v>47</v>
      </c>
      <c r="E46" s="25">
        <v>0</v>
      </c>
      <c r="F46" s="283"/>
      <c r="G46" s="284"/>
      <c r="H46" s="285"/>
      <c r="I46" s="283"/>
      <c r="J46" s="284"/>
      <c r="K46" s="285"/>
      <c r="L46" s="283">
        <f t="shared" si="3"/>
        <v>0</v>
      </c>
      <c r="M46" s="284"/>
      <c r="N46" s="285"/>
      <c r="O46" s="283">
        <f>+F46-I46</f>
        <v>0</v>
      </c>
      <c r="P46" s="284"/>
      <c r="Q46" s="285"/>
      <c r="R46" s="26"/>
    </row>
    <row r="47" spans="3:21" s="14" customFormat="1" ht="27" customHeight="1" thickBot="1">
      <c r="C47" s="15">
        <v>30</v>
      </c>
      <c r="D47" s="16" t="s">
        <v>48</v>
      </c>
      <c r="E47" s="17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S47" s="7"/>
      <c r="T47" s="7"/>
      <c r="U47" s="7"/>
    </row>
    <row r="48" spans="3:21" ht="24" customHeight="1" thickBot="1">
      <c r="C48" s="27">
        <v>61312</v>
      </c>
      <c r="D48" s="28" t="s">
        <v>49</v>
      </c>
      <c r="E48" s="47">
        <f>+'[1]PAIEMENTS BUDGET 2022'!E48</f>
        <v>670000</v>
      </c>
      <c r="F48" s="283">
        <f>+'[1]PAIEMENTS BUDGET 2022'!R48</f>
        <v>666000</v>
      </c>
      <c r="G48" s="284"/>
      <c r="H48" s="285"/>
      <c r="I48" s="283">
        <v>666000</v>
      </c>
      <c r="J48" s="284"/>
      <c r="K48" s="285"/>
      <c r="L48" s="283">
        <f>+E48-F48</f>
        <v>4000</v>
      </c>
      <c r="M48" s="284"/>
      <c r="N48" s="285"/>
      <c r="O48" s="283">
        <f>+F48-I48</f>
        <v>0</v>
      </c>
      <c r="P48" s="284"/>
      <c r="Q48" s="285"/>
      <c r="R48" s="26"/>
    </row>
    <row r="49" spans="3:21" s="14" customFormat="1" ht="27" customHeight="1" thickBot="1">
      <c r="C49" s="15">
        <v>40</v>
      </c>
      <c r="D49" s="16" t="s">
        <v>50</v>
      </c>
      <c r="E49" s="17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S49" s="7"/>
      <c r="T49" s="7"/>
      <c r="U49" s="7"/>
    </row>
    <row r="50" spans="3:21" ht="24" customHeight="1" thickBot="1">
      <c r="C50" s="27">
        <v>61331</v>
      </c>
      <c r="D50" s="28" t="s">
        <v>51</v>
      </c>
      <c r="E50" s="25">
        <f>+'[1]PAIEMENTS BUDGET 2022'!E50</f>
        <v>50000</v>
      </c>
      <c r="F50" s="283">
        <f>+'[1]PAIEMENTS BUDGET 2022'!R50</f>
        <v>49920</v>
      </c>
      <c r="G50" s="284"/>
      <c r="H50" s="285"/>
      <c r="I50" s="283">
        <v>49920</v>
      </c>
      <c r="J50" s="284"/>
      <c r="K50" s="285"/>
      <c r="L50" s="283">
        <f>+E50-F50</f>
        <v>80</v>
      </c>
      <c r="M50" s="284"/>
      <c r="N50" s="285"/>
      <c r="O50" s="283">
        <f>+F50-I50</f>
        <v>0</v>
      </c>
      <c r="P50" s="284"/>
      <c r="Q50" s="285"/>
      <c r="R50" s="26"/>
    </row>
    <row r="51" spans="3:21" ht="24" customHeight="1" thickBot="1">
      <c r="C51" s="27">
        <v>613321</v>
      </c>
      <c r="D51" s="28" t="s">
        <v>52</v>
      </c>
      <c r="E51" s="25">
        <f>+'[1]PAIEMENTS BUDGET 2022'!E51</f>
        <v>350000</v>
      </c>
      <c r="F51" s="283">
        <f>+'[1]PAIEMENTS BUDGET 2022'!R51</f>
        <v>349000</v>
      </c>
      <c r="G51" s="284"/>
      <c r="H51" s="285"/>
      <c r="I51" s="283">
        <v>349000</v>
      </c>
      <c r="J51" s="284"/>
      <c r="K51" s="285"/>
      <c r="L51" s="283">
        <f>+E51-F51</f>
        <v>1000</v>
      </c>
      <c r="M51" s="284"/>
      <c r="N51" s="285"/>
      <c r="O51" s="283">
        <f>+F51-I51</f>
        <v>0</v>
      </c>
      <c r="P51" s="284"/>
      <c r="Q51" s="285"/>
      <c r="R51" s="26"/>
    </row>
    <row r="52" spans="3:21" ht="24" hidden="1" customHeight="1" thickBot="1">
      <c r="C52" s="27">
        <v>613322</v>
      </c>
      <c r="D52" s="28" t="s">
        <v>53</v>
      </c>
      <c r="E52" s="25">
        <f>+'[1]PAIEMENTS BUDGET 2022'!E52</f>
        <v>0</v>
      </c>
      <c r="F52" s="283">
        <f>+'[1]PAIEMENTS BUDGET 2022'!R52</f>
        <v>0</v>
      </c>
      <c r="G52" s="284"/>
      <c r="H52" s="285"/>
      <c r="I52" s="283">
        <v>0</v>
      </c>
      <c r="J52" s="284"/>
      <c r="K52" s="285"/>
      <c r="L52" s="283">
        <f>+E52-F52</f>
        <v>0</v>
      </c>
      <c r="M52" s="284"/>
      <c r="N52" s="285"/>
      <c r="O52" s="283">
        <f>+F52-I52</f>
        <v>0</v>
      </c>
      <c r="P52" s="284"/>
      <c r="Q52" s="285"/>
      <c r="R52" s="26"/>
    </row>
    <row r="53" spans="3:21" ht="24" customHeight="1" thickBot="1">
      <c r="C53" s="27">
        <v>613323</v>
      </c>
      <c r="D53" s="28" t="s">
        <v>54</v>
      </c>
      <c r="E53" s="25">
        <f>+'[1]PAIEMENTS BUDGET 2022'!E53</f>
        <v>80000</v>
      </c>
      <c r="F53" s="283">
        <f>+'[1]PAIEMENTS BUDGET 2022'!R53</f>
        <v>80000</v>
      </c>
      <c r="G53" s="284"/>
      <c r="H53" s="285"/>
      <c r="I53" s="283">
        <v>80000</v>
      </c>
      <c r="J53" s="284"/>
      <c r="K53" s="285"/>
      <c r="L53" s="283">
        <f>+E53-F53</f>
        <v>0</v>
      </c>
      <c r="M53" s="284"/>
      <c r="N53" s="285"/>
      <c r="O53" s="283">
        <f>+F53-I53</f>
        <v>0</v>
      </c>
      <c r="P53" s="284"/>
      <c r="Q53" s="285"/>
      <c r="R53" s="26"/>
    </row>
    <row r="54" spans="3:21" ht="24" customHeight="1" thickBot="1">
      <c r="C54" s="27">
        <v>61335</v>
      </c>
      <c r="D54" s="28" t="s">
        <v>55</v>
      </c>
      <c r="E54" s="25">
        <f>+'[1]PAIEMENTS BUDGET 2022'!E54</f>
        <v>70000</v>
      </c>
      <c r="F54" s="283">
        <f>+'[1]PAIEMENTS BUDGET 2022'!R54</f>
        <v>69996</v>
      </c>
      <c r="G54" s="284"/>
      <c r="H54" s="285"/>
      <c r="I54" s="283">
        <v>69996</v>
      </c>
      <c r="J54" s="284"/>
      <c r="K54" s="285"/>
      <c r="L54" s="283">
        <f>+E54-F54</f>
        <v>4</v>
      </c>
      <c r="M54" s="284"/>
      <c r="N54" s="285"/>
      <c r="O54" s="283">
        <f>+F54-I54</f>
        <v>0</v>
      </c>
      <c r="P54" s="284"/>
      <c r="Q54" s="285"/>
      <c r="R54" s="26"/>
    </row>
    <row r="55" spans="3:21" s="14" customFormat="1" ht="27" customHeight="1" thickBot="1">
      <c r="C55" s="15">
        <v>50</v>
      </c>
      <c r="D55" s="16" t="s">
        <v>56</v>
      </c>
      <c r="E55" s="17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S55" s="7"/>
      <c r="T55" s="7"/>
      <c r="U55" s="7"/>
    </row>
    <row r="56" spans="3:21" ht="24" hidden="1" customHeight="1" thickBot="1">
      <c r="C56" s="27">
        <v>61341</v>
      </c>
      <c r="D56" s="28" t="s">
        <v>57</v>
      </c>
      <c r="E56" s="25">
        <f>+'[1]PAIEMENTS BUDGET 2022'!E56</f>
        <v>0</v>
      </c>
      <c r="F56" s="283">
        <v>0</v>
      </c>
      <c r="G56" s="284"/>
      <c r="H56" s="285"/>
      <c r="I56" s="283"/>
      <c r="J56" s="284"/>
      <c r="K56" s="285"/>
      <c r="L56" s="283">
        <f>+E56-F56</f>
        <v>0</v>
      </c>
      <c r="M56" s="284"/>
      <c r="N56" s="285"/>
      <c r="O56" s="283">
        <f>+F56-I56</f>
        <v>0</v>
      </c>
      <c r="P56" s="284"/>
      <c r="Q56" s="285"/>
      <c r="R56" s="26"/>
    </row>
    <row r="57" spans="3:21" ht="24" customHeight="1" thickBot="1">
      <c r="C57" s="27">
        <v>61345</v>
      </c>
      <c r="D57" s="28" t="s">
        <v>58</v>
      </c>
      <c r="E57" s="25">
        <f>+'[1]PAIEMENTS BUDGET 2022'!E57</f>
        <v>40000</v>
      </c>
      <c r="F57" s="283">
        <f>+'[1]PAIEMENTS BUDGET 2022'!R57</f>
        <v>34641.39</v>
      </c>
      <c r="G57" s="284"/>
      <c r="H57" s="285"/>
      <c r="I57" s="283">
        <v>34641.39</v>
      </c>
      <c r="J57" s="284"/>
      <c r="K57" s="285"/>
      <c r="L57" s="283">
        <f>+E57-F57</f>
        <v>5358.6100000000006</v>
      </c>
      <c r="M57" s="284"/>
      <c r="N57" s="285"/>
      <c r="O57" s="283">
        <f>+F57-I57</f>
        <v>0</v>
      </c>
      <c r="P57" s="284"/>
      <c r="Q57" s="285"/>
      <c r="R57" s="26"/>
    </row>
    <row r="58" spans="3:21" s="14" customFormat="1" ht="27" customHeight="1" thickBot="1">
      <c r="C58" s="15">
        <v>60</v>
      </c>
      <c r="D58" s="16" t="s">
        <v>59</v>
      </c>
      <c r="E58" s="17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S58" s="7"/>
      <c r="T58" s="7"/>
      <c r="U58" s="7"/>
    </row>
    <row r="59" spans="3:21" ht="24" customHeight="1" thickBot="1">
      <c r="C59" s="27">
        <v>61354</v>
      </c>
      <c r="D59" s="28" t="s">
        <v>60</v>
      </c>
      <c r="E59" s="25">
        <f>+'[1]PAIEMENTS BUDGET 2022'!E59</f>
        <v>391000</v>
      </c>
      <c r="F59" s="283">
        <f>+'[1]PAIEMENTS BUDGET 2022'!R59</f>
        <v>390156</v>
      </c>
      <c r="G59" s="284"/>
      <c r="H59" s="285"/>
      <c r="I59" s="283">
        <v>390156</v>
      </c>
      <c r="J59" s="284"/>
      <c r="K59" s="285"/>
      <c r="L59" s="283">
        <f>+E59-F59</f>
        <v>844</v>
      </c>
      <c r="M59" s="284"/>
      <c r="N59" s="285"/>
      <c r="O59" s="283">
        <f>+F59-I59</f>
        <v>0</v>
      </c>
      <c r="P59" s="284"/>
      <c r="Q59" s="285"/>
      <c r="R59" s="26"/>
    </row>
    <row r="60" spans="3:21" ht="24" customHeight="1" thickBot="1">
      <c r="C60" s="27">
        <v>61355</v>
      </c>
      <c r="D60" s="28" t="s">
        <v>61</v>
      </c>
      <c r="E60" s="25">
        <f>+'[1]PAIEMENTS BUDGET 2022'!E60</f>
        <v>126000</v>
      </c>
      <c r="F60" s="283">
        <f>+'[1]PAIEMENTS BUDGET 2022'!R60</f>
        <v>124913.88</v>
      </c>
      <c r="G60" s="284"/>
      <c r="H60" s="285"/>
      <c r="I60" s="283">
        <v>124913.88</v>
      </c>
      <c r="J60" s="284"/>
      <c r="K60" s="285"/>
      <c r="L60" s="283">
        <f>+E60-F60</f>
        <v>1086.1199999999953</v>
      </c>
      <c r="M60" s="284"/>
      <c r="N60" s="285"/>
      <c r="O60" s="283">
        <f>+F60-I60</f>
        <v>0</v>
      </c>
      <c r="P60" s="284"/>
      <c r="Q60" s="285"/>
      <c r="R60" s="26"/>
    </row>
    <row r="61" spans="3:21" s="14" customFormat="1" ht="27" customHeight="1" thickBot="1">
      <c r="C61" s="15">
        <v>70</v>
      </c>
      <c r="D61" s="16" t="s">
        <v>62</v>
      </c>
      <c r="E61" s="17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S61" s="7"/>
      <c r="T61" s="7"/>
      <c r="U61" s="7"/>
    </row>
    <row r="62" spans="3:21" ht="27" customHeight="1" thickBot="1">
      <c r="C62" s="27">
        <v>61425</v>
      </c>
      <c r="D62" s="28" t="s">
        <v>63</v>
      </c>
      <c r="E62" s="25">
        <f>+'[1]PAIEMENTS BUDGET 2022'!E62</f>
        <v>10000</v>
      </c>
      <c r="F62" s="283">
        <v>10000</v>
      </c>
      <c r="G62" s="284"/>
      <c r="H62" s="285"/>
      <c r="I62" s="283">
        <v>0</v>
      </c>
      <c r="J62" s="284"/>
      <c r="K62" s="285"/>
      <c r="L62" s="283">
        <f t="shared" ref="L62:L67" si="4">+E62-F62</f>
        <v>0</v>
      </c>
      <c r="M62" s="284"/>
      <c r="N62" s="285"/>
      <c r="O62" s="283">
        <f t="shared" ref="O62:O67" si="5">+F62-I62</f>
        <v>10000</v>
      </c>
      <c r="P62" s="284"/>
      <c r="Q62" s="285"/>
      <c r="R62" s="26"/>
    </row>
    <row r="63" spans="3:21" ht="24" customHeight="1" thickBot="1">
      <c r="C63" s="27">
        <v>614311</v>
      </c>
      <c r="D63" s="28" t="s">
        <v>64</v>
      </c>
      <c r="E63" s="25">
        <f>+'[1]PAIEMENTS BUDGET 2022'!E63</f>
        <v>967200</v>
      </c>
      <c r="F63" s="283">
        <f>+'[1]PAIEMENTS BUDGET 2022'!R63</f>
        <v>967140</v>
      </c>
      <c r="G63" s="284"/>
      <c r="H63" s="285"/>
      <c r="I63" s="283">
        <v>967140</v>
      </c>
      <c r="J63" s="284"/>
      <c r="K63" s="285"/>
      <c r="L63" s="283">
        <f t="shared" si="4"/>
        <v>60</v>
      </c>
      <c r="M63" s="284"/>
      <c r="N63" s="285"/>
      <c r="O63" s="283">
        <f t="shared" si="5"/>
        <v>0</v>
      </c>
      <c r="P63" s="284"/>
      <c r="Q63" s="285"/>
      <c r="R63" s="26"/>
    </row>
    <row r="64" spans="3:21" ht="24" customHeight="1" thickBot="1">
      <c r="C64" s="27">
        <v>61711</v>
      </c>
      <c r="D64" s="28" t="s">
        <v>65</v>
      </c>
      <c r="E64" s="25">
        <f>+'[1]PAIEMENTS BUDGET 2022'!E64</f>
        <v>2800</v>
      </c>
      <c r="F64" s="283">
        <f>+'[1]PAIEMENTS BUDGET 2022'!R64</f>
        <v>2800</v>
      </c>
      <c r="G64" s="284"/>
      <c r="H64" s="285"/>
      <c r="I64" s="283">
        <v>2800</v>
      </c>
      <c r="J64" s="284"/>
      <c r="K64" s="285"/>
      <c r="L64" s="283">
        <f t="shared" si="4"/>
        <v>0</v>
      </c>
      <c r="M64" s="284"/>
      <c r="N64" s="285"/>
      <c r="O64" s="283">
        <f t="shared" si="5"/>
        <v>0</v>
      </c>
      <c r="P64" s="284"/>
      <c r="Q64" s="285"/>
      <c r="R64" s="26"/>
    </row>
    <row r="65" spans="3:21" ht="24" customHeight="1" thickBot="1">
      <c r="C65" s="27">
        <v>614313</v>
      </c>
      <c r="D65" s="28" t="s">
        <v>66</v>
      </c>
      <c r="E65" s="25">
        <f>+'[1]PAIEMENTS BUDGET 2022'!E65</f>
        <v>50000</v>
      </c>
      <c r="F65" s="283">
        <f>+'[1]PAIEMENTS BUDGET 2022'!R65</f>
        <v>50000</v>
      </c>
      <c r="G65" s="284"/>
      <c r="H65" s="285"/>
      <c r="I65" s="283">
        <v>50000</v>
      </c>
      <c r="J65" s="284"/>
      <c r="K65" s="285"/>
      <c r="L65" s="283">
        <f t="shared" si="4"/>
        <v>0</v>
      </c>
      <c r="M65" s="284"/>
      <c r="N65" s="285"/>
      <c r="O65" s="283">
        <f t="shared" si="5"/>
        <v>0</v>
      </c>
      <c r="P65" s="284"/>
      <c r="Q65" s="285"/>
      <c r="R65" s="26"/>
    </row>
    <row r="66" spans="3:21" ht="24.75" customHeight="1" thickBot="1">
      <c r="C66" s="27">
        <v>61435</v>
      </c>
      <c r="D66" s="28" t="s">
        <v>67</v>
      </c>
      <c r="E66" s="25">
        <f>+'[1]PAIEMENTS BUDGET 2022'!E66</f>
        <v>70000</v>
      </c>
      <c r="F66" s="283">
        <v>0</v>
      </c>
      <c r="G66" s="284"/>
      <c r="H66" s="285"/>
      <c r="I66" s="283">
        <v>0</v>
      </c>
      <c r="J66" s="284"/>
      <c r="K66" s="285"/>
      <c r="L66" s="283">
        <f t="shared" si="4"/>
        <v>70000</v>
      </c>
      <c r="M66" s="284"/>
      <c r="N66" s="285"/>
      <c r="O66" s="283">
        <f t="shared" si="5"/>
        <v>0</v>
      </c>
      <c r="P66" s="284"/>
      <c r="Q66" s="285"/>
      <c r="R66" s="26"/>
    </row>
    <row r="67" spans="3:21" ht="24" customHeight="1" thickBot="1">
      <c r="C67" s="27">
        <v>61436</v>
      </c>
      <c r="D67" s="28" t="s">
        <v>68</v>
      </c>
      <c r="E67" s="25">
        <f>+'[1]PAIEMENTS BUDGET 2022'!E67</f>
        <v>250000</v>
      </c>
      <c r="F67" s="283">
        <f>+'[1]PAIEMENTS BUDGET 2022'!R67</f>
        <v>249700</v>
      </c>
      <c r="G67" s="284"/>
      <c r="H67" s="285"/>
      <c r="I67" s="283">
        <v>249700</v>
      </c>
      <c r="J67" s="284"/>
      <c r="K67" s="285"/>
      <c r="L67" s="283">
        <f t="shared" si="4"/>
        <v>300</v>
      </c>
      <c r="M67" s="284"/>
      <c r="N67" s="285"/>
      <c r="O67" s="283">
        <f t="shared" si="5"/>
        <v>0</v>
      </c>
      <c r="P67" s="284"/>
      <c r="Q67" s="285"/>
      <c r="R67" s="26"/>
    </row>
    <row r="68" spans="3:21" s="14" customFormat="1" ht="27" customHeight="1" thickBot="1">
      <c r="C68" s="15">
        <v>80</v>
      </c>
      <c r="D68" s="16" t="s">
        <v>69</v>
      </c>
      <c r="E68" s="17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S68" s="7"/>
      <c r="T68" s="7"/>
      <c r="U68" s="7"/>
    </row>
    <row r="69" spans="3:21" ht="24" customHeight="1" thickBot="1">
      <c r="C69" s="27">
        <v>61451</v>
      </c>
      <c r="D69" s="28" t="s">
        <v>70</v>
      </c>
      <c r="E69" s="25">
        <f>+'[1]PAIEMENTS BUDGET 2022'!E69</f>
        <v>20000</v>
      </c>
      <c r="F69" s="283">
        <v>20000</v>
      </c>
      <c r="G69" s="284"/>
      <c r="H69" s="285"/>
      <c r="I69" s="283">
        <v>10000</v>
      </c>
      <c r="J69" s="284"/>
      <c r="K69" s="285"/>
      <c r="L69" s="283">
        <f>+E69-F69</f>
        <v>0</v>
      </c>
      <c r="M69" s="284"/>
      <c r="N69" s="285"/>
      <c r="O69" s="283">
        <f>+F69-I69</f>
        <v>10000</v>
      </c>
      <c r="P69" s="284"/>
      <c r="Q69" s="285"/>
      <c r="R69" s="26"/>
    </row>
    <row r="70" spans="3:21" ht="24" customHeight="1" thickBot="1">
      <c r="C70" s="27">
        <v>61455</v>
      </c>
      <c r="D70" s="28" t="s">
        <v>71</v>
      </c>
      <c r="E70" s="25">
        <f>+'[1]PAIEMENTS BUDGET 2022'!E70</f>
        <v>240000</v>
      </c>
      <c r="F70" s="283">
        <f>+'[1]PAIEMENTS BUDGET 2022'!R70</f>
        <v>240000</v>
      </c>
      <c r="G70" s="284"/>
      <c r="H70" s="285"/>
      <c r="I70" s="283">
        <v>240000</v>
      </c>
      <c r="J70" s="284"/>
      <c r="K70" s="285"/>
      <c r="L70" s="283">
        <f>+E70-F70</f>
        <v>0</v>
      </c>
      <c r="M70" s="284"/>
      <c r="N70" s="285"/>
      <c r="O70" s="283">
        <f>+F70-I70</f>
        <v>0</v>
      </c>
      <c r="P70" s="284"/>
      <c r="Q70" s="285"/>
      <c r="R70" s="26"/>
    </row>
    <row r="71" spans="3:21" s="14" customFormat="1" ht="27" customHeight="1" thickBot="1">
      <c r="C71" s="15">
        <v>90</v>
      </c>
      <c r="D71" s="16" t="s">
        <v>72</v>
      </c>
      <c r="E71" s="17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S71" s="7"/>
      <c r="T71" s="7"/>
      <c r="U71" s="7"/>
    </row>
    <row r="72" spans="3:21" ht="24.75" customHeight="1" thickBot="1">
      <c r="C72" s="27">
        <v>61611</v>
      </c>
      <c r="D72" s="28" t="s">
        <v>73</v>
      </c>
      <c r="E72" s="25">
        <f>+'[1]PAIEMENTS BUDGET 2022'!E72</f>
        <v>240000</v>
      </c>
      <c r="F72" s="283">
        <f>+'[1]PAIEMENTS BUDGET 2022'!R72</f>
        <v>237134.3</v>
      </c>
      <c r="G72" s="284"/>
      <c r="H72" s="285"/>
      <c r="I72" s="283">
        <f>+F72</f>
        <v>237134.3</v>
      </c>
      <c r="J72" s="284"/>
      <c r="K72" s="285"/>
      <c r="L72" s="283">
        <f>+E72-F72</f>
        <v>2865.7000000000116</v>
      </c>
      <c r="M72" s="284"/>
      <c r="N72" s="285"/>
      <c r="O72" s="283">
        <f>+F72-I72</f>
        <v>0</v>
      </c>
      <c r="P72" s="284"/>
      <c r="Q72" s="285"/>
      <c r="R72" s="26"/>
    </row>
    <row r="73" spans="3:21" ht="24" customHeight="1" thickBot="1">
      <c r="C73" s="27">
        <v>61673</v>
      </c>
      <c r="D73" s="28" t="s">
        <v>74</v>
      </c>
      <c r="E73" s="25">
        <f>+'[1]PAIEMENTS BUDGET 2022'!E73</f>
        <v>13150</v>
      </c>
      <c r="F73" s="296">
        <f>+'[1]PAIEMENTS BUDGET 2022'!R73</f>
        <v>13150</v>
      </c>
      <c r="G73" s="297"/>
      <c r="H73" s="298"/>
      <c r="I73" s="296">
        <v>13150</v>
      </c>
      <c r="J73" s="297"/>
      <c r="K73" s="298"/>
      <c r="L73" s="283">
        <f>+E73-F73</f>
        <v>0</v>
      </c>
      <c r="M73" s="284"/>
      <c r="N73" s="285"/>
      <c r="O73" s="283">
        <f>+F73-I73</f>
        <v>0</v>
      </c>
      <c r="P73" s="284"/>
      <c r="Q73" s="285"/>
      <c r="R73" s="26"/>
    </row>
    <row r="74" spans="3:21" s="39" customFormat="1" ht="24" customHeight="1" thickBot="1">
      <c r="C74" s="48"/>
      <c r="D74" s="49" t="s">
        <v>28</v>
      </c>
      <c r="E74" s="50">
        <f>SUM(E33:E73)</f>
        <v>5050150</v>
      </c>
      <c r="F74" s="277">
        <f>SUM(F33:F73)</f>
        <v>4947800.42</v>
      </c>
      <c r="G74" s="278">
        <f t="shared" ref="G74:Q74" si="6">SUM(G34:G73)</f>
        <v>0</v>
      </c>
      <c r="H74" s="279">
        <f t="shared" si="6"/>
        <v>0</v>
      </c>
      <c r="I74" s="277">
        <f>SUM(I33:I73)</f>
        <v>4701516.42</v>
      </c>
      <c r="J74" s="278">
        <f t="shared" si="6"/>
        <v>0</v>
      </c>
      <c r="K74" s="279">
        <f t="shared" si="6"/>
        <v>0</v>
      </c>
      <c r="L74" s="277">
        <f>SUM(L33:L73)</f>
        <v>102349.58</v>
      </c>
      <c r="M74" s="278">
        <f t="shared" si="6"/>
        <v>0</v>
      </c>
      <c r="N74" s="279">
        <f t="shared" si="6"/>
        <v>0</v>
      </c>
      <c r="O74" s="277">
        <f>SUM(O33:O73)</f>
        <v>246284</v>
      </c>
      <c r="P74" s="278">
        <f t="shared" si="6"/>
        <v>0</v>
      </c>
      <c r="Q74" s="279">
        <f t="shared" si="6"/>
        <v>0</v>
      </c>
      <c r="R74" s="37"/>
      <c r="S74" s="38"/>
      <c r="T74" s="38"/>
      <c r="U74" s="38"/>
    </row>
    <row r="75" spans="3:21" s="14" customFormat="1" ht="24" customHeight="1" thickBot="1">
      <c r="C75" s="19">
        <v>20</v>
      </c>
      <c r="D75" s="20" t="s">
        <v>75</v>
      </c>
      <c r="E75" s="21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S75" s="7"/>
      <c r="T75" s="7"/>
      <c r="U75" s="7"/>
    </row>
    <row r="76" spans="3:21" s="14" customFormat="1" ht="24" customHeight="1" thickBot="1">
      <c r="C76" s="15">
        <v>10</v>
      </c>
      <c r="D76" s="16" t="s">
        <v>76</v>
      </c>
      <c r="E76" s="17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S76" s="7"/>
      <c r="T76" s="7"/>
      <c r="U76" s="7"/>
    </row>
    <row r="77" spans="3:21" ht="26.25" customHeight="1" thickBot="1">
      <c r="C77" s="51">
        <v>61441</v>
      </c>
      <c r="D77" s="28" t="s">
        <v>77</v>
      </c>
      <c r="E77" s="25">
        <f>+'[1]PAIEMENTS BUDGET 2022'!E77</f>
        <v>29500</v>
      </c>
      <c r="F77" s="283">
        <f>+'[1]PAIEMENTS BUDGET 2022'!R77+9000+9600</f>
        <v>23400</v>
      </c>
      <c r="G77" s="284"/>
      <c r="H77" s="285"/>
      <c r="I77" s="277">
        <v>4800</v>
      </c>
      <c r="J77" s="278"/>
      <c r="K77" s="279"/>
      <c r="L77" s="283">
        <f>+E77-F77</f>
        <v>6100</v>
      </c>
      <c r="M77" s="284"/>
      <c r="N77" s="285"/>
      <c r="O77" s="283">
        <f>+F77-I77</f>
        <v>18600</v>
      </c>
      <c r="P77" s="284"/>
      <c r="Q77" s="285"/>
      <c r="R77" s="26"/>
    </row>
    <row r="78" spans="3:21" ht="26.25" hidden="1" customHeight="1" thickBot="1">
      <c r="C78" s="51">
        <v>61443</v>
      </c>
      <c r="D78" s="28" t="s">
        <v>78</v>
      </c>
      <c r="E78" s="25">
        <v>0</v>
      </c>
      <c r="F78" s="283">
        <v>0</v>
      </c>
      <c r="G78" s="284"/>
      <c r="H78" s="285"/>
      <c r="I78" s="277">
        <v>0</v>
      </c>
      <c r="J78" s="278"/>
      <c r="K78" s="279"/>
      <c r="L78" s="283">
        <f>+E78-F78</f>
        <v>0</v>
      </c>
      <c r="M78" s="284"/>
      <c r="N78" s="285"/>
      <c r="O78" s="283">
        <f>+F78-I78</f>
        <v>0</v>
      </c>
      <c r="P78" s="284"/>
      <c r="Q78" s="285"/>
      <c r="R78" s="26"/>
    </row>
    <row r="79" spans="3:21" ht="27" customHeight="1" thickBot="1">
      <c r="C79" s="51">
        <v>61444</v>
      </c>
      <c r="D79" s="28" t="s">
        <v>79</v>
      </c>
      <c r="E79" s="25">
        <v>70500</v>
      </c>
      <c r="F79" s="283">
        <f>+'[1]PAIEMENTS BUDGET 2022'!R79</f>
        <v>70008</v>
      </c>
      <c r="G79" s="284"/>
      <c r="H79" s="285"/>
      <c r="I79" s="277">
        <v>70008</v>
      </c>
      <c r="J79" s="278"/>
      <c r="K79" s="279"/>
      <c r="L79" s="283">
        <f>+E79-F79</f>
        <v>492</v>
      </c>
      <c r="M79" s="284"/>
      <c r="N79" s="285"/>
      <c r="O79" s="283">
        <f>+F79-I79</f>
        <v>0</v>
      </c>
      <c r="P79" s="284"/>
      <c r="Q79" s="285"/>
      <c r="R79" s="26"/>
    </row>
    <row r="80" spans="3:21" ht="30.75" customHeight="1" thickBot="1">
      <c r="C80" s="51">
        <v>61448</v>
      </c>
      <c r="D80" s="28" t="s">
        <v>80</v>
      </c>
      <c r="E80" s="25">
        <f>+'[1]PAIEMENTS BUDGET 2022'!E80</f>
        <v>50000</v>
      </c>
      <c r="F80" s="283">
        <v>50000</v>
      </c>
      <c r="G80" s="284"/>
      <c r="H80" s="285"/>
      <c r="I80" s="277">
        <v>0</v>
      </c>
      <c r="J80" s="278"/>
      <c r="K80" s="279"/>
      <c r="L80" s="283">
        <f>+E80-F80</f>
        <v>0</v>
      </c>
      <c r="M80" s="284"/>
      <c r="N80" s="285"/>
      <c r="O80" s="283">
        <f>+F80-I80</f>
        <v>50000</v>
      </c>
      <c r="P80" s="284"/>
      <c r="Q80" s="285"/>
      <c r="R80" s="26"/>
    </row>
    <row r="81" spans="3:21" hidden="1" thickBot="1">
      <c r="C81" s="51">
        <v>61449</v>
      </c>
      <c r="D81" s="28" t="s">
        <v>81</v>
      </c>
      <c r="E81" s="25">
        <v>0</v>
      </c>
      <c r="F81" s="283"/>
      <c r="G81" s="284"/>
      <c r="H81" s="285"/>
      <c r="I81" s="283"/>
      <c r="J81" s="284"/>
      <c r="K81" s="285"/>
      <c r="L81" s="283">
        <f>+E81-F81</f>
        <v>0</v>
      </c>
      <c r="M81" s="284"/>
      <c r="N81" s="285"/>
      <c r="O81" s="283">
        <f>+F81-I81</f>
        <v>0</v>
      </c>
      <c r="P81" s="284"/>
      <c r="Q81" s="285"/>
      <c r="R81" s="26"/>
    </row>
    <row r="82" spans="3:21" s="39" customFormat="1" ht="24" customHeight="1" thickBot="1">
      <c r="C82" s="48"/>
      <c r="D82" s="49" t="s">
        <v>82</v>
      </c>
      <c r="E82" s="52">
        <f>SUM(E77:E81)</f>
        <v>150000</v>
      </c>
      <c r="F82" s="273">
        <f>SUM(F77:F81)</f>
        <v>143408</v>
      </c>
      <c r="G82" s="274"/>
      <c r="H82" s="275"/>
      <c r="I82" s="273">
        <f>SUM(I77:I81)</f>
        <v>74808</v>
      </c>
      <c r="J82" s="274"/>
      <c r="K82" s="276"/>
      <c r="L82" s="277">
        <f t="shared" ref="L82:Q82" si="7">SUM(L77:L81)</f>
        <v>6592</v>
      </c>
      <c r="M82" s="278">
        <f t="shared" si="7"/>
        <v>0</v>
      </c>
      <c r="N82" s="279">
        <f t="shared" si="7"/>
        <v>0</v>
      </c>
      <c r="O82" s="277">
        <f t="shared" si="7"/>
        <v>68600</v>
      </c>
      <c r="P82" s="278">
        <f t="shared" si="7"/>
        <v>0</v>
      </c>
      <c r="Q82" s="279">
        <f t="shared" si="7"/>
        <v>0</v>
      </c>
      <c r="R82" s="37"/>
      <c r="S82" s="38"/>
      <c r="T82" s="38"/>
      <c r="U82" s="38"/>
    </row>
    <row r="83" spans="3:21" s="39" customFormat="1" ht="24" customHeight="1" thickBot="1">
      <c r="C83" s="40"/>
      <c r="D83" s="41" t="s">
        <v>83</v>
      </c>
      <c r="E83" s="53">
        <f>+E74+E82</f>
        <v>5200150</v>
      </c>
      <c r="F83" s="280">
        <f>+F74+F82</f>
        <v>5091208.42</v>
      </c>
      <c r="G83" s="281">
        <f t="shared" ref="G83:Q83" si="8">+G74+G82</f>
        <v>0</v>
      </c>
      <c r="H83" s="282">
        <f t="shared" si="8"/>
        <v>0</v>
      </c>
      <c r="I83" s="280">
        <f t="shared" si="8"/>
        <v>4776324.42</v>
      </c>
      <c r="J83" s="281">
        <f t="shared" si="8"/>
        <v>0</v>
      </c>
      <c r="K83" s="282">
        <f t="shared" si="8"/>
        <v>0</v>
      </c>
      <c r="L83" s="280">
        <f t="shared" si="8"/>
        <v>108941.58</v>
      </c>
      <c r="M83" s="281">
        <f t="shared" si="8"/>
        <v>0</v>
      </c>
      <c r="N83" s="282">
        <f t="shared" si="8"/>
        <v>0</v>
      </c>
      <c r="O83" s="280">
        <f t="shared" si="8"/>
        <v>314884</v>
      </c>
      <c r="P83" s="281">
        <f t="shared" si="8"/>
        <v>0</v>
      </c>
      <c r="Q83" s="282">
        <f t="shared" si="8"/>
        <v>0</v>
      </c>
      <c r="R83" s="37"/>
      <c r="S83" s="38"/>
      <c r="T83" s="38"/>
      <c r="U83" s="38"/>
    </row>
    <row r="84" spans="3:21" s="39" customFormat="1" ht="39.75" customHeight="1" thickBot="1">
      <c r="C84" s="294" t="s">
        <v>84</v>
      </c>
      <c r="D84" s="295"/>
      <c r="E84" s="54">
        <f>+E83</f>
        <v>5200150</v>
      </c>
      <c r="F84" s="265">
        <f>+F83</f>
        <v>5091208.42</v>
      </c>
      <c r="G84" s="266">
        <f t="shared" ref="G84:Q84" si="9">+G83</f>
        <v>0</v>
      </c>
      <c r="H84" s="267">
        <f t="shared" si="9"/>
        <v>0</v>
      </c>
      <c r="I84" s="265">
        <f t="shared" si="9"/>
        <v>4776324.42</v>
      </c>
      <c r="J84" s="266">
        <f t="shared" si="9"/>
        <v>0</v>
      </c>
      <c r="K84" s="267">
        <f t="shared" si="9"/>
        <v>0</v>
      </c>
      <c r="L84" s="265">
        <f t="shared" si="9"/>
        <v>108941.58</v>
      </c>
      <c r="M84" s="266">
        <f t="shared" si="9"/>
        <v>0</v>
      </c>
      <c r="N84" s="267">
        <f t="shared" si="9"/>
        <v>0</v>
      </c>
      <c r="O84" s="265">
        <f t="shared" si="9"/>
        <v>314884</v>
      </c>
      <c r="P84" s="266">
        <f t="shared" si="9"/>
        <v>0</v>
      </c>
      <c r="Q84" s="267">
        <f t="shared" si="9"/>
        <v>0</v>
      </c>
      <c r="R84" s="37"/>
      <c r="S84" s="38"/>
      <c r="T84" s="38"/>
      <c r="U84" s="38"/>
    </row>
    <row r="85" spans="3:21" s="39" customFormat="1" ht="49.5" customHeight="1" thickBot="1">
      <c r="C85" s="268" t="s">
        <v>85</v>
      </c>
      <c r="D85" s="269"/>
      <c r="E85" s="55">
        <f>+E28+E84</f>
        <v>17466550</v>
      </c>
      <c r="F85" s="270">
        <f>+F84+F28</f>
        <v>16559813.039999999</v>
      </c>
      <c r="G85" s="271"/>
      <c r="H85" s="272"/>
      <c r="I85" s="270">
        <f t="shared" ref="I85:Q85" si="10">+I84+I28</f>
        <v>15786763.749999998</v>
      </c>
      <c r="J85" s="271">
        <f t="shared" si="10"/>
        <v>0</v>
      </c>
      <c r="K85" s="272">
        <f t="shared" si="10"/>
        <v>0</v>
      </c>
      <c r="L85" s="270">
        <f t="shared" si="10"/>
        <v>906736.96000000031</v>
      </c>
      <c r="M85" s="271">
        <f t="shared" si="10"/>
        <v>0</v>
      </c>
      <c r="N85" s="272">
        <f t="shared" si="10"/>
        <v>0</v>
      </c>
      <c r="O85" s="270">
        <f t="shared" si="10"/>
        <v>773049.2899999998</v>
      </c>
      <c r="P85" s="271">
        <f t="shared" si="10"/>
        <v>0</v>
      </c>
      <c r="Q85" s="272">
        <f t="shared" si="10"/>
        <v>0</v>
      </c>
      <c r="R85" s="37"/>
      <c r="S85" s="38"/>
      <c r="T85" s="38"/>
      <c r="U85" s="38"/>
    </row>
    <row r="86" spans="3:21" s="61" customFormat="1" ht="6" customHeight="1">
      <c r="C86" s="56"/>
      <c r="D86" s="57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9"/>
      <c r="S86" s="60"/>
      <c r="T86" s="60"/>
      <c r="U86" s="60"/>
    </row>
    <row r="87" spans="3:21" s="61" customFormat="1" ht="6" customHeight="1" thickBot="1">
      <c r="C87" s="56"/>
      <c r="D87" s="57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9"/>
      <c r="S87" s="60"/>
      <c r="T87" s="60"/>
      <c r="U87" s="60"/>
    </row>
    <row r="88" spans="3:21" s="14" customFormat="1" thickBot="1">
      <c r="C88" s="292" t="s">
        <v>86</v>
      </c>
      <c r="D88" s="293"/>
      <c r="E88" s="62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S88" s="7"/>
      <c r="T88" s="7"/>
      <c r="U88" s="7"/>
    </row>
    <row r="89" spans="3:21" s="14" customFormat="1" ht="24" hidden="1" customHeight="1" thickBot="1">
      <c r="C89" s="15">
        <v>602</v>
      </c>
      <c r="D89" s="16" t="s">
        <v>10</v>
      </c>
      <c r="E89" s="17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S89" s="7"/>
      <c r="T89" s="7"/>
      <c r="U89" s="7"/>
    </row>
    <row r="90" spans="3:21" s="14" customFormat="1" ht="24" hidden="1" customHeight="1" thickBot="1">
      <c r="C90" s="19">
        <v>10</v>
      </c>
      <c r="D90" s="20" t="s">
        <v>87</v>
      </c>
      <c r="E90" s="21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S90" s="7"/>
      <c r="T90" s="7"/>
      <c r="U90" s="7"/>
    </row>
    <row r="91" spans="3:21" s="14" customFormat="1" ht="23.25" customHeight="1" thickBot="1">
      <c r="C91" s="15">
        <v>10</v>
      </c>
      <c r="D91" s="16" t="s">
        <v>88</v>
      </c>
      <c r="E91" s="17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S91" s="7"/>
      <c r="T91" s="7"/>
      <c r="U91" s="7"/>
    </row>
    <row r="92" spans="3:21" ht="31.5" customHeight="1" thickBot="1">
      <c r="C92" s="23">
        <v>2285101</v>
      </c>
      <c r="D92" s="24" t="s">
        <v>89</v>
      </c>
      <c r="E92" s="25">
        <f>+'[1]PAIEMENTS BUDGET 2022'!E92</f>
        <v>810000</v>
      </c>
      <c r="F92" s="283">
        <v>810000</v>
      </c>
      <c r="G92" s="284"/>
      <c r="H92" s="285"/>
      <c r="I92" s="283">
        <v>0</v>
      </c>
      <c r="J92" s="284"/>
      <c r="K92" s="285"/>
      <c r="L92" s="283">
        <f>+E92-F92</f>
        <v>0</v>
      </c>
      <c r="M92" s="284"/>
      <c r="N92" s="285"/>
      <c r="O92" s="283">
        <f>+F92-I92</f>
        <v>810000</v>
      </c>
      <c r="P92" s="284"/>
      <c r="Q92" s="285"/>
      <c r="R92" s="26"/>
    </row>
    <row r="93" spans="3:21" ht="29.25" customHeight="1" thickBot="1">
      <c r="C93" s="23">
        <v>2128101</v>
      </c>
      <c r="D93" s="24" t="s">
        <v>90</v>
      </c>
      <c r="E93" s="25">
        <f>+'[1]PAIEMENTS BUDGET 2022'!E93</f>
        <v>250000</v>
      </c>
      <c r="F93" s="283">
        <v>248600</v>
      </c>
      <c r="G93" s="284"/>
      <c r="H93" s="285"/>
      <c r="I93" s="283">
        <v>0</v>
      </c>
      <c r="J93" s="284"/>
      <c r="K93" s="285"/>
      <c r="L93" s="283">
        <f>+E93-F93</f>
        <v>1400</v>
      </c>
      <c r="M93" s="284"/>
      <c r="N93" s="285"/>
      <c r="O93" s="283">
        <f>+F93-I93</f>
        <v>248600</v>
      </c>
      <c r="P93" s="284"/>
      <c r="Q93" s="285"/>
      <c r="R93" s="26"/>
    </row>
    <row r="94" spans="3:21" s="31" customFormat="1" ht="31.5" customHeight="1" thickBot="1">
      <c r="C94" s="27">
        <v>2128102</v>
      </c>
      <c r="D94" s="28" t="s">
        <v>91</v>
      </c>
      <c r="E94" s="25">
        <f>+'[1]PAIEMENTS BUDGET 2022'!E94</f>
        <v>250000</v>
      </c>
      <c r="F94" s="283">
        <v>246800</v>
      </c>
      <c r="G94" s="284"/>
      <c r="H94" s="285"/>
      <c r="I94" s="283">
        <v>0</v>
      </c>
      <c r="J94" s="284"/>
      <c r="K94" s="285"/>
      <c r="L94" s="283">
        <f>+E94-F94</f>
        <v>3200</v>
      </c>
      <c r="M94" s="284"/>
      <c r="N94" s="285"/>
      <c r="O94" s="283">
        <f>+F94-I94</f>
        <v>246800</v>
      </c>
      <c r="P94" s="284"/>
      <c r="Q94" s="285"/>
      <c r="R94" s="29"/>
      <c r="S94" s="30"/>
      <c r="T94" s="30"/>
      <c r="U94" s="30"/>
    </row>
    <row r="95" spans="3:21" ht="32.25" thickBot="1">
      <c r="C95" s="27">
        <v>2128103</v>
      </c>
      <c r="D95" s="45" t="s">
        <v>92</v>
      </c>
      <c r="E95" s="25">
        <f>+'[1]PAIEMENTS BUDGET 2022'!E95</f>
        <v>500000</v>
      </c>
      <c r="F95" s="283">
        <v>486000</v>
      </c>
      <c r="G95" s="284"/>
      <c r="H95" s="285"/>
      <c r="I95" s="283">
        <v>0</v>
      </c>
      <c r="J95" s="284"/>
      <c r="K95" s="285"/>
      <c r="L95" s="283">
        <f>+E95-F95</f>
        <v>14000</v>
      </c>
      <c r="M95" s="284"/>
      <c r="N95" s="285"/>
      <c r="O95" s="283">
        <f>+F95-I95</f>
        <v>486000</v>
      </c>
      <c r="P95" s="284"/>
      <c r="Q95" s="285"/>
      <c r="R95" s="26"/>
    </row>
    <row r="96" spans="3:21" s="39" customFormat="1" ht="28.5" customHeight="1" thickBot="1">
      <c r="C96" s="48"/>
      <c r="D96" s="49" t="s">
        <v>28</v>
      </c>
      <c r="E96" s="52">
        <f>SUM(E92:E95)</f>
        <v>1810000</v>
      </c>
      <c r="F96" s="277">
        <f>SUM(F92:F95)</f>
        <v>1791400</v>
      </c>
      <c r="G96" s="278">
        <f t="shared" ref="G96:Q96" si="11">SUM(G92:G95)</f>
        <v>0</v>
      </c>
      <c r="H96" s="279">
        <f t="shared" si="11"/>
        <v>0</v>
      </c>
      <c r="I96" s="277">
        <f t="shared" si="11"/>
        <v>0</v>
      </c>
      <c r="J96" s="278">
        <f t="shared" si="11"/>
        <v>0</v>
      </c>
      <c r="K96" s="279">
        <f t="shared" si="11"/>
        <v>0</v>
      </c>
      <c r="L96" s="277">
        <f t="shared" si="11"/>
        <v>18600</v>
      </c>
      <c r="M96" s="278">
        <f t="shared" si="11"/>
        <v>0</v>
      </c>
      <c r="N96" s="279">
        <f t="shared" si="11"/>
        <v>0</v>
      </c>
      <c r="O96" s="277">
        <f t="shared" si="11"/>
        <v>1791400</v>
      </c>
      <c r="P96" s="278">
        <f t="shared" si="11"/>
        <v>0</v>
      </c>
      <c r="Q96" s="279">
        <f t="shared" si="11"/>
        <v>0</v>
      </c>
      <c r="R96" s="37"/>
      <c r="S96" s="38"/>
      <c r="T96" s="38"/>
      <c r="U96" s="38"/>
    </row>
    <row r="97" spans="3:21" s="14" customFormat="1" hidden="1" thickBot="1">
      <c r="C97" s="19">
        <v>30</v>
      </c>
      <c r="D97" s="20" t="s">
        <v>93</v>
      </c>
      <c r="E97" s="21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S97" s="7"/>
      <c r="T97" s="7"/>
      <c r="U97" s="7"/>
    </row>
    <row r="98" spans="3:21" hidden="1" thickBot="1">
      <c r="C98" s="15">
        <v>30</v>
      </c>
      <c r="D98" s="16" t="s">
        <v>88</v>
      </c>
      <c r="E98" s="32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26"/>
    </row>
    <row r="99" spans="3:21" ht="32.25" hidden="1" thickBot="1">
      <c r="C99" s="23">
        <v>2128304</v>
      </c>
      <c r="D99" s="64" t="s">
        <v>92</v>
      </c>
      <c r="E99" s="47">
        <f>+'[1]PAIEMENTS BUDGET 2022'!E99</f>
        <v>0</v>
      </c>
      <c r="F99" s="283"/>
      <c r="G99" s="284"/>
      <c r="H99" s="285"/>
      <c r="I99" s="283"/>
      <c r="J99" s="284"/>
      <c r="K99" s="285"/>
      <c r="L99" s="283">
        <f>+E99-F99</f>
        <v>0</v>
      </c>
      <c r="M99" s="284"/>
      <c r="N99" s="285"/>
      <c r="O99" s="283">
        <f>+F99-I99</f>
        <v>0</v>
      </c>
      <c r="P99" s="284"/>
      <c r="Q99" s="285"/>
      <c r="R99" s="26"/>
    </row>
    <row r="100" spans="3:21" s="39" customFormat="1" hidden="1" thickBot="1">
      <c r="C100" s="48"/>
      <c r="D100" s="49" t="s">
        <v>94</v>
      </c>
      <c r="E100" s="52">
        <f>+E99</f>
        <v>0</v>
      </c>
      <c r="F100" s="277">
        <f>SUM(F96:F99)</f>
        <v>1791400</v>
      </c>
      <c r="G100" s="278">
        <f t="shared" ref="G100:Q100" si="12">SUM(G96:G99)</f>
        <v>0</v>
      </c>
      <c r="H100" s="279">
        <f t="shared" si="12"/>
        <v>0</v>
      </c>
      <c r="I100" s="277">
        <f t="shared" si="12"/>
        <v>0</v>
      </c>
      <c r="J100" s="278">
        <f t="shared" si="12"/>
        <v>0</v>
      </c>
      <c r="K100" s="279">
        <f t="shared" si="12"/>
        <v>0</v>
      </c>
      <c r="L100" s="277">
        <f>+L99</f>
        <v>0</v>
      </c>
      <c r="M100" s="278">
        <f t="shared" si="12"/>
        <v>0</v>
      </c>
      <c r="N100" s="279">
        <f t="shared" si="12"/>
        <v>0</v>
      </c>
      <c r="O100" s="277">
        <f t="shared" si="12"/>
        <v>1791400</v>
      </c>
      <c r="P100" s="278">
        <f t="shared" si="12"/>
        <v>0</v>
      </c>
      <c r="Q100" s="279">
        <f t="shared" si="12"/>
        <v>0</v>
      </c>
      <c r="R100" s="37"/>
      <c r="S100" s="38"/>
      <c r="T100" s="38"/>
      <c r="U100" s="38"/>
    </row>
    <row r="101" spans="3:21" s="14" customFormat="1" ht="24" hidden="1" customHeight="1" thickBot="1">
      <c r="C101" s="19">
        <v>70</v>
      </c>
      <c r="D101" s="20" t="s">
        <v>95</v>
      </c>
      <c r="E101" s="21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S101" s="7"/>
      <c r="T101" s="7"/>
      <c r="U101" s="7"/>
    </row>
    <row r="102" spans="3:21" ht="24" hidden="1" customHeight="1" thickBot="1">
      <c r="C102" s="15">
        <v>40</v>
      </c>
      <c r="D102" s="16" t="s">
        <v>88</v>
      </c>
      <c r="E102" s="32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26"/>
    </row>
    <row r="103" spans="3:21" ht="24" hidden="1" customHeight="1" thickBot="1">
      <c r="C103" s="23">
        <v>2128702</v>
      </c>
      <c r="D103" s="64" t="s">
        <v>96</v>
      </c>
      <c r="E103" s="47">
        <f>+'[1]PAIEMENTS BUDGET 2022'!E103</f>
        <v>0</v>
      </c>
      <c r="F103" s="283">
        <v>0</v>
      </c>
      <c r="G103" s="284"/>
      <c r="H103" s="285"/>
      <c r="I103" s="283">
        <v>0</v>
      </c>
      <c r="J103" s="284"/>
      <c r="K103" s="285"/>
      <c r="L103" s="283">
        <f>+E103-F103</f>
        <v>0</v>
      </c>
      <c r="M103" s="284"/>
      <c r="N103" s="285"/>
      <c r="O103" s="283">
        <f>+F103-I103</f>
        <v>0</v>
      </c>
      <c r="P103" s="284"/>
      <c r="Q103" s="285"/>
      <c r="R103" s="26"/>
    </row>
    <row r="104" spans="3:21" s="39" customFormat="1" ht="24" hidden="1" customHeight="1" thickBot="1">
      <c r="C104" s="48"/>
      <c r="D104" s="49" t="s">
        <v>97</v>
      </c>
      <c r="E104" s="52">
        <f>SUM(E103)</f>
        <v>0</v>
      </c>
      <c r="F104" s="273">
        <f>SUM(F103)</f>
        <v>0</v>
      </c>
      <c r="G104" s="274"/>
      <c r="H104" s="275"/>
      <c r="I104" s="273">
        <f>SUM(I103)</f>
        <v>0</v>
      </c>
      <c r="J104" s="274"/>
      <c r="K104" s="276"/>
      <c r="L104" s="277">
        <f t="shared" ref="L104:Q104" si="13">SUM(L103)</f>
        <v>0</v>
      </c>
      <c r="M104" s="278">
        <f t="shared" si="13"/>
        <v>0</v>
      </c>
      <c r="N104" s="279">
        <f t="shared" si="13"/>
        <v>0</v>
      </c>
      <c r="O104" s="277">
        <f t="shared" si="13"/>
        <v>0</v>
      </c>
      <c r="P104" s="278">
        <f t="shared" si="13"/>
        <v>0</v>
      </c>
      <c r="Q104" s="279">
        <f t="shared" si="13"/>
        <v>0</v>
      </c>
      <c r="R104" s="37"/>
      <c r="S104" s="38"/>
      <c r="T104" s="38"/>
      <c r="U104" s="38"/>
    </row>
    <row r="105" spans="3:21" s="39" customFormat="1" ht="24" customHeight="1" thickBot="1">
      <c r="C105" s="40"/>
      <c r="D105" s="41" t="s">
        <v>29</v>
      </c>
      <c r="E105" s="53">
        <f>+E96+E104+E100</f>
        <v>1810000</v>
      </c>
      <c r="F105" s="280">
        <f>+F96+F104</f>
        <v>1791400</v>
      </c>
      <c r="G105" s="281">
        <f t="shared" ref="G105:Q105" si="14">+G96+G104</f>
        <v>0</v>
      </c>
      <c r="H105" s="282">
        <f t="shared" si="14"/>
        <v>0</v>
      </c>
      <c r="I105" s="280">
        <f t="shared" si="14"/>
        <v>0</v>
      </c>
      <c r="J105" s="281">
        <f t="shared" si="14"/>
        <v>0</v>
      </c>
      <c r="K105" s="282">
        <f t="shared" si="14"/>
        <v>0</v>
      </c>
      <c r="L105" s="280">
        <f>+L96+L104+L100</f>
        <v>18600</v>
      </c>
      <c r="M105" s="281">
        <f t="shared" si="14"/>
        <v>0</v>
      </c>
      <c r="N105" s="282">
        <f t="shared" si="14"/>
        <v>0</v>
      </c>
      <c r="O105" s="280">
        <f t="shared" si="14"/>
        <v>1791400</v>
      </c>
      <c r="P105" s="281">
        <f t="shared" si="14"/>
        <v>0</v>
      </c>
      <c r="Q105" s="282">
        <f t="shared" si="14"/>
        <v>0</v>
      </c>
      <c r="R105" s="37"/>
      <c r="S105" s="38"/>
      <c r="T105" s="38"/>
      <c r="U105" s="38"/>
    </row>
    <row r="106" spans="3:21" s="14" customFormat="1" ht="24" customHeight="1" thickBot="1">
      <c r="C106" s="15">
        <v>610</v>
      </c>
      <c r="D106" s="16" t="s">
        <v>32</v>
      </c>
      <c r="E106" s="17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S106" s="7"/>
      <c r="T106" s="7"/>
      <c r="U106" s="7"/>
    </row>
    <row r="107" spans="3:21" s="14" customFormat="1" ht="24" customHeight="1" thickBot="1">
      <c r="C107" s="19">
        <v>10</v>
      </c>
      <c r="D107" s="20" t="s">
        <v>11</v>
      </c>
      <c r="E107" s="21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S107" s="7"/>
      <c r="T107" s="7"/>
      <c r="U107" s="7"/>
    </row>
    <row r="108" spans="3:21" s="14" customFormat="1" ht="24" hidden="1" customHeight="1" thickBot="1">
      <c r="C108" s="15">
        <v>10</v>
      </c>
      <c r="D108" s="16" t="s">
        <v>98</v>
      </c>
      <c r="E108" s="17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S108" s="7"/>
      <c r="T108" s="7"/>
      <c r="U108" s="7"/>
    </row>
    <row r="109" spans="3:21" hidden="1" thickBot="1">
      <c r="C109" s="27">
        <v>61411</v>
      </c>
      <c r="D109" s="28" t="s">
        <v>99</v>
      </c>
      <c r="E109" s="47">
        <v>0</v>
      </c>
      <c r="F109" s="283">
        <f>+'[1]PAIEMENTS BUDGET 2022'!R109</f>
        <v>0</v>
      </c>
      <c r="G109" s="284"/>
      <c r="H109" s="285"/>
      <c r="I109" s="283">
        <v>0</v>
      </c>
      <c r="J109" s="284"/>
      <c r="K109" s="285"/>
      <c r="L109" s="283">
        <f>+E109-F109</f>
        <v>0</v>
      </c>
      <c r="M109" s="284"/>
      <c r="N109" s="285"/>
      <c r="O109" s="283">
        <f>+F109-I109</f>
        <v>0</v>
      </c>
      <c r="P109" s="284"/>
      <c r="Q109" s="285"/>
      <c r="R109" s="26"/>
    </row>
    <row r="110" spans="3:21" s="14" customFormat="1" ht="24" hidden="1" customHeight="1" thickBot="1">
      <c r="C110" s="15">
        <v>20</v>
      </c>
      <c r="D110" s="16" t="s">
        <v>100</v>
      </c>
      <c r="E110" s="17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S110" s="7"/>
      <c r="T110" s="7"/>
      <c r="U110" s="7"/>
    </row>
    <row r="111" spans="3:21" ht="24" hidden="1" customHeight="1" thickBot="1">
      <c r="C111" s="27">
        <v>2327</v>
      </c>
      <c r="D111" s="28" t="s">
        <v>101</v>
      </c>
      <c r="E111" s="47">
        <v>0</v>
      </c>
      <c r="F111" s="283">
        <f>+'[1]PAIEMENTS BUDGET 2022'!R111</f>
        <v>0</v>
      </c>
      <c r="G111" s="284"/>
      <c r="H111" s="285"/>
      <c r="I111" s="283">
        <v>0</v>
      </c>
      <c r="J111" s="284"/>
      <c r="K111" s="285"/>
      <c r="L111" s="283">
        <f>+E111-F111</f>
        <v>0</v>
      </c>
      <c r="M111" s="284"/>
      <c r="N111" s="285"/>
      <c r="O111" s="283">
        <f>+F111-I111</f>
        <v>0</v>
      </c>
      <c r="P111" s="284"/>
      <c r="Q111" s="285"/>
      <c r="R111" s="26"/>
    </row>
    <row r="112" spans="3:21" ht="24" hidden="1" customHeight="1" thickBot="1">
      <c r="C112" s="23">
        <v>2327</v>
      </c>
      <c r="D112" s="64" t="s">
        <v>101</v>
      </c>
      <c r="E112" s="47">
        <f>+'[1]PAIEMENTS BUDGET 2022'!E112</f>
        <v>0</v>
      </c>
      <c r="F112" s="289">
        <f>+'[1]PAIEMENTS BUDGET 2022'!R112</f>
        <v>0</v>
      </c>
      <c r="G112" s="290"/>
      <c r="H112" s="291"/>
      <c r="I112" s="283">
        <f>+F112</f>
        <v>0</v>
      </c>
      <c r="J112" s="284"/>
      <c r="K112" s="285"/>
      <c r="L112" s="283">
        <f>+E112-F112</f>
        <v>0</v>
      </c>
      <c r="M112" s="284"/>
      <c r="N112" s="285"/>
      <c r="O112" s="283">
        <f>+F112-I112</f>
        <v>0</v>
      </c>
      <c r="P112" s="284"/>
      <c r="Q112" s="285"/>
      <c r="R112" s="26"/>
    </row>
    <row r="113" spans="3:21" s="14" customFormat="1" ht="27" hidden="1" customHeight="1" thickBot="1">
      <c r="C113" s="15">
        <v>30</v>
      </c>
      <c r="D113" s="16" t="s">
        <v>102</v>
      </c>
      <c r="E113" s="17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S113" s="7"/>
      <c r="T113" s="7"/>
      <c r="U113" s="7"/>
    </row>
    <row r="114" spans="3:21" ht="27.75" customHeight="1" thickBot="1">
      <c r="C114" s="27">
        <v>23402</v>
      </c>
      <c r="D114" s="28" t="s">
        <v>103</v>
      </c>
      <c r="E114" s="47">
        <v>440000</v>
      </c>
      <c r="F114" s="283">
        <v>437670</v>
      </c>
      <c r="G114" s="284"/>
      <c r="H114" s="285"/>
      <c r="I114" s="283">
        <v>0</v>
      </c>
      <c r="J114" s="284"/>
      <c r="K114" s="285"/>
      <c r="L114" s="283">
        <f>+E114-F114</f>
        <v>2330</v>
      </c>
      <c r="M114" s="284"/>
      <c r="N114" s="285"/>
      <c r="O114" s="283">
        <f>+F114-I114</f>
        <v>437670</v>
      </c>
      <c r="P114" s="284"/>
      <c r="Q114" s="285"/>
      <c r="R114" s="26"/>
    </row>
    <row r="115" spans="3:21" s="14" customFormat="1" ht="27" customHeight="1" thickBot="1">
      <c r="C115" s="15">
        <v>40</v>
      </c>
      <c r="D115" s="16" t="s">
        <v>104</v>
      </c>
      <c r="E115" s="17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S115" s="7"/>
      <c r="T115" s="7"/>
      <c r="U115" s="7"/>
    </row>
    <row r="116" spans="3:21" ht="24" customHeight="1" thickBot="1">
      <c r="C116" s="27">
        <v>2351</v>
      </c>
      <c r="D116" s="28" t="s">
        <v>105</v>
      </c>
      <c r="E116" s="47">
        <f>+'[1]PAIEMENTS BUDGET 2022'!E116</f>
        <v>150000</v>
      </c>
      <c r="F116" s="283">
        <v>150000</v>
      </c>
      <c r="G116" s="284"/>
      <c r="H116" s="285"/>
      <c r="I116" s="283"/>
      <c r="J116" s="284"/>
      <c r="K116" s="285"/>
      <c r="L116" s="283">
        <f>+E116-F116</f>
        <v>0</v>
      </c>
      <c r="M116" s="284"/>
      <c r="N116" s="285"/>
      <c r="O116" s="283">
        <f>+F116-I116</f>
        <v>150000</v>
      </c>
      <c r="P116" s="284"/>
      <c r="Q116" s="285"/>
      <c r="R116" s="26"/>
    </row>
    <row r="117" spans="3:21" s="14" customFormat="1" ht="24" customHeight="1" thickBot="1">
      <c r="C117" s="65"/>
      <c r="D117" s="66"/>
      <c r="E117" s="67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S117" s="7"/>
      <c r="T117" s="7"/>
      <c r="U117" s="7"/>
    </row>
    <row r="118" spans="3:21" s="39" customFormat="1" ht="24" customHeight="1" thickBot="1">
      <c r="C118" s="69"/>
      <c r="D118" s="49" t="s">
        <v>28</v>
      </c>
      <c r="E118" s="70">
        <f>SUM(E109:E116)</f>
        <v>590000</v>
      </c>
      <c r="F118" s="286">
        <f>SUM(F109:F116)</f>
        <v>587670</v>
      </c>
      <c r="G118" s="287">
        <f t="shared" ref="G118:Q118" si="15">SUM(G109:G116)</f>
        <v>0</v>
      </c>
      <c r="H118" s="288">
        <f t="shared" si="15"/>
        <v>0</v>
      </c>
      <c r="I118" s="286">
        <f t="shared" si="15"/>
        <v>0</v>
      </c>
      <c r="J118" s="287">
        <f t="shared" si="15"/>
        <v>0</v>
      </c>
      <c r="K118" s="288">
        <f t="shared" si="15"/>
        <v>0</v>
      </c>
      <c r="L118" s="286">
        <f t="shared" si="15"/>
        <v>2330</v>
      </c>
      <c r="M118" s="287">
        <f t="shared" si="15"/>
        <v>0</v>
      </c>
      <c r="N118" s="288">
        <f t="shared" si="15"/>
        <v>0</v>
      </c>
      <c r="O118" s="286">
        <f t="shared" si="15"/>
        <v>587670</v>
      </c>
      <c r="P118" s="287">
        <f t="shared" si="15"/>
        <v>0</v>
      </c>
      <c r="Q118" s="288">
        <f t="shared" si="15"/>
        <v>0</v>
      </c>
      <c r="R118" s="37"/>
      <c r="S118" s="38"/>
      <c r="T118" s="38"/>
      <c r="U118" s="38"/>
    </row>
    <row r="119" spans="3:21" s="14" customFormat="1" ht="24" customHeight="1" thickBot="1">
      <c r="C119" s="71">
        <v>20</v>
      </c>
      <c r="D119" s="72" t="s">
        <v>106</v>
      </c>
      <c r="E119" s="73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S119" s="7"/>
      <c r="T119" s="7"/>
      <c r="U119" s="7"/>
    </row>
    <row r="120" spans="3:21" s="14" customFormat="1" ht="24" customHeight="1" thickBot="1">
      <c r="C120" s="15">
        <v>10</v>
      </c>
      <c r="D120" s="16" t="s">
        <v>107</v>
      </c>
      <c r="E120" s="17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S120" s="7"/>
      <c r="T120" s="7"/>
      <c r="U120" s="7"/>
    </row>
    <row r="121" spans="3:21" ht="24" customHeight="1" thickBot="1">
      <c r="C121" s="27">
        <v>22201</v>
      </c>
      <c r="D121" s="28" t="s">
        <v>108</v>
      </c>
      <c r="E121" s="47">
        <f>+'[1]PAIEMENTS BUDGET 2022'!E121</f>
        <v>190000</v>
      </c>
      <c r="F121" s="283">
        <v>186700</v>
      </c>
      <c r="G121" s="284"/>
      <c r="H121" s="285"/>
      <c r="I121" s="283">
        <v>0</v>
      </c>
      <c r="J121" s="284"/>
      <c r="K121" s="285"/>
      <c r="L121" s="283">
        <f>+E121-F121</f>
        <v>3300</v>
      </c>
      <c r="M121" s="284"/>
      <c r="N121" s="285"/>
      <c r="O121" s="283">
        <f>+F121-I121</f>
        <v>186700</v>
      </c>
      <c r="P121" s="284"/>
      <c r="Q121" s="285"/>
      <c r="R121" s="26"/>
    </row>
    <row r="122" spans="3:21" s="14" customFormat="1" ht="24" customHeight="1" thickBot="1">
      <c r="C122" s="15">
        <v>20</v>
      </c>
      <c r="D122" s="16" t="s">
        <v>109</v>
      </c>
      <c r="E122" s="17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S122" s="7"/>
      <c r="T122" s="7"/>
      <c r="U122" s="7"/>
    </row>
    <row r="123" spans="3:21" ht="24" customHeight="1" thickBot="1">
      <c r="C123" s="27">
        <v>2331</v>
      </c>
      <c r="D123" s="28" t="s">
        <v>110</v>
      </c>
      <c r="E123" s="25">
        <f>+'[1]PAIEMENTS BUDGET 2022'!E123</f>
        <v>100000</v>
      </c>
      <c r="F123" s="283">
        <v>99600</v>
      </c>
      <c r="G123" s="284"/>
      <c r="H123" s="285"/>
      <c r="I123" s="283">
        <v>0</v>
      </c>
      <c r="J123" s="284"/>
      <c r="K123" s="285"/>
      <c r="L123" s="283">
        <f>+E123-F123</f>
        <v>400</v>
      </c>
      <c r="M123" s="284"/>
      <c r="N123" s="285"/>
      <c r="O123" s="283">
        <f>+F123-I123</f>
        <v>99600</v>
      </c>
      <c r="P123" s="284"/>
      <c r="Q123" s="285"/>
      <c r="R123" s="26"/>
    </row>
    <row r="124" spans="3:21" s="14" customFormat="1" ht="26.25" customHeight="1" thickBot="1">
      <c r="C124" s="27">
        <v>2355</v>
      </c>
      <c r="D124" s="28" t="s">
        <v>111</v>
      </c>
      <c r="E124" s="25">
        <f>+'[1]PAIEMENTS BUDGET 2022'!E124</f>
        <v>250000</v>
      </c>
      <c r="F124" s="283">
        <v>248000</v>
      </c>
      <c r="G124" s="284"/>
      <c r="H124" s="285"/>
      <c r="I124" s="283"/>
      <c r="J124" s="284"/>
      <c r="K124" s="285"/>
      <c r="L124" s="283">
        <f>+E124-F124</f>
        <v>2000</v>
      </c>
      <c r="M124" s="284"/>
      <c r="N124" s="285"/>
      <c r="O124" s="283">
        <f>+F124-I124</f>
        <v>248000</v>
      </c>
      <c r="P124" s="284"/>
      <c r="Q124" s="285"/>
      <c r="S124" s="7"/>
      <c r="T124" s="7"/>
      <c r="U124" s="7"/>
    </row>
    <row r="125" spans="3:21" s="14" customFormat="1" hidden="1" thickBot="1">
      <c r="C125" s="27">
        <v>2332</v>
      </c>
      <c r="D125" s="28" t="s">
        <v>112</v>
      </c>
      <c r="E125" s="25">
        <f>+'[1]PAIEMENTS BUDGET 2022'!E125</f>
        <v>0</v>
      </c>
      <c r="F125" s="283"/>
      <c r="G125" s="284"/>
      <c r="H125" s="285"/>
      <c r="I125" s="283"/>
      <c r="J125" s="284"/>
      <c r="K125" s="285"/>
      <c r="L125" s="283">
        <f>+E125-F125</f>
        <v>0</v>
      </c>
      <c r="M125" s="284"/>
      <c r="N125" s="285"/>
      <c r="O125" s="283">
        <f>+F125-I125</f>
        <v>0</v>
      </c>
      <c r="P125" s="284"/>
      <c r="Q125" s="285"/>
      <c r="S125" s="7"/>
      <c r="T125" s="7"/>
      <c r="U125" s="7"/>
    </row>
    <row r="126" spans="3:21" s="39" customFormat="1" ht="24" customHeight="1" thickBot="1">
      <c r="C126" s="48"/>
      <c r="D126" s="49" t="s">
        <v>82</v>
      </c>
      <c r="E126" s="52">
        <f>SUM(E121:E125)</f>
        <v>540000</v>
      </c>
      <c r="F126" s="273">
        <f>SUM(F121:F125)</f>
        <v>534300</v>
      </c>
      <c r="G126" s="274"/>
      <c r="H126" s="275"/>
      <c r="I126" s="273">
        <f>SUM(I121:I125)</f>
        <v>0</v>
      </c>
      <c r="J126" s="274"/>
      <c r="K126" s="276"/>
      <c r="L126" s="277">
        <f t="shared" ref="L126:Q126" si="16">SUM(L121:L125)</f>
        <v>5700</v>
      </c>
      <c r="M126" s="278">
        <f t="shared" si="16"/>
        <v>0</v>
      </c>
      <c r="N126" s="279">
        <f t="shared" si="16"/>
        <v>0</v>
      </c>
      <c r="O126" s="277">
        <f t="shared" si="16"/>
        <v>534300</v>
      </c>
      <c r="P126" s="278">
        <f t="shared" si="16"/>
        <v>0</v>
      </c>
      <c r="Q126" s="279">
        <f t="shared" si="16"/>
        <v>0</v>
      </c>
      <c r="R126" s="37"/>
      <c r="S126" s="38"/>
      <c r="T126" s="38"/>
      <c r="U126" s="38"/>
    </row>
    <row r="127" spans="3:21" s="39" customFormat="1" ht="24" customHeight="1" thickBot="1">
      <c r="C127" s="40"/>
      <c r="D127" s="41" t="s">
        <v>83</v>
      </c>
      <c r="E127" s="53">
        <f>+E126+E118</f>
        <v>1130000</v>
      </c>
      <c r="F127" s="280">
        <f>+F126+F118</f>
        <v>1121970</v>
      </c>
      <c r="G127" s="281">
        <f t="shared" ref="G127:Q127" si="17">+G126+G118</f>
        <v>0</v>
      </c>
      <c r="H127" s="282">
        <f t="shared" si="17"/>
        <v>0</v>
      </c>
      <c r="I127" s="280">
        <f t="shared" si="17"/>
        <v>0</v>
      </c>
      <c r="J127" s="281">
        <f t="shared" si="17"/>
        <v>0</v>
      </c>
      <c r="K127" s="282">
        <f t="shared" si="17"/>
        <v>0</v>
      </c>
      <c r="L127" s="280">
        <f t="shared" si="17"/>
        <v>8030</v>
      </c>
      <c r="M127" s="281">
        <f t="shared" si="17"/>
        <v>0</v>
      </c>
      <c r="N127" s="282">
        <f t="shared" si="17"/>
        <v>0</v>
      </c>
      <c r="O127" s="280">
        <f t="shared" si="17"/>
        <v>1121970</v>
      </c>
      <c r="P127" s="281">
        <f t="shared" si="17"/>
        <v>0</v>
      </c>
      <c r="Q127" s="282">
        <f t="shared" si="17"/>
        <v>0</v>
      </c>
      <c r="R127" s="37"/>
      <c r="S127" s="38"/>
      <c r="T127" s="38"/>
      <c r="U127" s="38"/>
    </row>
    <row r="128" spans="3:21" s="39" customFormat="1" ht="39.75" customHeight="1" thickBot="1">
      <c r="C128" s="75"/>
      <c r="D128" s="43" t="s">
        <v>113</v>
      </c>
      <c r="E128" s="54">
        <f>+E127+E105</f>
        <v>2940000</v>
      </c>
      <c r="F128" s="265">
        <f>+F105+F127</f>
        <v>2913370</v>
      </c>
      <c r="G128" s="266"/>
      <c r="H128" s="267"/>
      <c r="I128" s="265">
        <f t="shared" ref="I128:Q128" si="18">+I105+I127</f>
        <v>0</v>
      </c>
      <c r="J128" s="266">
        <f t="shared" si="18"/>
        <v>0</v>
      </c>
      <c r="K128" s="267">
        <f t="shared" si="18"/>
        <v>0</v>
      </c>
      <c r="L128" s="265">
        <f t="shared" si="18"/>
        <v>26630</v>
      </c>
      <c r="M128" s="266">
        <f t="shared" si="18"/>
        <v>0</v>
      </c>
      <c r="N128" s="267">
        <f t="shared" si="18"/>
        <v>0</v>
      </c>
      <c r="O128" s="265">
        <f t="shared" si="18"/>
        <v>2913370</v>
      </c>
      <c r="P128" s="266">
        <f t="shared" si="18"/>
        <v>0</v>
      </c>
      <c r="Q128" s="267">
        <f t="shared" si="18"/>
        <v>0</v>
      </c>
      <c r="R128" s="37"/>
      <c r="S128" s="38"/>
      <c r="T128" s="38"/>
      <c r="U128" s="38"/>
    </row>
    <row r="129" spans="3:21" s="39" customFormat="1" ht="49.5" customHeight="1" thickBot="1">
      <c r="C129" s="268" t="s">
        <v>114</v>
      </c>
      <c r="D129" s="269"/>
      <c r="E129" s="55">
        <f>+E128</f>
        <v>2940000</v>
      </c>
      <c r="F129" s="270">
        <f>+F128</f>
        <v>2913370</v>
      </c>
      <c r="G129" s="271">
        <f t="shared" ref="G129:Q129" si="19">+G128</f>
        <v>0</v>
      </c>
      <c r="H129" s="272">
        <f t="shared" si="19"/>
        <v>0</v>
      </c>
      <c r="I129" s="270">
        <f t="shared" si="19"/>
        <v>0</v>
      </c>
      <c r="J129" s="271">
        <f t="shared" si="19"/>
        <v>0</v>
      </c>
      <c r="K129" s="272">
        <f t="shared" si="19"/>
        <v>0</v>
      </c>
      <c r="L129" s="270">
        <f t="shared" si="19"/>
        <v>26630</v>
      </c>
      <c r="M129" s="271">
        <f t="shared" si="19"/>
        <v>0</v>
      </c>
      <c r="N129" s="272">
        <f t="shared" si="19"/>
        <v>0</v>
      </c>
      <c r="O129" s="270">
        <f t="shared" si="19"/>
        <v>2913370</v>
      </c>
      <c r="P129" s="271">
        <f t="shared" si="19"/>
        <v>0</v>
      </c>
      <c r="Q129" s="272">
        <f t="shared" si="19"/>
        <v>0</v>
      </c>
      <c r="R129" s="37"/>
      <c r="S129" s="38"/>
      <c r="T129" s="38"/>
      <c r="U129" s="38"/>
    </row>
    <row r="130" spans="3:21" s="83" customFormat="1" ht="9.75" customHeight="1" thickBot="1">
      <c r="C130" s="76"/>
      <c r="D130" s="77"/>
      <c r="E130" s="78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80"/>
      <c r="Q130" s="79"/>
      <c r="R130" s="81"/>
      <c r="S130" s="82"/>
      <c r="T130" s="82"/>
      <c r="U130" s="82"/>
    </row>
    <row r="131" spans="3:21" s="86" customFormat="1" ht="58.5" customHeight="1" thickBot="1">
      <c r="C131" s="260" t="s">
        <v>115</v>
      </c>
      <c r="D131" s="261"/>
      <c r="E131" s="84">
        <f>+E85+E129</f>
        <v>20406550</v>
      </c>
      <c r="F131" s="262">
        <f t="shared" ref="F131:Q131" si="20">+F85+F129</f>
        <v>19473183.039999999</v>
      </c>
      <c r="G131" s="263"/>
      <c r="H131" s="264"/>
      <c r="I131" s="262">
        <f t="shared" si="20"/>
        <v>15786763.749999998</v>
      </c>
      <c r="J131" s="263">
        <f t="shared" si="20"/>
        <v>0</v>
      </c>
      <c r="K131" s="264">
        <f t="shared" si="20"/>
        <v>0</v>
      </c>
      <c r="L131" s="262">
        <f t="shared" si="20"/>
        <v>933366.96000000031</v>
      </c>
      <c r="M131" s="263">
        <f t="shared" si="20"/>
        <v>0</v>
      </c>
      <c r="N131" s="264">
        <f t="shared" si="20"/>
        <v>0</v>
      </c>
      <c r="O131" s="262">
        <f t="shared" si="20"/>
        <v>3686419.29</v>
      </c>
      <c r="P131" s="263">
        <f t="shared" si="20"/>
        <v>0</v>
      </c>
      <c r="Q131" s="264">
        <f t="shared" si="20"/>
        <v>0</v>
      </c>
      <c r="R131" s="85"/>
      <c r="S131" s="38"/>
      <c r="T131" s="38"/>
      <c r="U131" s="38"/>
    </row>
    <row r="132" spans="3:21" s="90" customFormat="1" ht="8.25" customHeight="1">
      <c r="C132" s="38"/>
      <c r="D132" s="87"/>
      <c r="E132" s="3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9"/>
      <c r="Q132" s="88"/>
      <c r="S132" s="7"/>
      <c r="T132" s="7"/>
      <c r="U132" s="7"/>
    </row>
    <row r="133" spans="3:21"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2"/>
      <c r="Q133" s="91"/>
    </row>
    <row r="134" spans="3:21" s="99" customFormat="1" ht="30" customHeight="1">
      <c r="C134" s="93"/>
      <c r="D134" s="94"/>
      <c r="E134" s="95"/>
      <c r="F134" s="96"/>
      <c r="G134" s="97"/>
      <c r="H134" s="96"/>
      <c r="I134" s="96"/>
      <c r="J134" s="96"/>
      <c r="K134" s="98"/>
      <c r="L134" s="98"/>
      <c r="M134" s="98"/>
      <c r="N134" s="98"/>
      <c r="O134" s="98"/>
      <c r="P134" s="98"/>
      <c r="Q134" s="98"/>
      <c r="S134" s="100"/>
      <c r="T134" s="100"/>
      <c r="U134" s="100"/>
    </row>
    <row r="135" spans="3:21">
      <c r="F135" s="91"/>
      <c r="G135" s="101"/>
      <c r="H135" s="91"/>
      <c r="I135" s="91"/>
      <c r="J135" s="91"/>
      <c r="K135" s="101"/>
      <c r="L135" s="101"/>
      <c r="M135" s="101"/>
      <c r="N135" s="101"/>
      <c r="O135" s="101"/>
      <c r="P135" s="102"/>
      <c r="Q135" s="91"/>
    </row>
    <row r="136" spans="3:21">
      <c r="G136" s="103"/>
    </row>
    <row r="137" spans="3:21">
      <c r="G137" s="103"/>
    </row>
  </sheetData>
  <sheetProtection selectLockedCells="1" selectUnlockedCells="1"/>
  <mergeCells count="353">
    <mergeCell ref="C6:D6"/>
    <mergeCell ref="C7:Q7"/>
    <mergeCell ref="F11:H11"/>
    <mergeCell ref="I11:K11"/>
    <mergeCell ref="L11:N11"/>
    <mergeCell ref="O11:Q11"/>
    <mergeCell ref="O2:Q2"/>
    <mergeCell ref="C4:C5"/>
    <mergeCell ref="D4:D5"/>
    <mergeCell ref="E4:E5"/>
    <mergeCell ref="F4:H5"/>
    <mergeCell ref="I4:K5"/>
    <mergeCell ref="L4:N5"/>
    <mergeCell ref="O4:Q5"/>
    <mergeCell ref="F15:H15"/>
    <mergeCell ref="I15:K15"/>
    <mergeCell ref="L15:N15"/>
    <mergeCell ref="O15:Q15"/>
    <mergeCell ref="F16:H16"/>
    <mergeCell ref="I16:K16"/>
    <mergeCell ref="L16:N16"/>
    <mergeCell ref="O16:Q16"/>
    <mergeCell ref="F12:H12"/>
    <mergeCell ref="I12:K12"/>
    <mergeCell ref="L12:N12"/>
    <mergeCell ref="O12:Q12"/>
    <mergeCell ref="F13:H13"/>
    <mergeCell ref="I13:K13"/>
    <mergeCell ref="L13:N13"/>
    <mergeCell ref="O13:Q13"/>
    <mergeCell ref="F19:H19"/>
    <mergeCell ref="I19:K19"/>
    <mergeCell ref="L19:N19"/>
    <mergeCell ref="O19:Q19"/>
    <mergeCell ref="F21:H21"/>
    <mergeCell ref="I21:K21"/>
    <mergeCell ref="L21:N21"/>
    <mergeCell ref="O21:Q21"/>
    <mergeCell ref="F17:H17"/>
    <mergeCell ref="I17:K17"/>
    <mergeCell ref="L17:N17"/>
    <mergeCell ref="O17:Q17"/>
    <mergeCell ref="F18:H18"/>
    <mergeCell ref="I18:K18"/>
    <mergeCell ref="L18:N18"/>
    <mergeCell ref="O18:Q18"/>
    <mergeCell ref="F24:H24"/>
    <mergeCell ref="I24:K24"/>
    <mergeCell ref="L24:N24"/>
    <mergeCell ref="O24:Q24"/>
    <mergeCell ref="F25:H25"/>
    <mergeCell ref="I25:K25"/>
    <mergeCell ref="L25:N25"/>
    <mergeCell ref="O25:Q25"/>
    <mergeCell ref="F22:H22"/>
    <mergeCell ref="I22:K22"/>
    <mergeCell ref="L22:N22"/>
    <mergeCell ref="O22:Q22"/>
    <mergeCell ref="F23:H23"/>
    <mergeCell ref="I23:K23"/>
    <mergeCell ref="L23:N23"/>
    <mergeCell ref="O23:Q23"/>
    <mergeCell ref="C28:D28"/>
    <mergeCell ref="F28:H28"/>
    <mergeCell ref="I28:K28"/>
    <mergeCell ref="L28:N28"/>
    <mergeCell ref="O28:Q28"/>
    <mergeCell ref="C29:Q29"/>
    <mergeCell ref="F26:H26"/>
    <mergeCell ref="I26:K26"/>
    <mergeCell ref="L26:N26"/>
    <mergeCell ref="O26:Q26"/>
    <mergeCell ref="F27:H27"/>
    <mergeCell ref="I27:K27"/>
    <mergeCell ref="L27:N27"/>
    <mergeCell ref="O27:Q27"/>
    <mergeCell ref="F35:H35"/>
    <mergeCell ref="I35:K35"/>
    <mergeCell ref="L35:N35"/>
    <mergeCell ref="O35:Q35"/>
    <mergeCell ref="F36:H36"/>
    <mergeCell ref="I36:K36"/>
    <mergeCell ref="L36:N36"/>
    <mergeCell ref="O36:Q36"/>
    <mergeCell ref="F33:H33"/>
    <mergeCell ref="I33:K33"/>
    <mergeCell ref="L33:N33"/>
    <mergeCell ref="O33:Q33"/>
    <mergeCell ref="F34:H34"/>
    <mergeCell ref="I34:K34"/>
    <mergeCell ref="L34:N34"/>
    <mergeCell ref="O34:Q34"/>
    <mergeCell ref="F39:H39"/>
    <mergeCell ref="I39:K39"/>
    <mergeCell ref="L39:N39"/>
    <mergeCell ref="O39:Q39"/>
    <mergeCell ref="F41:H41"/>
    <mergeCell ref="I41:K41"/>
    <mergeCell ref="L41:N41"/>
    <mergeCell ref="O41:Q41"/>
    <mergeCell ref="F37:H37"/>
    <mergeCell ref="I37:K37"/>
    <mergeCell ref="L37:N37"/>
    <mergeCell ref="O37:Q37"/>
    <mergeCell ref="F38:H38"/>
    <mergeCell ref="I38:K38"/>
    <mergeCell ref="L38:N38"/>
    <mergeCell ref="O38:Q38"/>
    <mergeCell ref="F44:H44"/>
    <mergeCell ref="I44:K44"/>
    <mergeCell ref="L44:N44"/>
    <mergeCell ref="O44:Q44"/>
    <mergeCell ref="F45:H45"/>
    <mergeCell ref="I45:K45"/>
    <mergeCell ref="L45:N45"/>
    <mergeCell ref="O45:Q45"/>
    <mergeCell ref="F42:H42"/>
    <mergeCell ref="I42:K42"/>
    <mergeCell ref="L42:N42"/>
    <mergeCell ref="O42:Q42"/>
    <mergeCell ref="F43:H43"/>
    <mergeCell ref="I43:K43"/>
    <mergeCell ref="L43:N43"/>
    <mergeCell ref="O43:Q43"/>
    <mergeCell ref="F50:H50"/>
    <mergeCell ref="I50:K50"/>
    <mergeCell ref="L50:N50"/>
    <mergeCell ref="O50:Q50"/>
    <mergeCell ref="F51:H51"/>
    <mergeCell ref="I51:K51"/>
    <mergeCell ref="L51:N51"/>
    <mergeCell ref="O51:Q51"/>
    <mergeCell ref="F46:H46"/>
    <mergeCell ref="I46:K46"/>
    <mergeCell ref="L46:N46"/>
    <mergeCell ref="O46:Q46"/>
    <mergeCell ref="F48:H48"/>
    <mergeCell ref="I48:K48"/>
    <mergeCell ref="L48:N48"/>
    <mergeCell ref="O48:Q48"/>
    <mergeCell ref="F54:H54"/>
    <mergeCell ref="I54:K54"/>
    <mergeCell ref="L54:N54"/>
    <mergeCell ref="O54:Q54"/>
    <mergeCell ref="F56:H56"/>
    <mergeCell ref="I56:K56"/>
    <mergeCell ref="L56:N56"/>
    <mergeCell ref="O56:Q56"/>
    <mergeCell ref="F52:H52"/>
    <mergeCell ref="I52:K52"/>
    <mergeCell ref="L52:N52"/>
    <mergeCell ref="O52:Q52"/>
    <mergeCell ref="F53:H53"/>
    <mergeCell ref="I53:K53"/>
    <mergeCell ref="L53:N53"/>
    <mergeCell ref="O53:Q53"/>
    <mergeCell ref="F60:H60"/>
    <mergeCell ref="I60:K60"/>
    <mergeCell ref="L60:N60"/>
    <mergeCell ref="O60:Q60"/>
    <mergeCell ref="F62:H62"/>
    <mergeCell ref="I62:K62"/>
    <mergeCell ref="L62:N62"/>
    <mergeCell ref="O62:Q62"/>
    <mergeCell ref="F57:H57"/>
    <mergeCell ref="I57:K57"/>
    <mergeCell ref="L57:N57"/>
    <mergeCell ref="O57:Q57"/>
    <mergeCell ref="F59:H59"/>
    <mergeCell ref="I59:K59"/>
    <mergeCell ref="L59:N59"/>
    <mergeCell ref="O59:Q59"/>
    <mergeCell ref="F65:H65"/>
    <mergeCell ref="I65:K65"/>
    <mergeCell ref="L65:N65"/>
    <mergeCell ref="O65:Q65"/>
    <mergeCell ref="F66:H66"/>
    <mergeCell ref="I66:K66"/>
    <mergeCell ref="L66:N66"/>
    <mergeCell ref="O66:Q66"/>
    <mergeCell ref="F63:H63"/>
    <mergeCell ref="I63:K63"/>
    <mergeCell ref="L63:N63"/>
    <mergeCell ref="O63:Q63"/>
    <mergeCell ref="F64:H64"/>
    <mergeCell ref="I64:K64"/>
    <mergeCell ref="L64:N64"/>
    <mergeCell ref="O64:Q64"/>
    <mergeCell ref="F70:H70"/>
    <mergeCell ref="I70:K70"/>
    <mergeCell ref="L70:N70"/>
    <mergeCell ref="O70:Q70"/>
    <mergeCell ref="F72:H72"/>
    <mergeCell ref="I72:K72"/>
    <mergeCell ref="L72:N72"/>
    <mergeCell ref="O72:Q72"/>
    <mergeCell ref="F67:H67"/>
    <mergeCell ref="I67:K67"/>
    <mergeCell ref="L67:N67"/>
    <mergeCell ref="O67:Q67"/>
    <mergeCell ref="F69:H69"/>
    <mergeCell ref="I69:K69"/>
    <mergeCell ref="L69:N69"/>
    <mergeCell ref="O69:Q69"/>
    <mergeCell ref="F77:H77"/>
    <mergeCell ref="I77:K77"/>
    <mergeCell ref="L77:N77"/>
    <mergeCell ref="O77:Q77"/>
    <mergeCell ref="F78:H78"/>
    <mergeCell ref="I78:K78"/>
    <mergeCell ref="L78:N78"/>
    <mergeCell ref="O78:Q78"/>
    <mergeCell ref="F73:H73"/>
    <mergeCell ref="I73:K73"/>
    <mergeCell ref="L73:N73"/>
    <mergeCell ref="O73:Q73"/>
    <mergeCell ref="F74:H74"/>
    <mergeCell ref="I74:K74"/>
    <mergeCell ref="L74:N74"/>
    <mergeCell ref="O74:Q74"/>
    <mergeCell ref="F81:H81"/>
    <mergeCell ref="I81:K81"/>
    <mergeCell ref="L81:N81"/>
    <mergeCell ref="O81:Q81"/>
    <mergeCell ref="F82:H82"/>
    <mergeCell ref="I82:K82"/>
    <mergeCell ref="L82:N82"/>
    <mergeCell ref="O82:Q82"/>
    <mergeCell ref="F79:H79"/>
    <mergeCell ref="I79:K79"/>
    <mergeCell ref="L79:N79"/>
    <mergeCell ref="O79:Q79"/>
    <mergeCell ref="F80:H80"/>
    <mergeCell ref="I80:K80"/>
    <mergeCell ref="L80:N80"/>
    <mergeCell ref="O80:Q80"/>
    <mergeCell ref="F83:H83"/>
    <mergeCell ref="I83:K83"/>
    <mergeCell ref="L83:N83"/>
    <mergeCell ref="O83:Q83"/>
    <mergeCell ref="C84:D84"/>
    <mergeCell ref="F84:H84"/>
    <mergeCell ref="I84:K84"/>
    <mergeCell ref="L84:N84"/>
    <mergeCell ref="O84:Q84"/>
    <mergeCell ref="F92:H92"/>
    <mergeCell ref="I92:K92"/>
    <mergeCell ref="L92:N92"/>
    <mergeCell ref="O92:Q92"/>
    <mergeCell ref="F93:H93"/>
    <mergeCell ref="I93:K93"/>
    <mergeCell ref="L93:N93"/>
    <mergeCell ref="O93:Q93"/>
    <mergeCell ref="C85:D85"/>
    <mergeCell ref="F85:H85"/>
    <mergeCell ref="I85:K85"/>
    <mergeCell ref="L85:N85"/>
    <mergeCell ref="O85:Q85"/>
    <mergeCell ref="C88:D88"/>
    <mergeCell ref="F96:H96"/>
    <mergeCell ref="I96:K96"/>
    <mergeCell ref="L96:N96"/>
    <mergeCell ref="O96:Q96"/>
    <mergeCell ref="F99:H99"/>
    <mergeCell ref="I99:K99"/>
    <mergeCell ref="L99:N99"/>
    <mergeCell ref="O99:Q99"/>
    <mergeCell ref="F94:H94"/>
    <mergeCell ref="I94:K94"/>
    <mergeCell ref="L94:N94"/>
    <mergeCell ref="O94:Q94"/>
    <mergeCell ref="F95:H95"/>
    <mergeCell ref="I95:K95"/>
    <mergeCell ref="L95:N95"/>
    <mergeCell ref="O95:Q95"/>
    <mergeCell ref="F104:H104"/>
    <mergeCell ref="I104:K104"/>
    <mergeCell ref="L104:N104"/>
    <mergeCell ref="O104:Q104"/>
    <mergeCell ref="F105:H105"/>
    <mergeCell ref="I105:K105"/>
    <mergeCell ref="L105:N105"/>
    <mergeCell ref="O105:Q105"/>
    <mergeCell ref="F100:H100"/>
    <mergeCell ref="I100:K100"/>
    <mergeCell ref="L100:N100"/>
    <mergeCell ref="O100:Q100"/>
    <mergeCell ref="F103:H103"/>
    <mergeCell ref="I103:K103"/>
    <mergeCell ref="L103:N103"/>
    <mergeCell ref="O103:Q103"/>
    <mergeCell ref="F112:H112"/>
    <mergeCell ref="I112:K112"/>
    <mergeCell ref="L112:N112"/>
    <mergeCell ref="O112:Q112"/>
    <mergeCell ref="F114:H114"/>
    <mergeCell ref="I114:K114"/>
    <mergeCell ref="L114:N114"/>
    <mergeCell ref="O114:Q114"/>
    <mergeCell ref="F109:H109"/>
    <mergeCell ref="I109:K109"/>
    <mergeCell ref="L109:N109"/>
    <mergeCell ref="O109:Q109"/>
    <mergeCell ref="F111:H111"/>
    <mergeCell ref="I111:K111"/>
    <mergeCell ref="L111:N111"/>
    <mergeCell ref="O111:Q111"/>
    <mergeCell ref="F121:H121"/>
    <mergeCell ref="I121:K121"/>
    <mergeCell ref="L121:N121"/>
    <mergeCell ref="O121:Q121"/>
    <mergeCell ref="F123:H123"/>
    <mergeCell ref="I123:K123"/>
    <mergeCell ref="L123:N123"/>
    <mergeCell ref="O123:Q123"/>
    <mergeCell ref="F116:H116"/>
    <mergeCell ref="I116:K116"/>
    <mergeCell ref="L116:N116"/>
    <mergeCell ref="O116:Q116"/>
    <mergeCell ref="F118:H118"/>
    <mergeCell ref="I118:K118"/>
    <mergeCell ref="L118:N118"/>
    <mergeCell ref="O118:Q118"/>
    <mergeCell ref="F126:H126"/>
    <mergeCell ref="I126:K126"/>
    <mergeCell ref="L126:N126"/>
    <mergeCell ref="O126:Q126"/>
    <mergeCell ref="F127:H127"/>
    <mergeCell ref="I127:K127"/>
    <mergeCell ref="L127:N127"/>
    <mergeCell ref="O127:Q127"/>
    <mergeCell ref="F124:H124"/>
    <mergeCell ref="I124:K124"/>
    <mergeCell ref="L124:N124"/>
    <mergeCell ref="O124:Q124"/>
    <mergeCell ref="F125:H125"/>
    <mergeCell ref="I125:K125"/>
    <mergeCell ref="L125:N125"/>
    <mergeCell ref="O125:Q125"/>
    <mergeCell ref="C131:D131"/>
    <mergeCell ref="F131:H131"/>
    <mergeCell ref="I131:K131"/>
    <mergeCell ref="L131:N131"/>
    <mergeCell ref="O131:Q131"/>
    <mergeCell ref="F128:H128"/>
    <mergeCell ref="I128:K128"/>
    <mergeCell ref="L128:N128"/>
    <mergeCell ref="O128:Q128"/>
    <mergeCell ref="C129:D129"/>
    <mergeCell ref="F129:H129"/>
    <mergeCell ref="I129:K129"/>
    <mergeCell ref="L129:N129"/>
    <mergeCell ref="O129:Q129"/>
  </mergeCells>
  <printOptions horizontalCentered="1"/>
  <pageMargins left="0" right="0" top="0" bottom="0" header="0" footer="0"/>
  <pageSetup paperSize="9" scale="51" orientation="landscape" r:id="rId1"/>
  <rowBreaks count="2" manualBreakCount="2">
    <brk id="46" min="1" max="18" man="1"/>
    <brk id="85" min="1" max="1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C1:V137"/>
  <sheetViews>
    <sheetView view="pageBreakPreview" zoomScale="70" zoomScaleNormal="110" zoomScaleSheetLayoutView="70" workbookViewId="0">
      <pane xSplit="4" ySplit="5" topLeftCell="E84" activePane="bottomRight" state="frozen"/>
      <selection activeCell="C129" sqref="C129:M129"/>
      <selection pane="topRight" activeCell="C129" sqref="C129:M129"/>
      <selection pane="bottomLeft" activeCell="C129" sqref="C129:M129"/>
      <selection pane="bottomRight" activeCell="D27" sqref="D27"/>
    </sheetView>
  </sheetViews>
  <sheetFormatPr defaultColWidth="11.42578125" defaultRowHeight="16.5"/>
  <cols>
    <col min="1" max="1" width="2.28515625" style="6" customWidth="1"/>
    <col min="2" max="2" width="1.7109375" style="6" customWidth="1"/>
    <col min="3" max="3" width="23.140625" style="1" customWidth="1"/>
    <col min="4" max="4" width="65.5703125" style="2" customWidth="1"/>
    <col min="5" max="5" width="24.140625" style="3" customWidth="1"/>
    <col min="6" max="6" width="14" style="4" customWidth="1"/>
    <col min="7" max="7" width="12.140625" style="4" customWidth="1"/>
    <col min="8" max="8" width="3.7109375" style="4" customWidth="1"/>
    <col min="9" max="9" width="13.28515625" style="4" customWidth="1"/>
    <col min="10" max="10" width="14.28515625" style="4" customWidth="1"/>
    <col min="11" max="11" width="5.85546875" style="4" customWidth="1"/>
    <col min="12" max="12" width="14.42578125" style="4" customWidth="1"/>
    <col min="13" max="13" width="13.140625" style="4" customWidth="1"/>
    <col min="14" max="14" width="5.28515625" style="4" customWidth="1"/>
    <col min="15" max="15" width="13.7109375" style="4" customWidth="1"/>
    <col min="16" max="16" width="12.42578125" style="5" customWidth="1"/>
    <col min="17" max="17" width="13.7109375" style="4" customWidth="1"/>
    <col min="18" max="18" width="1.85546875" style="6" customWidth="1"/>
    <col min="19" max="19" width="12.7109375" style="104" bestFit="1" customWidth="1"/>
    <col min="20" max="22" width="11.42578125" style="7"/>
    <col min="23" max="16384" width="11.42578125" style="6"/>
  </cols>
  <sheetData>
    <row r="1" spans="3:22" ht="17.25" thickBot="1"/>
    <row r="2" spans="3:22" ht="30" customHeight="1" thickBot="1"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311" t="s">
        <v>116</v>
      </c>
      <c r="P2" s="312"/>
      <c r="Q2" s="313"/>
    </row>
    <row r="3" spans="3:22" ht="17.25" thickBot="1"/>
    <row r="4" spans="3:22" s="9" customFormat="1" ht="24" customHeight="1">
      <c r="C4" s="314" t="s">
        <v>1</v>
      </c>
      <c r="D4" s="316" t="s">
        <v>2</v>
      </c>
      <c r="E4" s="316" t="s">
        <v>3</v>
      </c>
      <c r="F4" s="318" t="s">
        <v>4</v>
      </c>
      <c r="G4" s="319"/>
      <c r="H4" s="320"/>
      <c r="I4" s="324" t="s">
        <v>5</v>
      </c>
      <c r="J4" s="325"/>
      <c r="K4" s="326"/>
      <c r="L4" s="324" t="s">
        <v>6</v>
      </c>
      <c r="M4" s="325"/>
      <c r="N4" s="326"/>
      <c r="O4" s="324" t="s">
        <v>7</v>
      </c>
      <c r="P4" s="325"/>
      <c r="Q4" s="326"/>
      <c r="S4" s="105"/>
      <c r="T4" s="10"/>
      <c r="U4" s="10"/>
      <c r="V4" s="10"/>
    </row>
    <row r="5" spans="3:22" s="11" customFormat="1" ht="24" customHeight="1" thickBot="1">
      <c r="C5" s="315"/>
      <c r="D5" s="317"/>
      <c r="E5" s="317"/>
      <c r="F5" s="321"/>
      <c r="G5" s="322"/>
      <c r="H5" s="323"/>
      <c r="I5" s="327"/>
      <c r="J5" s="328"/>
      <c r="K5" s="329"/>
      <c r="L5" s="327"/>
      <c r="M5" s="328"/>
      <c r="N5" s="329"/>
      <c r="O5" s="327"/>
      <c r="P5" s="328"/>
      <c r="Q5" s="329"/>
      <c r="S5" s="105"/>
      <c r="T5" s="10"/>
      <c r="U5" s="10"/>
      <c r="V5" s="10"/>
    </row>
    <row r="6" spans="3:22" s="14" customFormat="1" thickBot="1">
      <c r="C6" s="307" t="s">
        <v>8</v>
      </c>
      <c r="D6" s="308"/>
      <c r="E6" s="12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S6" s="104"/>
      <c r="T6" s="7"/>
      <c r="U6" s="7"/>
      <c r="V6" s="7"/>
    </row>
    <row r="7" spans="3:22" s="14" customFormat="1" thickBot="1">
      <c r="C7" s="309" t="s">
        <v>9</v>
      </c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  <c r="S7" s="104"/>
      <c r="T7" s="7"/>
      <c r="U7" s="7"/>
      <c r="V7" s="7"/>
    </row>
    <row r="8" spans="3:22" s="14" customFormat="1" ht="24" customHeight="1" thickBot="1">
      <c r="C8" s="15">
        <v>602</v>
      </c>
      <c r="D8" s="16" t="s">
        <v>10</v>
      </c>
      <c r="E8" s="1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S8" s="104"/>
      <c r="T8" s="7"/>
      <c r="U8" s="7"/>
      <c r="V8" s="7"/>
    </row>
    <row r="9" spans="3:22" s="14" customFormat="1" ht="24" customHeight="1" thickBot="1">
      <c r="C9" s="19">
        <v>10</v>
      </c>
      <c r="D9" s="20" t="s">
        <v>11</v>
      </c>
      <c r="E9" s="21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S9" s="104"/>
      <c r="T9" s="7"/>
      <c r="U9" s="7"/>
      <c r="V9" s="7"/>
    </row>
    <row r="10" spans="3:22" s="14" customFormat="1" ht="24" customHeight="1" thickBot="1">
      <c r="C10" s="15">
        <v>10</v>
      </c>
      <c r="D10" s="16" t="s">
        <v>12</v>
      </c>
      <c r="E10" s="1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S10" s="104"/>
      <c r="T10" s="7"/>
      <c r="U10" s="7"/>
      <c r="V10" s="7"/>
    </row>
    <row r="11" spans="3:22" ht="24" customHeight="1" thickBot="1">
      <c r="C11" s="23">
        <v>61711</v>
      </c>
      <c r="D11" s="24" t="s">
        <v>13</v>
      </c>
      <c r="E11" s="25">
        <f>+'[2]PAIEMENTS BUDGET 2021'!E11</f>
        <v>7948000</v>
      </c>
      <c r="F11" s="283">
        <f>+'[2]PAIEMENTS BUDGET 2021'!R11</f>
        <v>7566096.5</v>
      </c>
      <c r="G11" s="284"/>
      <c r="H11" s="285"/>
      <c r="I11" s="283">
        <f>+F11</f>
        <v>7566096.5</v>
      </c>
      <c r="J11" s="284"/>
      <c r="K11" s="285"/>
      <c r="L11" s="283">
        <f>+E11-F11</f>
        <v>381903.5</v>
      </c>
      <c r="M11" s="284"/>
      <c r="N11" s="285"/>
      <c r="O11" s="283">
        <f>+F11-I11</f>
        <v>0</v>
      </c>
      <c r="P11" s="284"/>
      <c r="Q11" s="285"/>
      <c r="R11" s="26"/>
    </row>
    <row r="12" spans="3:22" s="31" customFormat="1" ht="24" customHeight="1" thickBot="1">
      <c r="C12" s="27">
        <v>61712</v>
      </c>
      <c r="D12" s="28" t="s">
        <v>14</v>
      </c>
      <c r="E12" s="25">
        <f>+'[2]PAIEMENTS BUDGET 2021'!E12</f>
        <v>2100000</v>
      </c>
      <c r="F12" s="283">
        <f>+'[2]PAIEMENTS BUDGET 2021'!R12+186907.26</f>
        <v>1503575.55</v>
      </c>
      <c r="G12" s="284"/>
      <c r="H12" s="285"/>
      <c r="I12" s="283">
        <f>+F12-186907.26</f>
        <v>1316668.29</v>
      </c>
      <c r="J12" s="284"/>
      <c r="K12" s="285"/>
      <c r="L12" s="283">
        <f>+E12-F12</f>
        <v>596424.44999999995</v>
      </c>
      <c r="M12" s="284"/>
      <c r="N12" s="285"/>
      <c r="O12" s="283">
        <f>+F12-I12</f>
        <v>186907.26</v>
      </c>
      <c r="P12" s="284"/>
      <c r="Q12" s="285"/>
      <c r="R12" s="29"/>
      <c r="S12" s="104"/>
      <c r="T12" s="30"/>
      <c r="U12" s="30"/>
      <c r="V12" s="30"/>
    </row>
    <row r="13" spans="3:22" ht="24" customHeight="1" thickBot="1">
      <c r="C13" s="27">
        <v>61713</v>
      </c>
      <c r="D13" s="28" t="s">
        <v>15</v>
      </c>
      <c r="E13" s="25">
        <f>+'[2]PAIEMENTS BUDGET 2021'!E13</f>
        <v>452000</v>
      </c>
      <c r="F13" s="283">
        <f>+'[2]PAIEMENTS BUDGET 2021'!R13</f>
        <v>451332.48</v>
      </c>
      <c r="G13" s="284"/>
      <c r="H13" s="285"/>
      <c r="I13" s="283">
        <v>451332.48</v>
      </c>
      <c r="J13" s="284"/>
      <c r="K13" s="285"/>
      <c r="L13" s="283">
        <f>+E13-F13</f>
        <v>667.52000000001863</v>
      </c>
      <c r="M13" s="284"/>
      <c r="N13" s="285"/>
      <c r="O13" s="283">
        <f>+F13-I13</f>
        <v>0</v>
      </c>
      <c r="P13" s="284"/>
      <c r="Q13" s="285"/>
      <c r="R13" s="26"/>
    </row>
    <row r="14" spans="3:22" ht="24" customHeight="1" thickBot="1">
      <c r="C14" s="15">
        <v>20</v>
      </c>
      <c r="D14" s="16" t="s">
        <v>16</v>
      </c>
      <c r="E14" s="32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26"/>
    </row>
    <row r="15" spans="3:22" ht="24" customHeight="1" thickBot="1">
      <c r="C15" s="23">
        <v>61742</v>
      </c>
      <c r="D15" s="24" t="s">
        <v>17</v>
      </c>
      <c r="E15" s="25">
        <f>+'[2]PAIEMENTS BUDGET 2021'!E15</f>
        <v>995000</v>
      </c>
      <c r="F15" s="283">
        <f>+'[2]PAIEMENTS BUDGET 2021'!R15</f>
        <v>994400.39</v>
      </c>
      <c r="G15" s="284"/>
      <c r="H15" s="285"/>
      <c r="I15" s="283">
        <f>+F15</f>
        <v>994400.39</v>
      </c>
      <c r="J15" s="284"/>
      <c r="K15" s="285"/>
      <c r="L15" s="283">
        <f>+E15-F15</f>
        <v>599.60999999998603</v>
      </c>
      <c r="M15" s="284"/>
      <c r="N15" s="285"/>
      <c r="O15" s="283">
        <f>+F15-I15</f>
        <v>0</v>
      </c>
      <c r="P15" s="284"/>
      <c r="Q15" s="285"/>
      <c r="R15" s="26"/>
    </row>
    <row r="16" spans="3:22" ht="24" customHeight="1" thickBot="1">
      <c r="C16" s="23">
        <v>61743</v>
      </c>
      <c r="D16" s="24" t="s">
        <v>18</v>
      </c>
      <c r="E16" s="25">
        <f>+'[2]PAIEMENTS BUDGET 2021'!E16</f>
        <v>265000</v>
      </c>
      <c r="F16" s="283">
        <f>+'[2]PAIEMENTS BUDGET 2021'!R16</f>
        <v>157676.72</v>
      </c>
      <c r="G16" s="284"/>
      <c r="H16" s="285"/>
      <c r="I16" s="283">
        <f>+F16</f>
        <v>157676.72</v>
      </c>
      <c r="J16" s="284"/>
      <c r="K16" s="285"/>
      <c r="L16" s="283">
        <f>+E16-F16</f>
        <v>107323.28</v>
      </c>
      <c r="M16" s="284"/>
      <c r="N16" s="285"/>
      <c r="O16" s="283">
        <f>+F16-I16</f>
        <v>0</v>
      </c>
      <c r="P16" s="284"/>
      <c r="Q16" s="285"/>
      <c r="R16" s="26"/>
    </row>
    <row r="17" spans="3:22" ht="24" customHeight="1" thickBot="1">
      <c r="C17" s="23">
        <v>61744</v>
      </c>
      <c r="D17" s="24" t="s">
        <v>19</v>
      </c>
      <c r="E17" s="25">
        <f>+'[2]PAIEMENTS BUDGET 2021'!E17</f>
        <v>200000</v>
      </c>
      <c r="F17" s="283">
        <f>+'[2]PAIEMENTS BUDGET 2021'!R17</f>
        <v>124080</v>
      </c>
      <c r="G17" s="284"/>
      <c r="H17" s="285"/>
      <c r="I17" s="283">
        <f>+F17</f>
        <v>124080</v>
      </c>
      <c r="J17" s="284"/>
      <c r="K17" s="285"/>
      <c r="L17" s="283">
        <f>+E17-F17</f>
        <v>75920</v>
      </c>
      <c r="M17" s="284"/>
      <c r="N17" s="285"/>
      <c r="O17" s="283">
        <f>+F17-I17</f>
        <v>0</v>
      </c>
      <c r="P17" s="284"/>
      <c r="Q17" s="285"/>
      <c r="R17" s="26"/>
    </row>
    <row r="18" spans="3:22" s="31" customFormat="1" ht="24" customHeight="1" thickBot="1">
      <c r="C18" s="27">
        <v>61745</v>
      </c>
      <c r="D18" s="28" t="s">
        <v>20</v>
      </c>
      <c r="E18" s="25">
        <f>+'[2]PAIEMENTS BUDGET 2021'!E18</f>
        <v>80000</v>
      </c>
      <c r="F18" s="283">
        <v>77381.89</v>
      </c>
      <c r="G18" s="284"/>
      <c r="H18" s="285"/>
      <c r="I18" s="283">
        <v>0</v>
      </c>
      <c r="J18" s="284"/>
      <c r="K18" s="285"/>
      <c r="L18" s="283">
        <f>+E18-F18</f>
        <v>2618.1100000000006</v>
      </c>
      <c r="M18" s="284"/>
      <c r="N18" s="285"/>
      <c r="O18" s="283">
        <f>+F18-I18</f>
        <v>77381.89</v>
      </c>
      <c r="P18" s="284"/>
      <c r="Q18" s="285"/>
      <c r="R18" s="29"/>
      <c r="S18" s="104"/>
      <c r="T18" s="30"/>
      <c r="U18" s="30"/>
      <c r="V18" s="30"/>
    </row>
    <row r="19" spans="3:22" ht="24" customHeight="1" thickBot="1">
      <c r="C19" s="27">
        <v>61768</v>
      </c>
      <c r="D19" s="28" t="s">
        <v>21</v>
      </c>
      <c r="E19" s="25">
        <f>+'[2]PAIEMENTS BUDGET 2021'!E19</f>
        <v>170000</v>
      </c>
      <c r="F19" s="283">
        <f>+'[2]PAIEMENTS BUDGET 2021'!R19</f>
        <v>157781.29</v>
      </c>
      <c r="G19" s="284"/>
      <c r="H19" s="285"/>
      <c r="I19" s="283">
        <f>+F19</f>
        <v>157781.29</v>
      </c>
      <c r="J19" s="284"/>
      <c r="K19" s="285"/>
      <c r="L19" s="283">
        <f>+E19-F19</f>
        <v>12218.709999999992</v>
      </c>
      <c r="M19" s="284"/>
      <c r="N19" s="285"/>
      <c r="O19" s="283">
        <f>+F19-I19</f>
        <v>0</v>
      </c>
      <c r="P19" s="284"/>
      <c r="Q19" s="285"/>
      <c r="R19" s="26"/>
    </row>
    <row r="20" spans="3:22" ht="24" customHeight="1" thickBot="1">
      <c r="C20" s="15">
        <v>30</v>
      </c>
      <c r="D20" s="16" t="s">
        <v>22</v>
      </c>
      <c r="E20" s="1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26"/>
    </row>
    <row r="21" spans="3:22" ht="24" customHeight="1" thickBot="1">
      <c r="C21" s="23">
        <v>61763</v>
      </c>
      <c r="D21" s="24" t="s">
        <v>23</v>
      </c>
      <c r="E21" s="25">
        <f>+'[2]PAIEMENTS BUDGET 2021'!E21</f>
        <v>400000</v>
      </c>
      <c r="F21" s="283">
        <v>400000</v>
      </c>
      <c r="G21" s="284"/>
      <c r="H21" s="285"/>
      <c r="I21" s="283">
        <v>400000</v>
      </c>
      <c r="J21" s="284"/>
      <c r="K21" s="285"/>
      <c r="L21" s="283">
        <f>+E21-F21</f>
        <v>0</v>
      </c>
      <c r="M21" s="284"/>
      <c r="N21" s="285"/>
      <c r="O21" s="283">
        <f>+F21-I21</f>
        <v>0</v>
      </c>
      <c r="P21" s="284"/>
      <c r="Q21" s="285"/>
      <c r="R21" s="26"/>
    </row>
    <row r="22" spans="3:22" ht="24" customHeight="1" thickBot="1">
      <c r="C22" s="23">
        <v>61764</v>
      </c>
      <c r="D22" s="24" t="s">
        <v>24</v>
      </c>
      <c r="E22" s="25">
        <f>+'[2]PAIEMENTS BUDGET 2021'!E22</f>
        <v>10000</v>
      </c>
      <c r="F22" s="283">
        <v>9998.4</v>
      </c>
      <c r="G22" s="284"/>
      <c r="H22" s="285"/>
      <c r="I22" s="283">
        <v>9998.4</v>
      </c>
      <c r="J22" s="284"/>
      <c r="K22" s="285"/>
      <c r="L22" s="283">
        <f>+E22-F22</f>
        <v>1.6000000000003638</v>
      </c>
      <c r="M22" s="284"/>
      <c r="N22" s="285"/>
      <c r="O22" s="283">
        <f>+F22-I22</f>
        <v>0</v>
      </c>
      <c r="P22" s="284"/>
      <c r="Q22" s="285"/>
      <c r="R22" s="26"/>
    </row>
    <row r="23" spans="3:22" ht="24" customHeight="1" thickBot="1">
      <c r="C23" s="23">
        <v>61766</v>
      </c>
      <c r="D23" s="24" t="s">
        <v>25</v>
      </c>
      <c r="E23" s="25">
        <f>+'[2]PAIEMENTS BUDGET 2021'!E23</f>
        <v>40000</v>
      </c>
      <c r="F23" s="283">
        <f>+'[2]PAIEMENTS BUDGET 2021'!R23</f>
        <v>39999.69</v>
      </c>
      <c r="G23" s="284"/>
      <c r="H23" s="285"/>
      <c r="I23" s="283">
        <f>+F23</f>
        <v>39999.69</v>
      </c>
      <c r="J23" s="284"/>
      <c r="K23" s="285"/>
      <c r="L23" s="283">
        <f>+E23-F23</f>
        <v>0.30999999999767169</v>
      </c>
      <c r="M23" s="284"/>
      <c r="N23" s="285"/>
      <c r="O23" s="283">
        <f>+F23-I23</f>
        <v>0</v>
      </c>
      <c r="P23" s="284"/>
      <c r="Q23" s="285"/>
      <c r="R23" s="26"/>
    </row>
    <row r="24" spans="3:22" ht="30.75" customHeight="1" thickBot="1">
      <c r="C24" s="23">
        <v>61768</v>
      </c>
      <c r="D24" s="24" t="s">
        <v>26</v>
      </c>
      <c r="E24" s="25">
        <f>+'[2]PAIEMENTS BUDGET 2021'!E24</f>
        <v>80000</v>
      </c>
      <c r="F24" s="333">
        <v>79200</v>
      </c>
      <c r="G24" s="334"/>
      <c r="H24" s="335"/>
      <c r="I24" s="283">
        <v>0</v>
      </c>
      <c r="J24" s="284"/>
      <c r="K24" s="285"/>
      <c r="L24" s="283">
        <f>+E24-F24</f>
        <v>800</v>
      </c>
      <c r="M24" s="284"/>
      <c r="N24" s="285"/>
      <c r="O24" s="283">
        <f>+F24-I24</f>
        <v>79200</v>
      </c>
      <c r="P24" s="284"/>
      <c r="Q24" s="285"/>
      <c r="R24" s="26"/>
    </row>
    <row r="25" spans="3:22" ht="24" customHeight="1" thickBot="1">
      <c r="C25" s="27">
        <v>61769</v>
      </c>
      <c r="D25" s="28" t="s">
        <v>27</v>
      </c>
      <c r="E25" s="25">
        <f>+'[2]PAIEMENTS BUDGET 2021'!E25</f>
        <v>10145.49</v>
      </c>
      <c r="F25" s="283">
        <v>8150</v>
      </c>
      <c r="G25" s="284"/>
      <c r="H25" s="285"/>
      <c r="I25" s="283">
        <v>8150</v>
      </c>
      <c r="J25" s="284"/>
      <c r="K25" s="285"/>
      <c r="L25" s="283">
        <f>+E25-F25</f>
        <v>1995.4899999999998</v>
      </c>
      <c r="M25" s="284"/>
      <c r="N25" s="285"/>
      <c r="O25" s="283">
        <f>+F25-I25</f>
        <v>0</v>
      </c>
      <c r="P25" s="284"/>
      <c r="Q25" s="285"/>
      <c r="R25" s="26"/>
    </row>
    <row r="26" spans="3:22" s="39" customFormat="1" ht="24" customHeight="1" thickBot="1">
      <c r="C26" s="34"/>
      <c r="D26" s="35" t="s">
        <v>28</v>
      </c>
      <c r="E26" s="36">
        <f>SUM(E11:E25)</f>
        <v>12750145.49</v>
      </c>
      <c r="F26" s="301">
        <f>SUM(F11:H25)</f>
        <v>11569672.910000002</v>
      </c>
      <c r="G26" s="302"/>
      <c r="H26" s="303"/>
      <c r="I26" s="301">
        <f>SUM(I11:K25)</f>
        <v>11226183.76</v>
      </c>
      <c r="J26" s="302"/>
      <c r="K26" s="303"/>
      <c r="L26" s="304">
        <f>SUM(L11:N25)</f>
        <v>1180472.58</v>
      </c>
      <c r="M26" s="305"/>
      <c r="N26" s="306"/>
      <c r="O26" s="301">
        <f>SUM(O11:O25)</f>
        <v>343489.15</v>
      </c>
      <c r="P26" s="302">
        <f>SUM(P11:P25)</f>
        <v>0</v>
      </c>
      <c r="Q26" s="303">
        <f>SUM(Q11:Q25)</f>
        <v>0</v>
      </c>
      <c r="R26" s="37"/>
      <c r="S26" s="106"/>
      <c r="T26" s="38"/>
      <c r="U26" s="38"/>
      <c r="V26" s="38"/>
    </row>
    <row r="27" spans="3:22" s="39" customFormat="1" ht="24" customHeight="1" thickBot="1">
      <c r="C27" s="40"/>
      <c r="D27" s="41" t="s">
        <v>29</v>
      </c>
      <c r="E27" s="42">
        <f>+E26</f>
        <v>12750145.49</v>
      </c>
      <c r="F27" s="280">
        <f>SUM(F11:H25)</f>
        <v>11569672.910000002</v>
      </c>
      <c r="G27" s="281"/>
      <c r="H27" s="282"/>
      <c r="I27" s="280">
        <f>SUM(I11:K25)</f>
        <v>11226183.76</v>
      </c>
      <c r="J27" s="281">
        <f t="shared" ref="I27:Q28" si="0">+J26</f>
        <v>0</v>
      </c>
      <c r="K27" s="282">
        <f t="shared" si="0"/>
        <v>0</v>
      </c>
      <c r="L27" s="280">
        <f t="shared" si="0"/>
        <v>1180472.58</v>
      </c>
      <c r="M27" s="281">
        <f t="shared" si="0"/>
        <v>0</v>
      </c>
      <c r="N27" s="282">
        <f t="shared" si="0"/>
        <v>0</v>
      </c>
      <c r="O27" s="280">
        <f t="shared" si="0"/>
        <v>343489.15</v>
      </c>
      <c r="P27" s="281">
        <f t="shared" si="0"/>
        <v>0</v>
      </c>
      <c r="Q27" s="282">
        <f t="shared" si="0"/>
        <v>0</v>
      </c>
      <c r="R27" s="37"/>
      <c r="S27" s="106"/>
      <c r="T27" s="38"/>
      <c r="U27" s="38"/>
      <c r="V27" s="38"/>
    </row>
    <row r="28" spans="3:22" s="39" customFormat="1" ht="28.5" customHeight="1" thickBot="1">
      <c r="C28" s="294" t="s">
        <v>30</v>
      </c>
      <c r="D28" s="295"/>
      <c r="E28" s="44">
        <f>SUM(E27)</f>
        <v>12750145.49</v>
      </c>
      <c r="F28" s="265">
        <f>+F27</f>
        <v>11569672.910000002</v>
      </c>
      <c r="G28" s="266"/>
      <c r="H28" s="267"/>
      <c r="I28" s="265">
        <f t="shared" si="0"/>
        <v>11226183.76</v>
      </c>
      <c r="J28" s="266">
        <f t="shared" si="0"/>
        <v>0</v>
      </c>
      <c r="K28" s="267">
        <f t="shared" si="0"/>
        <v>0</v>
      </c>
      <c r="L28" s="265">
        <f t="shared" si="0"/>
        <v>1180472.58</v>
      </c>
      <c r="M28" s="266">
        <f t="shared" si="0"/>
        <v>0</v>
      </c>
      <c r="N28" s="267">
        <f t="shared" si="0"/>
        <v>0</v>
      </c>
      <c r="O28" s="265">
        <f t="shared" si="0"/>
        <v>343489.15</v>
      </c>
      <c r="P28" s="266">
        <f t="shared" si="0"/>
        <v>0</v>
      </c>
      <c r="Q28" s="267">
        <f t="shared" si="0"/>
        <v>0</v>
      </c>
      <c r="R28" s="37"/>
      <c r="S28" s="106"/>
      <c r="T28" s="38"/>
      <c r="U28" s="38"/>
      <c r="V28" s="38"/>
    </row>
    <row r="29" spans="3:22" s="14" customFormat="1" ht="38.25" customHeight="1" thickBot="1">
      <c r="C29" s="299" t="s">
        <v>31</v>
      </c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0"/>
      <c r="S29" s="104"/>
      <c r="T29" s="7"/>
      <c r="U29" s="7"/>
      <c r="V29" s="7"/>
    </row>
    <row r="30" spans="3:22" s="14" customFormat="1" ht="24" customHeight="1" thickBot="1">
      <c r="C30" s="15">
        <v>610</v>
      </c>
      <c r="D30" s="16" t="s">
        <v>32</v>
      </c>
      <c r="E30" s="1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104"/>
      <c r="T30" s="7"/>
      <c r="U30" s="7"/>
      <c r="V30" s="7"/>
    </row>
    <row r="31" spans="3:22" s="14" customFormat="1" ht="24" customHeight="1" thickBot="1">
      <c r="C31" s="19">
        <v>10</v>
      </c>
      <c r="D31" s="20" t="s">
        <v>11</v>
      </c>
      <c r="E31" s="21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S31" s="104"/>
      <c r="T31" s="7"/>
      <c r="U31" s="7"/>
      <c r="V31" s="7"/>
    </row>
    <row r="32" spans="3:22" s="14" customFormat="1" ht="24" customHeight="1" thickBot="1">
      <c r="C32" s="15">
        <v>10</v>
      </c>
      <c r="D32" s="16" t="s">
        <v>33</v>
      </c>
      <c r="E32" s="1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104"/>
      <c r="T32" s="7"/>
      <c r="U32" s="7"/>
      <c r="V32" s="7"/>
    </row>
    <row r="33" spans="3:22" s="14" customFormat="1" ht="24" customHeight="1" thickBot="1">
      <c r="C33" s="27">
        <v>61224</v>
      </c>
      <c r="D33" s="28" t="s">
        <v>34</v>
      </c>
      <c r="E33" s="25">
        <f>+'[2]PAIEMENTS BUDGET 2021'!E33</f>
        <v>40000</v>
      </c>
      <c r="F33" s="283">
        <v>39979.199999999997</v>
      </c>
      <c r="G33" s="284"/>
      <c r="H33" s="285"/>
      <c r="I33" s="283">
        <v>39979.199999999997</v>
      </c>
      <c r="J33" s="284"/>
      <c r="K33" s="285"/>
      <c r="L33" s="283">
        <f>+E33-F33</f>
        <v>20.80000000000291</v>
      </c>
      <c r="M33" s="284"/>
      <c r="N33" s="285"/>
      <c r="O33" s="283">
        <f>+F33-I33</f>
        <v>0</v>
      </c>
      <c r="P33" s="284"/>
      <c r="Q33" s="285"/>
      <c r="S33" s="107">
        <v>0</v>
      </c>
      <c r="T33" s="7"/>
      <c r="U33" s="7"/>
      <c r="V33" s="7"/>
    </row>
    <row r="34" spans="3:22" ht="24" customHeight="1" thickBot="1">
      <c r="C34" s="27">
        <v>61225</v>
      </c>
      <c r="D34" s="28" t="s">
        <v>35</v>
      </c>
      <c r="E34" s="25">
        <f>+'[2]PAIEMENTS BUDGET 2021'!E34</f>
        <v>100000</v>
      </c>
      <c r="F34" s="283">
        <f>+'[2]PAIEMENTS BUDGET 2021'!R34</f>
        <v>99300</v>
      </c>
      <c r="G34" s="284" t="e">
        <f>+'[2]PAIEMENTS BUDGET 2021'!G34</f>
        <v>#REF!</v>
      </c>
      <c r="H34" s="285" t="e">
        <f>+'[2]PAIEMENTS BUDGET 2021'!H34</f>
        <v>#REF!</v>
      </c>
      <c r="I34" s="283">
        <f t="shared" ref="I34:I39" si="1">+F34</f>
        <v>99300</v>
      </c>
      <c r="J34" s="284"/>
      <c r="K34" s="285"/>
      <c r="L34" s="283">
        <f t="shared" ref="L34:L39" si="2">+E34-F34</f>
        <v>700</v>
      </c>
      <c r="M34" s="284"/>
      <c r="N34" s="285"/>
      <c r="O34" s="283">
        <f t="shared" ref="O34:O39" si="3">+F34-I34</f>
        <v>0</v>
      </c>
      <c r="P34" s="284"/>
      <c r="Q34" s="285"/>
      <c r="R34" s="26"/>
      <c r="S34" s="107">
        <v>99300</v>
      </c>
    </row>
    <row r="35" spans="3:22" ht="32.25" thickBot="1">
      <c r="C35" s="27">
        <v>61226</v>
      </c>
      <c r="D35" s="45" t="s">
        <v>36</v>
      </c>
      <c r="E35" s="25">
        <f>+'[2]PAIEMENTS BUDGET 2021'!E35</f>
        <v>250000</v>
      </c>
      <c r="F35" s="283">
        <f>+'[2]PAIEMENTS BUDGET 2021'!R35</f>
        <v>249720</v>
      </c>
      <c r="G35" s="284" t="e">
        <f>+'[2]PAIEMENTS BUDGET 2021'!G35</f>
        <v>#REF!</v>
      </c>
      <c r="H35" s="285" t="e">
        <f>+'[2]PAIEMENTS BUDGET 2021'!H35</f>
        <v>#REF!</v>
      </c>
      <c r="I35" s="283">
        <f t="shared" si="1"/>
        <v>249720</v>
      </c>
      <c r="J35" s="284"/>
      <c r="K35" s="285"/>
      <c r="L35" s="283">
        <f t="shared" si="2"/>
        <v>280</v>
      </c>
      <c r="M35" s="284"/>
      <c r="N35" s="285"/>
      <c r="O35" s="283">
        <f t="shared" si="3"/>
        <v>0</v>
      </c>
      <c r="P35" s="284"/>
      <c r="Q35" s="285"/>
      <c r="R35" s="26"/>
      <c r="S35" s="107">
        <v>249720</v>
      </c>
    </row>
    <row r="36" spans="3:22" ht="24" customHeight="1" thickBot="1">
      <c r="C36" s="27">
        <v>61254</v>
      </c>
      <c r="D36" s="28" t="s">
        <v>37</v>
      </c>
      <c r="E36" s="25">
        <f>+'[2]PAIEMENTS BUDGET 2021'!E36</f>
        <v>200000</v>
      </c>
      <c r="F36" s="283">
        <f>+'[2]PAIEMENTS BUDGET 2021'!R36</f>
        <v>199200</v>
      </c>
      <c r="G36" s="284" t="e">
        <f>+'[2]PAIEMENTS BUDGET 2021'!G36</f>
        <v>#REF!</v>
      </c>
      <c r="H36" s="285" t="e">
        <f>+'[2]PAIEMENTS BUDGET 2021'!H36</f>
        <v>#REF!</v>
      </c>
      <c r="I36" s="283">
        <f t="shared" si="1"/>
        <v>199200</v>
      </c>
      <c r="J36" s="284"/>
      <c r="K36" s="285"/>
      <c r="L36" s="283">
        <f t="shared" si="2"/>
        <v>800</v>
      </c>
      <c r="M36" s="284"/>
      <c r="N36" s="285"/>
      <c r="O36" s="283">
        <f t="shared" si="3"/>
        <v>0</v>
      </c>
      <c r="P36" s="284"/>
      <c r="Q36" s="285"/>
      <c r="R36" s="26"/>
      <c r="S36" s="107">
        <v>199200</v>
      </c>
    </row>
    <row r="37" spans="3:22" ht="24" customHeight="1" thickBot="1">
      <c r="C37" s="27">
        <v>612511</v>
      </c>
      <c r="D37" s="28" t="s">
        <v>38</v>
      </c>
      <c r="E37" s="25">
        <f>+'[2]PAIEMENTS BUDGET 2021'!E37</f>
        <v>50000</v>
      </c>
      <c r="F37" s="283">
        <f>+'[2]PAIEMENTS BUDGET 2021'!R37</f>
        <v>50000</v>
      </c>
      <c r="G37" s="284" t="e">
        <f>+'[2]PAIEMENTS BUDGET 2021'!G37</f>
        <v>#REF!</v>
      </c>
      <c r="H37" s="285" t="e">
        <f>+'[2]PAIEMENTS BUDGET 2021'!H37</f>
        <v>#REF!</v>
      </c>
      <c r="I37" s="283">
        <f t="shared" si="1"/>
        <v>50000</v>
      </c>
      <c r="J37" s="284"/>
      <c r="K37" s="285"/>
      <c r="L37" s="283">
        <f t="shared" si="2"/>
        <v>0</v>
      </c>
      <c r="M37" s="284"/>
      <c r="N37" s="285"/>
      <c r="O37" s="283">
        <f t="shared" si="3"/>
        <v>0</v>
      </c>
      <c r="P37" s="284"/>
      <c r="Q37" s="285"/>
      <c r="R37" s="26"/>
      <c r="S37" s="107">
        <v>50000</v>
      </c>
    </row>
    <row r="38" spans="3:22" ht="24" customHeight="1" thickBot="1">
      <c r="C38" s="27">
        <v>612512</v>
      </c>
      <c r="D38" s="28" t="s">
        <v>39</v>
      </c>
      <c r="E38" s="25">
        <f>+'[2]PAIEMENTS BUDGET 2021'!E38</f>
        <v>10000</v>
      </c>
      <c r="F38" s="283">
        <f>+'[2]PAIEMENTS BUDGET 2021'!R38</f>
        <v>10000</v>
      </c>
      <c r="G38" s="284" t="e">
        <f>+'[2]PAIEMENTS BUDGET 2021'!G38</f>
        <v>#REF!</v>
      </c>
      <c r="H38" s="285" t="e">
        <f>+'[2]PAIEMENTS BUDGET 2021'!H38</f>
        <v>#REF!</v>
      </c>
      <c r="I38" s="283">
        <f t="shared" si="1"/>
        <v>10000</v>
      </c>
      <c r="J38" s="284"/>
      <c r="K38" s="285"/>
      <c r="L38" s="283">
        <f t="shared" si="2"/>
        <v>0</v>
      </c>
      <c r="M38" s="284"/>
      <c r="N38" s="285"/>
      <c r="O38" s="283">
        <f t="shared" si="3"/>
        <v>0</v>
      </c>
      <c r="P38" s="284"/>
      <c r="Q38" s="285"/>
      <c r="R38" s="26"/>
      <c r="S38" s="107">
        <v>10000</v>
      </c>
    </row>
    <row r="39" spans="3:22" ht="24" customHeight="1" thickBot="1">
      <c r="C39" s="27">
        <v>61223</v>
      </c>
      <c r="D39" s="28" t="s">
        <v>40</v>
      </c>
      <c r="E39" s="25">
        <f>+'[2]PAIEMENTS BUDGET 2021'!E39</f>
        <v>350000</v>
      </c>
      <c r="F39" s="283">
        <f>+'[2]PAIEMENTS BUDGET 2021'!R39</f>
        <v>349993.46</v>
      </c>
      <c r="G39" s="284"/>
      <c r="H39" s="285"/>
      <c r="I39" s="283">
        <f t="shared" si="1"/>
        <v>349993.46</v>
      </c>
      <c r="J39" s="284"/>
      <c r="K39" s="285"/>
      <c r="L39" s="283">
        <f t="shared" si="2"/>
        <v>6.5399999999790452</v>
      </c>
      <c r="M39" s="284"/>
      <c r="N39" s="285"/>
      <c r="O39" s="283">
        <f t="shared" si="3"/>
        <v>0</v>
      </c>
      <c r="P39" s="284"/>
      <c r="Q39" s="285"/>
      <c r="R39" s="26"/>
      <c r="S39" s="107">
        <v>349993.46</v>
      </c>
    </row>
    <row r="40" spans="3:22" s="14" customFormat="1" ht="24" customHeight="1" thickBot="1">
      <c r="C40" s="15">
        <v>20</v>
      </c>
      <c r="D40" s="16" t="s">
        <v>41</v>
      </c>
      <c r="E40" s="17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S40" s="107"/>
      <c r="T40" s="7"/>
      <c r="U40" s="7"/>
      <c r="V40" s="7"/>
    </row>
    <row r="41" spans="3:22" ht="26.25" customHeight="1" thickBot="1">
      <c r="C41" s="27">
        <v>61262</v>
      </c>
      <c r="D41" s="28" t="s">
        <v>42</v>
      </c>
      <c r="E41" s="25">
        <f>+'[2]PAIEMENTS BUDGET 2021'!E41</f>
        <v>90000</v>
      </c>
      <c r="F41" s="283">
        <v>90000</v>
      </c>
      <c r="G41" s="284"/>
      <c r="H41" s="285"/>
      <c r="I41" s="283">
        <v>0</v>
      </c>
      <c r="J41" s="284"/>
      <c r="K41" s="285"/>
      <c r="L41" s="283">
        <f t="shared" ref="L41:L46" si="4">+E41-F41</f>
        <v>0</v>
      </c>
      <c r="M41" s="284"/>
      <c r="N41" s="285"/>
      <c r="O41" s="283">
        <f>+F41-I41</f>
        <v>90000</v>
      </c>
      <c r="P41" s="284"/>
      <c r="Q41" s="285"/>
      <c r="R41" s="26"/>
      <c r="S41" s="107">
        <v>0</v>
      </c>
    </row>
    <row r="42" spans="3:22" ht="24" customHeight="1" thickBot="1">
      <c r="C42" s="27">
        <v>61264</v>
      </c>
      <c r="D42" s="28" t="s">
        <v>43</v>
      </c>
      <c r="E42" s="25">
        <f>+'[2]PAIEMENTS BUDGET 2021'!E42</f>
        <v>120000</v>
      </c>
      <c r="F42" s="283">
        <f>+'[2]PAIEMENTS BUDGET 2021'!R42</f>
        <v>120000</v>
      </c>
      <c r="G42" s="284"/>
      <c r="H42" s="285"/>
      <c r="I42" s="283">
        <f>+F42</f>
        <v>120000</v>
      </c>
      <c r="J42" s="284"/>
      <c r="K42" s="285"/>
      <c r="L42" s="283">
        <f t="shared" si="4"/>
        <v>0</v>
      </c>
      <c r="M42" s="284"/>
      <c r="N42" s="285"/>
      <c r="O42" s="283">
        <f>+F42-I42</f>
        <v>0</v>
      </c>
      <c r="P42" s="284"/>
      <c r="Q42" s="285"/>
      <c r="R42" s="26"/>
      <c r="S42" s="107">
        <v>120000</v>
      </c>
      <c r="T42" s="46"/>
    </row>
    <row r="43" spans="3:22" ht="37.5" customHeight="1" thickBot="1">
      <c r="C43" s="27">
        <v>61365</v>
      </c>
      <c r="D43" s="45" t="s">
        <v>44</v>
      </c>
      <c r="E43" s="25">
        <f>+'[2]PAIEMENTS BUDGET 2021'!E43</f>
        <v>150000</v>
      </c>
      <c r="F43" s="283">
        <v>149984</v>
      </c>
      <c r="G43" s="284"/>
      <c r="H43" s="285"/>
      <c r="I43" s="283">
        <v>0</v>
      </c>
      <c r="J43" s="284"/>
      <c r="K43" s="285"/>
      <c r="L43" s="283">
        <f t="shared" si="4"/>
        <v>16</v>
      </c>
      <c r="M43" s="284"/>
      <c r="N43" s="285"/>
      <c r="O43" s="283">
        <f>+F43-I43</f>
        <v>149984</v>
      </c>
      <c r="P43" s="284"/>
      <c r="Q43" s="285"/>
      <c r="R43" s="26"/>
      <c r="S43" s="107">
        <v>0</v>
      </c>
    </row>
    <row r="44" spans="3:22" ht="29.25" customHeight="1" thickBot="1">
      <c r="C44" s="27">
        <v>61368</v>
      </c>
      <c r="D44" s="45" t="s">
        <v>45</v>
      </c>
      <c r="E44" s="25">
        <f>+'[2]PAIEMENTS BUDGET 2021'!E44</f>
        <v>250000</v>
      </c>
      <c r="F44" s="283">
        <v>0</v>
      </c>
      <c r="G44" s="284"/>
      <c r="H44" s="285"/>
      <c r="I44" s="277">
        <v>0</v>
      </c>
      <c r="J44" s="278"/>
      <c r="K44" s="279"/>
      <c r="L44" s="283">
        <f t="shared" si="4"/>
        <v>250000</v>
      </c>
      <c r="M44" s="284"/>
      <c r="N44" s="285"/>
      <c r="O44" s="277">
        <v>0</v>
      </c>
      <c r="P44" s="278"/>
      <c r="Q44" s="279"/>
      <c r="R44" s="26"/>
      <c r="S44" s="107">
        <v>0</v>
      </c>
    </row>
    <row r="45" spans="3:22" ht="24" customHeight="1" thickBot="1">
      <c r="C45" s="27">
        <v>61416</v>
      </c>
      <c r="D45" s="28" t="s">
        <v>46</v>
      </c>
      <c r="E45" s="25">
        <f>+'[2]PAIEMENTS BUDGET 2021'!E45</f>
        <v>10000</v>
      </c>
      <c r="F45" s="283">
        <f>+'[2]PAIEMENTS BUDGET 2021'!R45</f>
        <v>10000</v>
      </c>
      <c r="G45" s="284"/>
      <c r="H45" s="285"/>
      <c r="I45" s="283">
        <f>+F45</f>
        <v>10000</v>
      </c>
      <c r="J45" s="284"/>
      <c r="K45" s="285"/>
      <c r="L45" s="283">
        <f t="shared" si="4"/>
        <v>0</v>
      </c>
      <c r="M45" s="284"/>
      <c r="N45" s="285"/>
      <c r="O45" s="283">
        <f>+F45-I45</f>
        <v>0</v>
      </c>
      <c r="P45" s="284"/>
      <c r="Q45" s="285"/>
      <c r="R45" s="26"/>
      <c r="S45" s="107">
        <v>10000</v>
      </c>
    </row>
    <row r="46" spans="3:22" ht="24" hidden="1" customHeight="1" thickBot="1">
      <c r="C46" s="27">
        <v>6587</v>
      </c>
      <c r="D46" s="28" t="s">
        <v>47</v>
      </c>
      <c r="E46" s="25">
        <v>0</v>
      </c>
      <c r="F46" s="283"/>
      <c r="G46" s="284"/>
      <c r="H46" s="285"/>
      <c r="I46" s="283"/>
      <c r="J46" s="284"/>
      <c r="K46" s="285"/>
      <c r="L46" s="283">
        <f t="shared" si="4"/>
        <v>0</v>
      </c>
      <c r="M46" s="284"/>
      <c r="N46" s="285"/>
      <c r="O46" s="283">
        <f>+F46-I46</f>
        <v>0</v>
      </c>
      <c r="P46" s="284"/>
      <c r="Q46" s="285"/>
      <c r="R46" s="26"/>
      <c r="S46" s="107">
        <v>0</v>
      </c>
    </row>
    <row r="47" spans="3:22" s="14" customFormat="1" ht="27" customHeight="1" thickBot="1">
      <c r="C47" s="15">
        <v>30</v>
      </c>
      <c r="D47" s="16" t="s">
        <v>48</v>
      </c>
      <c r="E47" s="17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S47" s="107"/>
      <c r="T47" s="7"/>
      <c r="U47" s="7"/>
      <c r="V47" s="7"/>
    </row>
    <row r="48" spans="3:22" ht="24" customHeight="1" thickBot="1">
      <c r="C48" s="27">
        <v>61312</v>
      </c>
      <c r="D48" s="28" t="s">
        <v>49</v>
      </c>
      <c r="E48" s="47">
        <f>+'[2]PAIEMENTS BUDGET 2021'!E48</f>
        <v>780000</v>
      </c>
      <c r="F48" s="283">
        <f>+'[2]PAIEMENTS BUDGET 2021'!R48+166500</f>
        <v>666000</v>
      </c>
      <c r="G48" s="284"/>
      <c r="H48" s="285"/>
      <c r="I48" s="283">
        <f>+F48-166500</f>
        <v>499500</v>
      </c>
      <c r="J48" s="284"/>
      <c r="K48" s="285"/>
      <c r="L48" s="283">
        <f>+E48-F48</f>
        <v>114000</v>
      </c>
      <c r="M48" s="284"/>
      <c r="N48" s="285"/>
      <c r="O48" s="283">
        <f>+F48-I48</f>
        <v>166500</v>
      </c>
      <c r="P48" s="284"/>
      <c r="Q48" s="285"/>
      <c r="R48" s="26"/>
      <c r="S48" s="107">
        <v>499500</v>
      </c>
    </row>
    <row r="49" spans="3:22" s="14" customFormat="1" ht="27" customHeight="1" thickBot="1">
      <c r="C49" s="15">
        <v>40</v>
      </c>
      <c r="D49" s="16" t="s">
        <v>50</v>
      </c>
      <c r="E49" s="17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S49" s="107"/>
      <c r="T49" s="7"/>
      <c r="U49" s="7"/>
      <c r="V49" s="7"/>
    </row>
    <row r="50" spans="3:22" ht="24" customHeight="1" thickBot="1">
      <c r="C50" s="27">
        <v>61331</v>
      </c>
      <c r="D50" s="28" t="s">
        <v>51</v>
      </c>
      <c r="E50" s="25">
        <f>+'[2]PAIEMENTS BUDGET 2021'!E50</f>
        <v>50000</v>
      </c>
      <c r="F50" s="283">
        <v>49992</v>
      </c>
      <c r="G50" s="284"/>
      <c r="H50" s="285"/>
      <c r="I50" s="283">
        <v>49992</v>
      </c>
      <c r="J50" s="284"/>
      <c r="K50" s="285"/>
      <c r="L50" s="283">
        <f>+E50-F50</f>
        <v>8</v>
      </c>
      <c r="M50" s="284"/>
      <c r="N50" s="285"/>
      <c r="O50" s="283">
        <f>+F50-I50</f>
        <v>0</v>
      </c>
      <c r="P50" s="284"/>
      <c r="Q50" s="285"/>
      <c r="R50" s="26"/>
      <c r="S50" s="107">
        <v>0</v>
      </c>
    </row>
    <row r="51" spans="3:22" ht="24" customHeight="1" thickBot="1">
      <c r="C51" s="27">
        <v>613321</v>
      </c>
      <c r="D51" s="28" t="s">
        <v>52</v>
      </c>
      <c r="E51" s="25">
        <f>+'[2]PAIEMENTS BUDGET 2021'!E51</f>
        <v>200000</v>
      </c>
      <c r="F51" s="283">
        <f>+'[2]PAIEMENTS BUDGET 2021'!R51</f>
        <v>199938</v>
      </c>
      <c r="G51" s="284"/>
      <c r="H51" s="285"/>
      <c r="I51" s="283">
        <f>+F51</f>
        <v>199938</v>
      </c>
      <c r="J51" s="284"/>
      <c r="K51" s="285"/>
      <c r="L51" s="283">
        <f>+E51-F51</f>
        <v>62</v>
      </c>
      <c r="M51" s="284"/>
      <c r="N51" s="285"/>
      <c r="O51" s="283">
        <f>+F51-I51</f>
        <v>0</v>
      </c>
      <c r="P51" s="284"/>
      <c r="Q51" s="285"/>
      <c r="R51" s="26"/>
      <c r="S51" s="107">
        <v>199938</v>
      </c>
    </row>
    <row r="52" spans="3:22" ht="24" hidden="1" customHeight="1" thickBot="1">
      <c r="C52" s="27">
        <v>613322</v>
      </c>
      <c r="D52" s="28" t="s">
        <v>53</v>
      </c>
      <c r="E52" s="25">
        <f>+'[2]PAIEMENTS BUDGET 2021'!E52</f>
        <v>0</v>
      </c>
      <c r="F52" s="283">
        <f>+'[2]PAIEMENTS BUDGET 2021'!R52</f>
        <v>0</v>
      </c>
      <c r="G52" s="284"/>
      <c r="H52" s="285"/>
      <c r="I52" s="283">
        <f>+F52</f>
        <v>0</v>
      </c>
      <c r="J52" s="284"/>
      <c r="K52" s="285"/>
      <c r="L52" s="283">
        <f>+E52-F52</f>
        <v>0</v>
      </c>
      <c r="M52" s="284"/>
      <c r="N52" s="285"/>
      <c r="O52" s="283">
        <f>+F52-I52</f>
        <v>0</v>
      </c>
      <c r="P52" s="284"/>
      <c r="Q52" s="285"/>
      <c r="R52" s="26"/>
      <c r="S52" s="107">
        <v>0</v>
      </c>
    </row>
    <row r="53" spans="3:22" ht="24" customHeight="1" thickBot="1">
      <c r="C53" s="27">
        <v>613323</v>
      </c>
      <c r="D53" s="28" t="s">
        <v>54</v>
      </c>
      <c r="E53" s="25">
        <f>+'[2]PAIEMENTS BUDGET 2021'!E53</f>
        <v>80000</v>
      </c>
      <c r="F53" s="283">
        <v>80000</v>
      </c>
      <c r="G53" s="284"/>
      <c r="H53" s="285"/>
      <c r="I53" s="283">
        <v>40000</v>
      </c>
      <c r="J53" s="284"/>
      <c r="K53" s="285"/>
      <c r="L53" s="283">
        <f>+E53-F53</f>
        <v>0</v>
      </c>
      <c r="M53" s="284"/>
      <c r="N53" s="285"/>
      <c r="O53" s="283">
        <f>+F53-I53</f>
        <v>40000</v>
      </c>
      <c r="P53" s="284"/>
      <c r="Q53" s="285"/>
      <c r="R53" s="26"/>
      <c r="S53" s="107">
        <v>40000</v>
      </c>
    </row>
    <row r="54" spans="3:22" ht="24" customHeight="1" thickBot="1">
      <c r="C54" s="27">
        <v>61335</v>
      </c>
      <c r="D54" s="28" t="s">
        <v>55</v>
      </c>
      <c r="E54" s="25">
        <f>+'[2]PAIEMENTS BUDGET 2021'!E54</f>
        <v>50000</v>
      </c>
      <c r="F54" s="283">
        <f>+'[2]PAIEMENTS BUDGET 2021'!R54+23400</f>
        <v>49998</v>
      </c>
      <c r="G54" s="284"/>
      <c r="H54" s="285"/>
      <c r="I54" s="283">
        <v>26598</v>
      </c>
      <c r="J54" s="284"/>
      <c r="K54" s="285"/>
      <c r="L54" s="283">
        <f>+E54-F54</f>
        <v>2</v>
      </c>
      <c r="M54" s="284"/>
      <c r="N54" s="285"/>
      <c r="O54" s="283">
        <f>+F54-I54</f>
        <v>23400</v>
      </c>
      <c r="P54" s="284"/>
      <c r="Q54" s="285"/>
      <c r="R54" s="26"/>
      <c r="S54" s="107">
        <v>0</v>
      </c>
    </row>
    <row r="55" spans="3:22" s="14" customFormat="1" ht="27" customHeight="1" thickBot="1">
      <c r="C55" s="15">
        <v>50</v>
      </c>
      <c r="D55" s="16" t="s">
        <v>56</v>
      </c>
      <c r="E55" s="17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S55" s="107"/>
      <c r="T55" s="7"/>
      <c r="U55" s="7"/>
      <c r="V55" s="7"/>
    </row>
    <row r="56" spans="3:22" ht="24" customHeight="1" thickBot="1">
      <c r="C56" s="27">
        <v>61341</v>
      </c>
      <c r="D56" s="28" t="s">
        <v>57</v>
      </c>
      <c r="E56" s="25">
        <f>+'[2]PAIEMENTS BUDGET 2021'!E56</f>
        <v>25000</v>
      </c>
      <c r="F56" s="283">
        <v>23736.59</v>
      </c>
      <c r="G56" s="284"/>
      <c r="H56" s="285"/>
      <c r="I56" s="283">
        <v>0</v>
      </c>
      <c r="J56" s="284"/>
      <c r="K56" s="285"/>
      <c r="L56" s="283">
        <f>+E56-F56</f>
        <v>1263.4099999999999</v>
      </c>
      <c r="M56" s="284"/>
      <c r="N56" s="285"/>
      <c r="O56" s="283">
        <f>+F56-I56</f>
        <v>23736.59</v>
      </c>
      <c r="P56" s="284"/>
      <c r="Q56" s="285"/>
      <c r="R56" s="26"/>
      <c r="S56" s="107">
        <v>0</v>
      </c>
    </row>
    <row r="57" spans="3:22" ht="24" customHeight="1" thickBot="1">
      <c r="C57" s="27">
        <v>61345</v>
      </c>
      <c r="D57" s="28" t="s">
        <v>58</v>
      </c>
      <c r="E57" s="25">
        <f>+'[2]PAIEMENTS BUDGET 2021'!E57</f>
        <v>40000</v>
      </c>
      <c r="F57" s="283">
        <v>34641.39</v>
      </c>
      <c r="G57" s="284"/>
      <c r="H57" s="285"/>
      <c r="I57" s="283">
        <v>34641.39</v>
      </c>
      <c r="J57" s="284"/>
      <c r="K57" s="285"/>
      <c r="L57" s="283">
        <f>+E57-F57</f>
        <v>5358.6100000000006</v>
      </c>
      <c r="M57" s="284"/>
      <c r="N57" s="285"/>
      <c r="O57" s="283">
        <f>+F57-I57</f>
        <v>0</v>
      </c>
      <c r="P57" s="284"/>
      <c r="Q57" s="285"/>
      <c r="R57" s="26"/>
      <c r="S57" s="107">
        <v>0</v>
      </c>
    </row>
    <row r="58" spans="3:22" s="14" customFormat="1" ht="27" customHeight="1" thickBot="1">
      <c r="C58" s="15">
        <v>60</v>
      </c>
      <c r="D58" s="16" t="s">
        <v>59</v>
      </c>
      <c r="E58" s="17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S58" s="107"/>
      <c r="T58" s="7"/>
      <c r="U58" s="7"/>
      <c r="V58" s="7"/>
    </row>
    <row r="59" spans="3:22" ht="24" customHeight="1" thickBot="1">
      <c r="C59" s="27">
        <v>61354</v>
      </c>
      <c r="D59" s="28" t="s">
        <v>60</v>
      </c>
      <c r="E59" s="25">
        <f>+'[2]PAIEMENTS BUDGET 2021'!E59</f>
        <v>391000</v>
      </c>
      <c r="F59" s="283">
        <f>+'[2]PAIEMENTS BUDGET 2021'!R59</f>
        <v>388875</v>
      </c>
      <c r="G59" s="284"/>
      <c r="H59" s="285"/>
      <c r="I59" s="283">
        <f>+F59</f>
        <v>388875</v>
      </c>
      <c r="J59" s="284"/>
      <c r="K59" s="285"/>
      <c r="L59" s="283">
        <f>+E59-F59</f>
        <v>2125</v>
      </c>
      <c r="M59" s="284"/>
      <c r="N59" s="285"/>
      <c r="O59" s="283">
        <f>+F59-I59</f>
        <v>0</v>
      </c>
      <c r="P59" s="284"/>
      <c r="Q59" s="285"/>
      <c r="R59" s="26"/>
      <c r="S59" s="107">
        <v>291336</v>
      </c>
    </row>
    <row r="60" spans="3:22" ht="24" customHeight="1" thickBot="1">
      <c r="C60" s="27">
        <v>61355</v>
      </c>
      <c r="D60" s="28" t="s">
        <v>61</v>
      </c>
      <c r="E60" s="25">
        <f>+'[2]PAIEMENTS BUDGET 2021'!E60</f>
        <v>100000</v>
      </c>
      <c r="F60" s="283">
        <v>99379.8</v>
      </c>
      <c r="G60" s="284"/>
      <c r="H60" s="285"/>
      <c r="I60" s="283">
        <v>99379.8</v>
      </c>
      <c r="J60" s="284"/>
      <c r="K60" s="285"/>
      <c r="L60" s="283">
        <f>+E60-F60</f>
        <v>620.19999999999709</v>
      </c>
      <c r="M60" s="284"/>
      <c r="N60" s="285"/>
      <c r="O60" s="283">
        <f>+F60-I60</f>
        <v>0</v>
      </c>
      <c r="P60" s="284"/>
      <c r="Q60" s="285"/>
      <c r="R60" s="26"/>
      <c r="S60" s="107">
        <v>0</v>
      </c>
    </row>
    <row r="61" spans="3:22" s="14" customFormat="1" ht="27" customHeight="1" thickBot="1">
      <c r="C61" s="15">
        <v>70</v>
      </c>
      <c r="D61" s="16" t="s">
        <v>62</v>
      </c>
      <c r="E61" s="17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S61" s="107"/>
      <c r="T61" s="7"/>
      <c r="U61" s="7"/>
      <c r="V61" s="7"/>
    </row>
    <row r="62" spans="3:22" ht="24.75" customHeight="1" thickBot="1">
      <c r="C62" s="27">
        <v>61425</v>
      </c>
      <c r="D62" s="28" t="s">
        <v>63</v>
      </c>
      <c r="E62" s="25">
        <f>+'[2]PAIEMENTS BUDGET 2021'!E62</f>
        <v>10000</v>
      </c>
      <c r="F62" s="283">
        <f>+'[2]PAIEMENTS BUDGET 2021'!R62</f>
        <v>9960</v>
      </c>
      <c r="G62" s="284"/>
      <c r="H62" s="285"/>
      <c r="I62" s="283">
        <v>9960</v>
      </c>
      <c r="J62" s="284"/>
      <c r="K62" s="285"/>
      <c r="L62" s="283">
        <f t="shared" ref="L62:L67" si="5">+E62-F62</f>
        <v>40</v>
      </c>
      <c r="M62" s="284"/>
      <c r="N62" s="285"/>
      <c r="O62" s="283">
        <f t="shared" ref="O62:O67" si="6">+F62-I62</f>
        <v>0</v>
      </c>
      <c r="P62" s="284"/>
      <c r="Q62" s="285"/>
      <c r="R62" s="26"/>
      <c r="S62" s="107">
        <v>0</v>
      </c>
    </row>
    <row r="63" spans="3:22" ht="24" customHeight="1" thickBot="1">
      <c r="C63" s="27">
        <v>614311</v>
      </c>
      <c r="D63" s="28" t="s">
        <v>64</v>
      </c>
      <c r="E63" s="25">
        <f>+'[2]PAIEMENTS BUDGET 2021'!E63</f>
        <v>1100000</v>
      </c>
      <c r="F63" s="283">
        <f>+'[2]PAIEMENTS BUDGET 2021'!R63</f>
        <v>1100000</v>
      </c>
      <c r="G63" s="284"/>
      <c r="H63" s="285"/>
      <c r="I63" s="283">
        <f>+F63</f>
        <v>1100000</v>
      </c>
      <c r="J63" s="284"/>
      <c r="K63" s="285"/>
      <c r="L63" s="283">
        <f t="shared" si="5"/>
        <v>0</v>
      </c>
      <c r="M63" s="284"/>
      <c r="N63" s="285"/>
      <c r="O63" s="283">
        <f t="shared" si="6"/>
        <v>0</v>
      </c>
      <c r="P63" s="284"/>
      <c r="Q63" s="285"/>
      <c r="R63" s="26"/>
      <c r="S63" s="107">
        <v>689960</v>
      </c>
    </row>
    <row r="64" spans="3:22" ht="24" customHeight="1" thickBot="1">
      <c r="C64" s="27">
        <v>61711</v>
      </c>
      <c r="D64" s="28" t="s">
        <v>65</v>
      </c>
      <c r="E64" s="25">
        <f>+'[2]PAIEMENTS BUDGET 2021'!E64</f>
        <v>20000</v>
      </c>
      <c r="F64" s="283">
        <f>+'[2]PAIEMENTS BUDGET 2021'!R64</f>
        <v>13120</v>
      </c>
      <c r="G64" s="284"/>
      <c r="H64" s="285"/>
      <c r="I64" s="283">
        <f>+F64</f>
        <v>13120</v>
      </c>
      <c r="J64" s="284"/>
      <c r="K64" s="285"/>
      <c r="L64" s="283">
        <f t="shared" si="5"/>
        <v>6880</v>
      </c>
      <c r="M64" s="284"/>
      <c r="N64" s="285"/>
      <c r="O64" s="283">
        <f t="shared" si="6"/>
        <v>0</v>
      </c>
      <c r="P64" s="284"/>
      <c r="Q64" s="285"/>
      <c r="R64" s="26"/>
      <c r="S64" s="107">
        <v>5600</v>
      </c>
    </row>
    <row r="65" spans="3:22" ht="24" hidden="1" customHeight="1" thickBot="1">
      <c r="C65" s="27">
        <v>614313</v>
      </c>
      <c r="D65" s="28" t="s">
        <v>66</v>
      </c>
      <c r="E65" s="25">
        <v>0</v>
      </c>
      <c r="F65" s="330">
        <f>+'[2]PAIEMENTS BUDGET 2021'!R65</f>
        <v>0</v>
      </c>
      <c r="G65" s="331"/>
      <c r="H65" s="332"/>
      <c r="I65" s="283"/>
      <c r="J65" s="284"/>
      <c r="K65" s="285"/>
      <c r="L65" s="283">
        <f t="shared" si="5"/>
        <v>0</v>
      </c>
      <c r="M65" s="284"/>
      <c r="N65" s="285"/>
      <c r="O65" s="283">
        <f t="shared" si="6"/>
        <v>0</v>
      </c>
      <c r="P65" s="284"/>
      <c r="Q65" s="285"/>
      <c r="R65" s="26"/>
      <c r="S65" s="107">
        <v>0</v>
      </c>
    </row>
    <row r="66" spans="3:22" ht="24.75" hidden="1" customHeight="1" thickBot="1">
      <c r="C66" s="27">
        <v>61435</v>
      </c>
      <c r="D66" s="28" t="s">
        <v>67</v>
      </c>
      <c r="E66" s="25">
        <f>+'[2]PAIEMENTS BUDGET 2021'!E66</f>
        <v>0</v>
      </c>
      <c r="F66" s="330">
        <f>+'[2]PAIEMENTS BUDGET 2021'!R66</f>
        <v>0</v>
      </c>
      <c r="G66" s="331"/>
      <c r="H66" s="332"/>
      <c r="I66" s="283"/>
      <c r="J66" s="284"/>
      <c r="K66" s="285"/>
      <c r="L66" s="283">
        <f t="shared" si="5"/>
        <v>0</v>
      </c>
      <c r="M66" s="284"/>
      <c r="N66" s="285"/>
      <c r="O66" s="283">
        <f t="shared" si="6"/>
        <v>0</v>
      </c>
      <c r="P66" s="284"/>
      <c r="Q66" s="285"/>
      <c r="R66" s="26"/>
      <c r="S66" s="107">
        <v>0</v>
      </c>
    </row>
    <row r="67" spans="3:22" ht="24" customHeight="1" thickBot="1">
      <c r="C67" s="27">
        <v>61436</v>
      </c>
      <c r="D67" s="28" t="s">
        <v>68</v>
      </c>
      <c r="E67" s="25">
        <f>+'[2]PAIEMENTS BUDGET 2021'!E67</f>
        <v>170000</v>
      </c>
      <c r="F67" s="283">
        <f>+'[2]PAIEMENTS BUDGET 2021'!R67</f>
        <v>169950</v>
      </c>
      <c r="G67" s="284"/>
      <c r="H67" s="285"/>
      <c r="I67" s="283">
        <v>169950</v>
      </c>
      <c r="J67" s="284"/>
      <c r="K67" s="285"/>
      <c r="L67" s="283">
        <f t="shared" si="5"/>
        <v>50</v>
      </c>
      <c r="M67" s="284"/>
      <c r="N67" s="285"/>
      <c r="O67" s="283">
        <f t="shared" si="6"/>
        <v>0</v>
      </c>
      <c r="P67" s="284"/>
      <c r="Q67" s="285"/>
      <c r="R67" s="26"/>
      <c r="S67" s="107">
        <v>169950</v>
      </c>
    </row>
    <row r="68" spans="3:22" s="14" customFormat="1" ht="27" customHeight="1" thickBot="1">
      <c r="C68" s="15">
        <v>80</v>
      </c>
      <c r="D68" s="16" t="s">
        <v>69</v>
      </c>
      <c r="E68" s="17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S68" s="107"/>
      <c r="T68" s="7"/>
      <c r="U68" s="7"/>
      <c r="V68" s="7"/>
    </row>
    <row r="69" spans="3:22" ht="24" customHeight="1" thickBot="1">
      <c r="C69" s="27">
        <v>61451</v>
      </c>
      <c r="D69" s="28" t="s">
        <v>70</v>
      </c>
      <c r="E69" s="25">
        <f>+'[2]PAIEMENTS BUDGET 2021'!E69</f>
        <v>10000</v>
      </c>
      <c r="F69" s="283">
        <v>10000</v>
      </c>
      <c r="G69" s="284"/>
      <c r="H69" s="285"/>
      <c r="I69" s="283">
        <v>10000</v>
      </c>
      <c r="J69" s="284"/>
      <c r="K69" s="285"/>
      <c r="L69" s="283">
        <f>+E69-F69</f>
        <v>0</v>
      </c>
      <c r="M69" s="284"/>
      <c r="N69" s="285"/>
      <c r="O69" s="283">
        <f>+F69-I69</f>
        <v>0</v>
      </c>
      <c r="P69" s="284"/>
      <c r="Q69" s="285"/>
      <c r="R69" s="26"/>
      <c r="S69" s="107">
        <v>10000</v>
      </c>
    </row>
    <row r="70" spans="3:22" ht="24" customHeight="1" thickBot="1">
      <c r="C70" s="27">
        <v>61455</v>
      </c>
      <c r="D70" s="28" t="s">
        <v>71</v>
      </c>
      <c r="E70" s="25">
        <f>+'[2]PAIEMENTS BUDGET 2021'!E70</f>
        <v>250000</v>
      </c>
      <c r="F70" s="283">
        <v>250000</v>
      </c>
      <c r="G70" s="284"/>
      <c r="H70" s="285"/>
      <c r="I70" s="283">
        <v>250000</v>
      </c>
      <c r="J70" s="284"/>
      <c r="K70" s="285"/>
      <c r="L70" s="283">
        <f>+E70-F70</f>
        <v>0</v>
      </c>
      <c r="M70" s="284"/>
      <c r="N70" s="285"/>
      <c r="O70" s="283">
        <f>+F70-I70</f>
        <v>0</v>
      </c>
      <c r="P70" s="284"/>
      <c r="Q70" s="285"/>
      <c r="R70" s="26"/>
      <c r="S70" s="107">
        <v>250000</v>
      </c>
    </row>
    <row r="71" spans="3:22" s="14" customFormat="1" ht="27" customHeight="1" thickBot="1">
      <c r="C71" s="15">
        <v>90</v>
      </c>
      <c r="D71" s="16" t="s">
        <v>72</v>
      </c>
      <c r="E71" s="17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S71" s="107"/>
      <c r="T71" s="7"/>
      <c r="U71" s="7"/>
      <c r="V71" s="7"/>
    </row>
    <row r="72" spans="3:22" ht="24" customHeight="1" thickBot="1">
      <c r="C72" s="27">
        <v>61611</v>
      </c>
      <c r="D72" s="28" t="s">
        <v>73</v>
      </c>
      <c r="E72" s="25">
        <f>+'[2]PAIEMENTS BUDGET 2021'!E72</f>
        <v>210000</v>
      </c>
      <c r="F72" s="283">
        <v>209841.3</v>
      </c>
      <c r="G72" s="284"/>
      <c r="H72" s="285"/>
      <c r="I72" s="283">
        <v>209841.3</v>
      </c>
      <c r="J72" s="284"/>
      <c r="K72" s="285"/>
      <c r="L72" s="283">
        <f>+E72-F72</f>
        <v>158.70000000001164</v>
      </c>
      <c r="M72" s="284"/>
      <c r="N72" s="285"/>
      <c r="O72" s="283">
        <f>+F72-I72</f>
        <v>0</v>
      </c>
      <c r="P72" s="284"/>
      <c r="Q72" s="285"/>
      <c r="R72" s="26"/>
      <c r="S72" s="107">
        <v>209841.3</v>
      </c>
    </row>
    <row r="73" spans="3:22" ht="24" customHeight="1" thickBot="1">
      <c r="C73" s="27">
        <v>61673</v>
      </c>
      <c r="D73" s="28" t="s">
        <v>74</v>
      </c>
      <c r="E73" s="25">
        <f>+'[2]PAIEMENTS BUDGET 2021'!E73</f>
        <v>13150</v>
      </c>
      <c r="F73" s="296">
        <f>+'[2]PAIEMENTS BUDGET 2021'!R73</f>
        <v>13150</v>
      </c>
      <c r="G73" s="297"/>
      <c r="H73" s="298"/>
      <c r="I73" s="296">
        <f>+'[2]PAIEMENTS BUDGET 2021'!R73</f>
        <v>13150</v>
      </c>
      <c r="J73" s="297"/>
      <c r="K73" s="298"/>
      <c r="L73" s="283">
        <f>+E73-F73</f>
        <v>0</v>
      </c>
      <c r="M73" s="284"/>
      <c r="N73" s="285"/>
      <c r="O73" s="283">
        <f>+F73-I73</f>
        <v>0</v>
      </c>
      <c r="P73" s="284"/>
      <c r="Q73" s="285"/>
      <c r="R73" s="26"/>
      <c r="S73" s="107">
        <v>13150</v>
      </c>
    </row>
    <row r="74" spans="3:22" s="39" customFormat="1" ht="24" customHeight="1" thickBot="1">
      <c r="C74" s="48"/>
      <c r="D74" s="49" t="s">
        <v>28</v>
      </c>
      <c r="E74" s="50">
        <f>SUM(E33:E73)</f>
        <v>5119150</v>
      </c>
      <c r="F74" s="277">
        <f>SUM(F33:F73)</f>
        <v>4736758.7399999993</v>
      </c>
      <c r="G74" s="278" t="e">
        <f t="shared" ref="G74:Q74" si="7">SUM(G34:G73)</f>
        <v>#REF!</v>
      </c>
      <c r="H74" s="279" t="e">
        <f t="shared" si="7"/>
        <v>#REF!</v>
      </c>
      <c r="I74" s="277">
        <f>SUM(I33:I73)</f>
        <v>4243138.1499999994</v>
      </c>
      <c r="J74" s="278">
        <f t="shared" si="7"/>
        <v>0</v>
      </c>
      <c r="K74" s="279">
        <f t="shared" si="7"/>
        <v>0</v>
      </c>
      <c r="L74" s="277">
        <f>SUM(L33:L73)</f>
        <v>382391.25999999995</v>
      </c>
      <c r="M74" s="278">
        <f t="shared" si="7"/>
        <v>0</v>
      </c>
      <c r="N74" s="279">
        <f t="shared" si="7"/>
        <v>0</v>
      </c>
      <c r="O74" s="277">
        <f>SUM(O33:O73)</f>
        <v>493620.59</v>
      </c>
      <c r="P74" s="278">
        <f t="shared" si="7"/>
        <v>0</v>
      </c>
      <c r="Q74" s="279">
        <f t="shared" si="7"/>
        <v>0</v>
      </c>
      <c r="R74" s="37"/>
      <c r="S74" s="106"/>
      <c r="T74" s="38"/>
      <c r="U74" s="38"/>
      <c r="V74" s="38"/>
    </row>
    <row r="75" spans="3:22" s="14" customFormat="1" ht="24" customHeight="1" thickBot="1">
      <c r="C75" s="19">
        <v>20</v>
      </c>
      <c r="D75" s="20" t="s">
        <v>75</v>
      </c>
      <c r="E75" s="21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S75" s="104"/>
      <c r="T75" s="7"/>
      <c r="U75" s="7"/>
      <c r="V75" s="7"/>
    </row>
    <row r="76" spans="3:22" s="14" customFormat="1" ht="24" customHeight="1" thickBot="1">
      <c r="C76" s="15">
        <v>10</v>
      </c>
      <c r="D76" s="16" t="s">
        <v>76</v>
      </c>
      <c r="E76" s="17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S76" s="104"/>
      <c r="T76" s="7"/>
      <c r="U76" s="7"/>
      <c r="V76" s="7"/>
    </row>
    <row r="77" spans="3:22" ht="26.25" customHeight="1" thickBot="1">
      <c r="C77" s="51">
        <v>61441</v>
      </c>
      <c r="D77" s="28" t="s">
        <v>77</v>
      </c>
      <c r="E77" s="25">
        <f>+'[2]PAIEMENTS BUDGET 2021'!E77</f>
        <v>40000</v>
      </c>
      <c r="F77" s="283">
        <f>+'[2]PAIEMENTS BUDGET 2021'!R77+27600</f>
        <v>36600</v>
      </c>
      <c r="G77" s="284"/>
      <c r="H77" s="285"/>
      <c r="I77" s="283">
        <v>9000</v>
      </c>
      <c r="J77" s="284"/>
      <c r="K77" s="285"/>
      <c r="L77" s="283">
        <f>+E77-F77</f>
        <v>3400</v>
      </c>
      <c r="M77" s="284"/>
      <c r="N77" s="285"/>
      <c r="O77" s="283">
        <f>+F77-I77</f>
        <v>27600</v>
      </c>
      <c r="P77" s="284"/>
      <c r="Q77" s="285"/>
      <c r="R77" s="26"/>
    </row>
    <row r="78" spans="3:22" ht="26.25" customHeight="1" thickBot="1">
      <c r="C78" s="51">
        <v>61443</v>
      </c>
      <c r="D78" s="28" t="s">
        <v>78</v>
      </c>
      <c r="E78" s="25">
        <v>40000</v>
      </c>
      <c r="F78" s="283">
        <v>39600</v>
      </c>
      <c r="G78" s="284"/>
      <c r="H78" s="285"/>
      <c r="I78" s="283">
        <v>0</v>
      </c>
      <c r="J78" s="284"/>
      <c r="K78" s="285"/>
      <c r="L78" s="283">
        <f>+E78-F78</f>
        <v>400</v>
      </c>
      <c r="M78" s="284"/>
      <c r="N78" s="285"/>
      <c r="O78" s="283">
        <f>+F78-I78</f>
        <v>39600</v>
      </c>
      <c r="P78" s="284"/>
      <c r="Q78" s="285"/>
      <c r="R78" s="26"/>
    </row>
    <row r="79" spans="3:22" ht="27" customHeight="1" thickBot="1">
      <c r="C79" s="51">
        <v>61444</v>
      </c>
      <c r="D79" s="28" t="s">
        <v>79</v>
      </c>
      <c r="E79" s="25">
        <v>20000</v>
      </c>
      <c r="F79" s="283">
        <v>19920</v>
      </c>
      <c r="G79" s="284"/>
      <c r="H79" s="285"/>
      <c r="I79" s="283">
        <v>0</v>
      </c>
      <c r="J79" s="284"/>
      <c r="K79" s="285"/>
      <c r="L79" s="283">
        <f>+E79-F79</f>
        <v>80</v>
      </c>
      <c r="M79" s="284"/>
      <c r="N79" s="285"/>
      <c r="O79" s="283">
        <f>+F79-I79</f>
        <v>19920</v>
      </c>
      <c r="P79" s="284"/>
      <c r="Q79" s="285"/>
      <c r="R79" s="26"/>
    </row>
    <row r="80" spans="3:22" ht="30.75" customHeight="1" thickBot="1">
      <c r="C80" s="51">
        <v>61448</v>
      </c>
      <c r="D80" s="28" t="s">
        <v>80</v>
      </c>
      <c r="E80" s="25">
        <f>+'[2]PAIEMENTS BUDGET 2021'!E80</f>
        <v>50000</v>
      </c>
      <c r="F80" s="283">
        <v>49800</v>
      </c>
      <c r="G80" s="284"/>
      <c r="H80" s="285"/>
      <c r="I80" s="283">
        <v>0</v>
      </c>
      <c r="J80" s="284"/>
      <c r="K80" s="285"/>
      <c r="L80" s="283">
        <f>+E80-F80</f>
        <v>200</v>
      </c>
      <c r="M80" s="284"/>
      <c r="N80" s="285"/>
      <c r="O80" s="283">
        <f>+F80-I80</f>
        <v>49800</v>
      </c>
      <c r="P80" s="284"/>
      <c r="Q80" s="285"/>
      <c r="R80" s="26"/>
    </row>
    <row r="81" spans="3:22" hidden="1" thickBot="1">
      <c r="C81" s="51">
        <v>61449</v>
      </c>
      <c r="D81" s="28" t="s">
        <v>81</v>
      </c>
      <c r="E81" s="25">
        <v>0</v>
      </c>
      <c r="F81" s="283"/>
      <c r="G81" s="284"/>
      <c r="H81" s="285"/>
      <c r="I81" s="283"/>
      <c r="J81" s="284"/>
      <c r="K81" s="285"/>
      <c r="L81" s="283">
        <f>+E81-F81</f>
        <v>0</v>
      </c>
      <c r="M81" s="284"/>
      <c r="N81" s="285"/>
      <c r="O81" s="283">
        <f>+F81-I81</f>
        <v>0</v>
      </c>
      <c r="P81" s="284"/>
      <c r="Q81" s="285"/>
      <c r="R81" s="26"/>
    </row>
    <row r="82" spans="3:22" s="39" customFormat="1" ht="24" customHeight="1" thickBot="1">
      <c r="C82" s="48"/>
      <c r="D82" s="49" t="s">
        <v>82</v>
      </c>
      <c r="E82" s="52">
        <f>SUM(E77:E81)</f>
        <v>150000</v>
      </c>
      <c r="F82" s="273">
        <f>SUM(F77:F81)</f>
        <v>145920</v>
      </c>
      <c r="G82" s="274"/>
      <c r="H82" s="275"/>
      <c r="I82" s="273">
        <f>SUM(I77:I81)</f>
        <v>9000</v>
      </c>
      <c r="J82" s="274"/>
      <c r="K82" s="276"/>
      <c r="L82" s="277">
        <f t="shared" ref="L82:Q82" si="8">SUM(L77:L81)</f>
        <v>4080</v>
      </c>
      <c r="M82" s="278">
        <f t="shared" si="8"/>
        <v>0</v>
      </c>
      <c r="N82" s="279">
        <f t="shared" si="8"/>
        <v>0</v>
      </c>
      <c r="O82" s="277">
        <f t="shared" si="8"/>
        <v>136920</v>
      </c>
      <c r="P82" s="278">
        <f t="shared" si="8"/>
        <v>0</v>
      </c>
      <c r="Q82" s="279">
        <f t="shared" si="8"/>
        <v>0</v>
      </c>
      <c r="R82" s="37"/>
      <c r="S82" s="106"/>
      <c r="T82" s="38"/>
      <c r="U82" s="38"/>
      <c r="V82" s="38"/>
    </row>
    <row r="83" spans="3:22" s="39" customFormat="1" ht="24" customHeight="1" thickBot="1">
      <c r="C83" s="40"/>
      <c r="D83" s="41" t="s">
        <v>83</v>
      </c>
      <c r="E83" s="53">
        <f>+E74+E82</f>
        <v>5269150</v>
      </c>
      <c r="F83" s="280">
        <f>+F74+F82</f>
        <v>4882678.7399999993</v>
      </c>
      <c r="G83" s="281" t="e">
        <f t="shared" ref="G83:Q83" si="9">+G74+G82</f>
        <v>#REF!</v>
      </c>
      <c r="H83" s="282" t="e">
        <f t="shared" si="9"/>
        <v>#REF!</v>
      </c>
      <c r="I83" s="280">
        <f t="shared" si="9"/>
        <v>4252138.1499999994</v>
      </c>
      <c r="J83" s="281">
        <f t="shared" si="9"/>
        <v>0</v>
      </c>
      <c r="K83" s="282">
        <f t="shared" si="9"/>
        <v>0</v>
      </c>
      <c r="L83" s="280">
        <f t="shared" si="9"/>
        <v>386471.25999999995</v>
      </c>
      <c r="M83" s="281">
        <f t="shared" si="9"/>
        <v>0</v>
      </c>
      <c r="N83" s="282">
        <f t="shared" si="9"/>
        <v>0</v>
      </c>
      <c r="O83" s="280">
        <f t="shared" si="9"/>
        <v>630540.59000000008</v>
      </c>
      <c r="P83" s="281">
        <f t="shared" si="9"/>
        <v>0</v>
      </c>
      <c r="Q83" s="282">
        <f t="shared" si="9"/>
        <v>0</v>
      </c>
      <c r="R83" s="37"/>
      <c r="S83" s="106"/>
      <c r="T83" s="38"/>
      <c r="U83" s="38"/>
      <c r="V83" s="38"/>
    </row>
    <row r="84" spans="3:22" s="39" customFormat="1" ht="39.75" customHeight="1" thickBot="1">
      <c r="C84" s="294" t="s">
        <v>84</v>
      </c>
      <c r="D84" s="295"/>
      <c r="E84" s="54">
        <f>+E83</f>
        <v>5269150</v>
      </c>
      <c r="F84" s="265">
        <f>+F83</f>
        <v>4882678.7399999993</v>
      </c>
      <c r="G84" s="266" t="e">
        <f t="shared" ref="G84:Q84" si="10">+G83</f>
        <v>#REF!</v>
      </c>
      <c r="H84" s="267" t="e">
        <f t="shared" si="10"/>
        <v>#REF!</v>
      </c>
      <c r="I84" s="265">
        <f t="shared" si="10"/>
        <v>4252138.1499999994</v>
      </c>
      <c r="J84" s="266">
        <f t="shared" si="10"/>
        <v>0</v>
      </c>
      <c r="K84" s="267">
        <f t="shared" si="10"/>
        <v>0</v>
      </c>
      <c r="L84" s="265">
        <f t="shared" si="10"/>
        <v>386471.25999999995</v>
      </c>
      <c r="M84" s="266">
        <f t="shared" si="10"/>
        <v>0</v>
      </c>
      <c r="N84" s="267">
        <f t="shared" si="10"/>
        <v>0</v>
      </c>
      <c r="O84" s="265">
        <f t="shared" si="10"/>
        <v>630540.59000000008</v>
      </c>
      <c r="P84" s="266">
        <f t="shared" si="10"/>
        <v>0</v>
      </c>
      <c r="Q84" s="267">
        <f t="shared" si="10"/>
        <v>0</v>
      </c>
      <c r="R84" s="37"/>
      <c r="S84" s="106"/>
      <c r="T84" s="38"/>
      <c r="U84" s="38"/>
      <c r="V84" s="38"/>
    </row>
    <row r="85" spans="3:22" s="39" customFormat="1" ht="49.5" customHeight="1" thickBot="1">
      <c r="C85" s="268" t="s">
        <v>85</v>
      </c>
      <c r="D85" s="269"/>
      <c r="E85" s="55">
        <f>+E28+E84</f>
        <v>18019295.490000002</v>
      </c>
      <c r="F85" s="270">
        <f>+F84+F28</f>
        <v>16452351.650000002</v>
      </c>
      <c r="G85" s="271"/>
      <c r="H85" s="272"/>
      <c r="I85" s="270">
        <f t="shared" ref="I85:Q85" si="11">+I84+I28</f>
        <v>15478321.91</v>
      </c>
      <c r="J85" s="271">
        <f t="shared" si="11"/>
        <v>0</v>
      </c>
      <c r="K85" s="272">
        <f t="shared" si="11"/>
        <v>0</v>
      </c>
      <c r="L85" s="270">
        <f t="shared" si="11"/>
        <v>1566943.84</v>
      </c>
      <c r="M85" s="271">
        <f t="shared" si="11"/>
        <v>0</v>
      </c>
      <c r="N85" s="272">
        <f t="shared" si="11"/>
        <v>0</v>
      </c>
      <c r="O85" s="270">
        <f t="shared" si="11"/>
        <v>974029.74000000011</v>
      </c>
      <c r="P85" s="271">
        <f t="shared" si="11"/>
        <v>0</v>
      </c>
      <c r="Q85" s="272">
        <f t="shared" si="11"/>
        <v>0</v>
      </c>
      <c r="R85" s="37"/>
      <c r="S85" s="106"/>
      <c r="T85" s="38"/>
      <c r="U85" s="38"/>
      <c r="V85" s="38"/>
    </row>
    <row r="86" spans="3:22" s="61" customFormat="1" ht="6" customHeight="1">
      <c r="C86" s="56"/>
      <c r="D86" s="57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9"/>
      <c r="S86" s="108"/>
      <c r="T86" s="60"/>
      <c r="U86" s="60"/>
      <c r="V86" s="60"/>
    </row>
    <row r="87" spans="3:22" s="61" customFormat="1" ht="6" customHeight="1" thickBot="1">
      <c r="C87" s="56"/>
      <c r="D87" s="57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9"/>
      <c r="S87" s="108"/>
      <c r="T87" s="60"/>
      <c r="U87" s="60"/>
      <c r="V87" s="60"/>
    </row>
    <row r="88" spans="3:22" s="14" customFormat="1" ht="38.25" customHeight="1" thickBot="1">
      <c r="C88" s="292" t="s">
        <v>86</v>
      </c>
      <c r="D88" s="293"/>
      <c r="E88" s="62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S88" s="104"/>
      <c r="T88" s="7"/>
      <c r="U88" s="7"/>
      <c r="V88" s="7"/>
    </row>
    <row r="89" spans="3:22" s="14" customFormat="1" ht="24" hidden="1" customHeight="1" thickBot="1">
      <c r="C89" s="15">
        <v>602</v>
      </c>
      <c r="D89" s="16" t="s">
        <v>10</v>
      </c>
      <c r="E89" s="17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S89" s="104"/>
      <c r="T89" s="7"/>
      <c r="U89" s="7"/>
      <c r="V89" s="7"/>
    </row>
    <row r="90" spans="3:22" s="14" customFormat="1" ht="24" hidden="1" customHeight="1" thickBot="1">
      <c r="C90" s="19">
        <v>10</v>
      </c>
      <c r="D90" s="20" t="s">
        <v>87</v>
      </c>
      <c r="E90" s="21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S90" s="104"/>
      <c r="T90" s="7"/>
      <c r="U90" s="7"/>
      <c r="V90" s="7"/>
    </row>
    <row r="91" spans="3:22" s="14" customFormat="1" ht="24" hidden="1" customHeight="1" thickBot="1">
      <c r="C91" s="15">
        <v>10</v>
      </c>
      <c r="D91" s="16" t="s">
        <v>88</v>
      </c>
      <c r="E91" s="17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S91" s="104"/>
      <c r="T91" s="7"/>
      <c r="U91" s="7"/>
      <c r="V91" s="7"/>
    </row>
    <row r="92" spans="3:22" ht="24" hidden="1" customHeight="1" thickBot="1">
      <c r="C92" s="23">
        <v>2285101</v>
      </c>
      <c r="D92" s="24" t="s">
        <v>89</v>
      </c>
      <c r="E92" s="25">
        <v>0</v>
      </c>
      <c r="F92" s="283"/>
      <c r="G92" s="284"/>
      <c r="H92" s="285"/>
      <c r="I92" s="283"/>
      <c r="J92" s="284"/>
      <c r="K92" s="285"/>
      <c r="L92" s="283">
        <f>+E92-F92</f>
        <v>0</v>
      </c>
      <c r="M92" s="284"/>
      <c r="N92" s="285"/>
      <c r="O92" s="283">
        <f>+F92-I92</f>
        <v>0</v>
      </c>
      <c r="P92" s="284"/>
      <c r="Q92" s="285"/>
      <c r="R92" s="26"/>
    </row>
    <row r="93" spans="3:22" ht="24" hidden="1" customHeight="1" thickBot="1">
      <c r="C93" s="23">
        <v>2128101</v>
      </c>
      <c r="D93" s="24" t="s">
        <v>90</v>
      </c>
      <c r="E93" s="25">
        <f>+'[2]PAIEMENTS BUDGET 2021'!E93</f>
        <v>0</v>
      </c>
      <c r="F93" s="283"/>
      <c r="G93" s="284"/>
      <c r="H93" s="285"/>
      <c r="I93" s="283"/>
      <c r="J93" s="284"/>
      <c r="K93" s="285"/>
      <c r="L93" s="283">
        <f>+E93-F93</f>
        <v>0</v>
      </c>
      <c r="M93" s="284"/>
      <c r="N93" s="285"/>
      <c r="O93" s="283">
        <f>+F93-I93</f>
        <v>0</v>
      </c>
      <c r="P93" s="284"/>
      <c r="Q93" s="285"/>
      <c r="R93" s="26"/>
    </row>
    <row r="94" spans="3:22" s="31" customFormat="1" ht="24" hidden="1" customHeight="1" thickBot="1">
      <c r="C94" s="27">
        <v>2128102</v>
      </c>
      <c r="D94" s="28" t="s">
        <v>91</v>
      </c>
      <c r="E94" s="25">
        <v>0</v>
      </c>
      <c r="F94" s="283"/>
      <c r="G94" s="284"/>
      <c r="H94" s="285"/>
      <c r="I94" s="283"/>
      <c r="J94" s="284"/>
      <c r="K94" s="285"/>
      <c r="L94" s="283">
        <f>+E94-F94</f>
        <v>0</v>
      </c>
      <c r="M94" s="284"/>
      <c r="N94" s="285"/>
      <c r="O94" s="283">
        <f>+F94-I94</f>
        <v>0</v>
      </c>
      <c r="P94" s="284"/>
      <c r="Q94" s="285"/>
      <c r="R94" s="29"/>
      <c r="S94" s="104"/>
      <c r="T94" s="30"/>
      <c r="U94" s="30"/>
      <c r="V94" s="30"/>
    </row>
    <row r="95" spans="3:22" ht="41.25" hidden="1" customHeight="1" thickBot="1">
      <c r="C95" s="27">
        <v>2128103</v>
      </c>
      <c r="D95" s="45" t="s">
        <v>92</v>
      </c>
      <c r="E95" s="25">
        <f>+'[2]PAIEMENTS BUDGET 2021'!E95</f>
        <v>0</v>
      </c>
      <c r="F95" s="283"/>
      <c r="G95" s="284"/>
      <c r="H95" s="285"/>
      <c r="I95" s="283"/>
      <c r="J95" s="284"/>
      <c r="K95" s="285"/>
      <c r="L95" s="283">
        <f>+E95-F95</f>
        <v>0</v>
      </c>
      <c r="M95" s="284"/>
      <c r="N95" s="285"/>
      <c r="O95" s="283">
        <f>+F95-I95</f>
        <v>0</v>
      </c>
      <c r="P95" s="284"/>
      <c r="Q95" s="285"/>
      <c r="R95" s="26"/>
    </row>
    <row r="96" spans="3:22" s="39" customFormat="1" ht="24" hidden="1" customHeight="1" thickBot="1">
      <c r="C96" s="48"/>
      <c r="D96" s="49" t="s">
        <v>28</v>
      </c>
      <c r="E96" s="52">
        <f>SUM(E92:E95)</f>
        <v>0</v>
      </c>
      <c r="F96" s="277">
        <f>SUM(F92:F95)</f>
        <v>0</v>
      </c>
      <c r="G96" s="278">
        <f t="shared" ref="G96:Q96" si="12">SUM(G92:G95)</f>
        <v>0</v>
      </c>
      <c r="H96" s="279">
        <f t="shared" si="12"/>
        <v>0</v>
      </c>
      <c r="I96" s="277">
        <f t="shared" si="12"/>
        <v>0</v>
      </c>
      <c r="J96" s="278">
        <f t="shared" si="12"/>
        <v>0</v>
      </c>
      <c r="K96" s="279">
        <f t="shared" si="12"/>
        <v>0</v>
      </c>
      <c r="L96" s="277">
        <f t="shared" si="12"/>
        <v>0</v>
      </c>
      <c r="M96" s="278">
        <f t="shared" si="12"/>
        <v>0</v>
      </c>
      <c r="N96" s="279">
        <f t="shared" si="12"/>
        <v>0</v>
      </c>
      <c r="O96" s="277">
        <f t="shared" si="12"/>
        <v>0</v>
      </c>
      <c r="P96" s="278">
        <f t="shared" si="12"/>
        <v>0</v>
      </c>
      <c r="Q96" s="279">
        <f t="shared" si="12"/>
        <v>0</v>
      </c>
      <c r="R96" s="37"/>
      <c r="S96" s="106"/>
      <c r="T96" s="38"/>
      <c r="U96" s="38"/>
      <c r="V96" s="38"/>
    </row>
    <row r="97" spans="3:22" s="14" customFormat="1" ht="24" hidden="1" customHeight="1" thickBot="1">
      <c r="C97" s="19">
        <v>30</v>
      </c>
      <c r="D97" s="20" t="s">
        <v>93</v>
      </c>
      <c r="E97" s="21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S97" s="104"/>
      <c r="T97" s="7"/>
      <c r="U97" s="7"/>
      <c r="V97" s="7"/>
    </row>
    <row r="98" spans="3:22" ht="24" hidden="1" customHeight="1" thickBot="1">
      <c r="C98" s="15">
        <v>30</v>
      </c>
      <c r="D98" s="16" t="s">
        <v>88</v>
      </c>
      <c r="E98" s="32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26"/>
    </row>
    <row r="99" spans="3:22" ht="32.25" hidden="1" thickBot="1">
      <c r="C99" s="23">
        <v>2128304</v>
      </c>
      <c r="D99" s="64" t="s">
        <v>92</v>
      </c>
      <c r="E99" s="47">
        <f>+'[2]PAIEMENTS BUDGET 2021'!E99</f>
        <v>0</v>
      </c>
      <c r="F99" s="283"/>
      <c r="G99" s="284"/>
      <c r="H99" s="285"/>
      <c r="I99" s="283"/>
      <c r="J99" s="284"/>
      <c r="K99" s="285"/>
      <c r="L99" s="283">
        <f>+E99-F99</f>
        <v>0</v>
      </c>
      <c r="M99" s="284"/>
      <c r="N99" s="285"/>
      <c r="O99" s="283">
        <f>+F99-I99</f>
        <v>0</v>
      </c>
      <c r="P99" s="284"/>
      <c r="Q99" s="285"/>
      <c r="R99" s="26"/>
    </row>
    <row r="100" spans="3:22" s="39" customFormat="1" ht="24" hidden="1" customHeight="1" thickBot="1">
      <c r="C100" s="48"/>
      <c r="D100" s="49" t="s">
        <v>94</v>
      </c>
      <c r="E100" s="52">
        <f>+E99</f>
        <v>0</v>
      </c>
      <c r="F100" s="277">
        <f>SUM(F96:F99)</f>
        <v>0</v>
      </c>
      <c r="G100" s="278">
        <f t="shared" ref="G100:Q100" si="13">SUM(G96:G99)</f>
        <v>0</v>
      </c>
      <c r="H100" s="279">
        <f t="shared" si="13"/>
        <v>0</v>
      </c>
      <c r="I100" s="277">
        <f t="shared" si="13"/>
        <v>0</v>
      </c>
      <c r="J100" s="278">
        <f t="shared" si="13"/>
        <v>0</v>
      </c>
      <c r="K100" s="279">
        <f t="shared" si="13"/>
        <v>0</v>
      </c>
      <c r="L100" s="277">
        <f>+L99</f>
        <v>0</v>
      </c>
      <c r="M100" s="278">
        <f t="shared" si="13"/>
        <v>0</v>
      </c>
      <c r="N100" s="279">
        <f t="shared" si="13"/>
        <v>0</v>
      </c>
      <c r="O100" s="277">
        <f t="shared" si="13"/>
        <v>0</v>
      </c>
      <c r="P100" s="278">
        <f t="shared" si="13"/>
        <v>0</v>
      </c>
      <c r="Q100" s="279">
        <f t="shared" si="13"/>
        <v>0</v>
      </c>
      <c r="R100" s="37"/>
      <c r="S100" s="106"/>
      <c r="T100" s="38"/>
      <c r="U100" s="38"/>
      <c r="V100" s="38"/>
    </row>
    <row r="101" spans="3:22" s="14" customFormat="1" ht="24" customHeight="1" thickBot="1">
      <c r="C101" s="19">
        <v>70</v>
      </c>
      <c r="D101" s="20" t="s">
        <v>95</v>
      </c>
      <c r="E101" s="21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S101" s="104"/>
      <c r="T101" s="7"/>
      <c r="U101" s="7"/>
      <c r="V101" s="7"/>
    </row>
    <row r="102" spans="3:22" ht="24" customHeight="1" thickBot="1">
      <c r="C102" s="15">
        <v>40</v>
      </c>
      <c r="D102" s="16" t="s">
        <v>88</v>
      </c>
      <c r="E102" s="32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26"/>
    </row>
    <row r="103" spans="3:22" ht="24" customHeight="1" thickBot="1">
      <c r="C103" s="23">
        <v>2128702</v>
      </c>
      <c r="D103" s="64" t="s">
        <v>96</v>
      </c>
      <c r="E103" s="47">
        <f>+'[2]PAIEMENTS BUDGET 2021'!E103</f>
        <v>250000</v>
      </c>
      <c r="F103" s="283">
        <v>249600</v>
      </c>
      <c r="G103" s="284"/>
      <c r="H103" s="285"/>
      <c r="I103" s="283">
        <v>0</v>
      </c>
      <c r="J103" s="284"/>
      <c r="K103" s="285"/>
      <c r="L103" s="283">
        <f>+E103-F103</f>
        <v>400</v>
      </c>
      <c r="M103" s="284"/>
      <c r="N103" s="285"/>
      <c r="O103" s="283">
        <f>+F103-I103</f>
        <v>249600</v>
      </c>
      <c r="P103" s="284"/>
      <c r="Q103" s="285"/>
      <c r="R103" s="26"/>
    </row>
    <row r="104" spans="3:22" s="39" customFormat="1" ht="24" customHeight="1" thickBot="1">
      <c r="C104" s="48"/>
      <c r="D104" s="49" t="s">
        <v>97</v>
      </c>
      <c r="E104" s="52">
        <f>SUM(E103)</f>
        <v>250000</v>
      </c>
      <c r="F104" s="273">
        <f t="shared" ref="F104:I104" si="14">SUM(F103)</f>
        <v>249600</v>
      </c>
      <c r="G104" s="274"/>
      <c r="H104" s="275"/>
      <c r="I104" s="273">
        <f t="shared" si="14"/>
        <v>0</v>
      </c>
      <c r="J104" s="274"/>
      <c r="K104" s="276"/>
      <c r="L104" s="277">
        <f t="shared" ref="L104:Q104" si="15">SUM(L103)</f>
        <v>400</v>
      </c>
      <c r="M104" s="278">
        <f t="shared" si="15"/>
        <v>0</v>
      </c>
      <c r="N104" s="279">
        <f t="shared" si="15"/>
        <v>0</v>
      </c>
      <c r="O104" s="277">
        <f t="shared" si="15"/>
        <v>249600</v>
      </c>
      <c r="P104" s="278">
        <f t="shared" si="15"/>
        <v>0</v>
      </c>
      <c r="Q104" s="279">
        <f t="shared" si="15"/>
        <v>0</v>
      </c>
      <c r="R104" s="37"/>
      <c r="S104" s="106"/>
      <c r="T104" s="38"/>
      <c r="U104" s="38"/>
      <c r="V104" s="38"/>
    </row>
    <row r="105" spans="3:22" s="39" customFormat="1" ht="24" customHeight="1" thickBot="1">
      <c r="C105" s="40"/>
      <c r="D105" s="41" t="s">
        <v>29</v>
      </c>
      <c r="E105" s="53">
        <f>+E96+E104+E100</f>
        <v>250000</v>
      </c>
      <c r="F105" s="280">
        <f>+F96+F104</f>
        <v>249600</v>
      </c>
      <c r="G105" s="281">
        <f t="shared" ref="G105:Q105" si="16">+G96+G104</f>
        <v>0</v>
      </c>
      <c r="H105" s="282">
        <f t="shared" si="16"/>
        <v>0</v>
      </c>
      <c r="I105" s="280">
        <f t="shared" si="16"/>
        <v>0</v>
      </c>
      <c r="J105" s="281">
        <f t="shared" si="16"/>
        <v>0</v>
      </c>
      <c r="K105" s="282">
        <f t="shared" si="16"/>
        <v>0</v>
      </c>
      <c r="L105" s="280">
        <f>+L96+L104+L100</f>
        <v>400</v>
      </c>
      <c r="M105" s="281">
        <f t="shared" si="16"/>
        <v>0</v>
      </c>
      <c r="N105" s="282">
        <f t="shared" si="16"/>
        <v>0</v>
      </c>
      <c r="O105" s="280">
        <f t="shared" si="16"/>
        <v>249600</v>
      </c>
      <c r="P105" s="281">
        <f t="shared" si="16"/>
        <v>0</v>
      </c>
      <c r="Q105" s="282">
        <f t="shared" si="16"/>
        <v>0</v>
      </c>
      <c r="R105" s="37"/>
      <c r="S105" s="106"/>
      <c r="T105" s="38"/>
      <c r="U105" s="38"/>
      <c r="V105" s="38"/>
    </row>
    <row r="106" spans="3:22" s="14" customFormat="1" ht="24" customHeight="1" thickBot="1">
      <c r="C106" s="15">
        <v>610</v>
      </c>
      <c r="D106" s="16" t="s">
        <v>32</v>
      </c>
      <c r="E106" s="17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S106" s="104"/>
      <c r="T106" s="7"/>
      <c r="U106" s="7"/>
      <c r="V106" s="7"/>
    </row>
    <row r="107" spans="3:22" s="14" customFormat="1" ht="24" customHeight="1" thickBot="1">
      <c r="C107" s="19">
        <v>10</v>
      </c>
      <c r="D107" s="20" t="s">
        <v>11</v>
      </c>
      <c r="E107" s="21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S107" s="104"/>
      <c r="T107" s="7"/>
      <c r="U107" s="7"/>
      <c r="V107" s="7"/>
    </row>
    <row r="108" spans="3:22" s="14" customFormat="1" ht="24" customHeight="1" thickBot="1">
      <c r="C108" s="15">
        <v>10</v>
      </c>
      <c r="D108" s="16" t="s">
        <v>98</v>
      </c>
      <c r="E108" s="17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S108" s="104"/>
      <c r="T108" s="7"/>
      <c r="U108" s="7"/>
      <c r="V108" s="7"/>
    </row>
    <row r="109" spans="3:22" ht="24" hidden="1" customHeight="1" thickBot="1">
      <c r="C109" s="27">
        <v>61411</v>
      </c>
      <c r="D109" s="28" t="s">
        <v>99</v>
      </c>
      <c r="E109" s="47">
        <v>0</v>
      </c>
      <c r="F109" s="283">
        <f>+'[2]PAIEMENTS BUDGET 2021'!R109</f>
        <v>0</v>
      </c>
      <c r="G109" s="284"/>
      <c r="H109" s="285"/>
      <c r="I109" s="283">
        <v>0</v>
      </c>
      <c r="J109" s="284"/>
      <c r="K109" s="285"/>
      <c r="L109" s="283">
        <f>+E109-F109</f>
        <v>0</v>
      </c>
      <c r="M109" s="284"/>
      <c r="N109" s="285"/>
      <c r="O109" s="283">
        <f>+F109-I109</f>
        <v>0</v>
      </c>
      <c r="P109" s="284"/>
      <c r="Q109" s="285"/>
      <c r="R109" s="26"/>
    </row>
    <row r="110" spans="3:22" s="14" customFormat="1" ht="24" customHeight="1" thickBot="1">
      <c r="C110" s="15">
        <v>20</v>
      </c>
      <c r="D110" s="16" t="s">
        <v>100</v>
      </c>
      <c r="E110" s="17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S110" s="104"/>
      <c r="T110" s="7"/>
      <c r="U110" s="7"/>
      <c r="V110" s="7"/>
    </row>
    <row r="111" spans="3:22" ht="24" hidden="1" customHeight="1" thickBot="1">
      <c r="C111" s="27">
        <v>2327</v>
      </c>
      <c r="D111" s="28" t="s">
        <v>101</v>
      </c>
      <c r="E111" s="47">
        <v>0</v>
      </c>
      <c r="F111" s="283">
        <f>+'[2]PAIEMENTS BUDGET 2021'!R111</f>
        <v>0</v>
      </c>
      <c r="G111" s="284"/>
      <c r="H111" s="285"/>
      <c r="I111" s="283">
        <v>0</v>
      </c>
      <c r="J111" s="284"/>
      <c r="K111" s="285"/>
      <c r="L111" s="283">
        <f>+E111-F111</f>
        <v>0</v>
      </c>
      <c r="M111" s="284"/>
      <c r="N111" s="285"/>
      <c r="O111" s="283">
        <f>+F111-I111</f>
        <v>0</v>
      </c>
      <c r="P111" s="284"/>
      <c r="Q111" s="285"/>
      <c r="R111" s="26"/>
    </row>
    <row r="112" spans="3:22" ht="24" customHeight="1" thickBot="1">
      <c r="C112" s="23">
        <v>2327</v>
      </c>
      <c r="D112" s="64" t="s">
        <v>101</v>
      </c>
      <c r="E112" s="47">
        <f>+'[2]PAIEMENTS BUDGET 2021'!E112</f>
        <v>130000</v>
      </c>
      <c r="F112" s="289">
        <f>+'[2]PAIEMENTS BUDGET 2021'!R112</f>
        <v>129993.60000000001</v>
      </c>
      <c r="G112" s="290"/>
      <c r="H112" s="291"/>
      <c r="I112" s="283">
        <f>+F112</f>
        <v>129993.60000000001</v>
      </c>
      <c r="J112" s="284"/>
      <c r="K112" s="285"/>
      <c r="L112" s="283">
        <f>+E112-F112</f>
        <v>6.3999999999941792</v>
      </c>
      <c r="M112" s="284"/>
      <c r="N112" s="285"/>
      <c r="O112" s="283">
        <f>+F112-I112</f>
        <v>0</v>
      </c>
      <c r="P112" s="284"/>
      <c r="Q112" s="285"/>
      <c r="R112" s="26"/>
    </row>
    <row r="113" spans="3:22" s="14" customFormat="1" ht="27" customHeight="1" thickBot="1">
      <c r="C113" s="15">
        <v>30</v>
      </c>
      <c r="D113" s="16" t="s">
        <v>102</v>
      </c>
      <c r="E113" s="17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S113" s="104"/>
      <c r="T113" s="7"/>
      <c r="U113" s="7"/>
      <c r="V113" s="7"/>
    </row>
    <row r="114" spans="3:22" ht="24" hidden="1" customHeight="1" thickBot="1">
      <c r="C114" s="27">
        <v>23402</v>
      </c>
      <c r="D114" s="28" t="s">
        <v>103</v>
      </c>
      <c r="E114" s="47">
        <v>0</v>
      </c>
      <c r="F114" s="283">
        <f>+'[2]PAIEMENTS BUDGET 2021'!R114</f>
        <v>0</v>
      </c>
      <c r="G114" s="284"/>
      <c r="H114" s="285"/>
      <c r="I114" s="283">
        <v>0</v>
      </c>
      <c r="J114" s="284"/>
      <c r="K114" s="285"/>
      <c r="L114" s="283">
        <f>+E114-F114</f>
        <v>0</v>
      </c>
      <c r="M114" s="284"/>
      <c r="N114" s="285"/>
      <c r="O114" s="283">
        <f>+F114-I114</f>
        <v>0</v>
      </c>
      <c r="P114" s="284"/>
      <c r="Q114" s="285"/>
      <c r="R114" s="26"/>
    </row>
    <row r="115" spans="3:22" s="14" customFormat="1" ht="27" customHeight="1" thickBot="1">
      <c r="C115" s="15">
        <v>40</v>
      </c>
      <c r="D115" s="16" t="s">
        <v>104</v>
      </c>
      <c r="E115" s="17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S115" s="104"/>
      <c r="T115" s="7"/>
      <c r="U115" s="7"/>
      <c r="V115" s="7"/>
    </row>
    <row r="116" spans="3:22" ht="24" customHeight="1" thickBot="1">
      <c r="C116" s="27">
        <v>2351</v>
      </c>
      <c r="D116" s="28" t="s">
        <v>105</v>
      </c>
      <c r="E116" s="47">
        <f>+'[2]PAIEMENTS BUDGET 2021'!E116</f>
        <v>120000</v>
      </c>
      <c r="F116" s="283">
        <v>120000</v>
      </c>
      <c r="G116" s="284"/>
      <c r="H116" s="285"/>
      <c r="I116" s="283">
        <v>120000</v>
      </c>
      <c r="J116" s="284"/>
      <c r="K116" s="285"/>
      <c r="L116" s="283">
        <f>+E116-F116</f>
        <v>0</v>
      </c>
      <c r="M116" s="284"/>
      <c r="N116" s="285"/>
      <c r="O116" s="283">
        <f>+F116-I116</f>
        <v>0</v>
      </c>
      <c r="P116" s="284"/>
      <c r="Q116" s="285"/>
      <c r="R116" s="26"/>
    </row>
    <row r="117" spans="3:22" s="14" customFormat="1" ht="24" customHeight="1" thickBot="1">
      <c r="C117" s="65"/>
      <c r="D117" s="66"/>
      <c r="E117" s="67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S117" s="104"/>
      <c r="T117" s="7"/>
      <c r="U117" s="7"/>
      <c r="V117" s="7"/>
    </row>
    <row r="118" spans="3:22" s="39" customFormat="1" ht="24" customHeight="1" thickBot="1">
      <c r="C118" s="69"/>
      <c r="D118" s="49" t="s">
        <v>28</v>
      </c>
      <c r="E118" s="70">
        <f>SUM(E109:E116)</f>
        <v>250000</v>
      </c>
      <c r="F118" s="286">
        <f>SUM(F109:F116)</f>
        <v>249993.60000000001</v>
      </c>
      <c r="G118" s="287">
        <f t="shared" ref="G118:Q118" si="17">SUM(G109:G116)</f>
        <v>0</v>
      </c>
      <c r="H118" s="288">
        <f t="shared" si="17"/>
        <v>0</v>
      </c>
      <c r="I118" s="286">
        <f t="shared" si="17"/>
        <v>249993.60000000001</v>
      </c>
      <c r="J118" s="287">
        <f t="shared" si="17"/>
        <v>0</v>
      </c>
      <c r="K118" s="288">
        <f t="shared" si="17"/>
        <v>0</v>
      </c>
      <c r="L118" s="286">
        <f t="shared" si="17"/>
        <v>6.3999999999941792</v>
      </c>
      <c r="M118" s="287">
        <f t="shared" si="17"/>
        <v>0</v>
      </c>
      <c r="N118" s="288">
        <f t="shared" si="17"/>
        <v>0</v>
      </c>
      <c r="O118" s="286">
        <f t="shared" si="17"/>
        <v>0</v>
      </c>
      <c r="P118" s="287">
        <f t="shared" si="17"/>
        <v>0</v>
      </c>
      <c r="Q118" s="288">
        <f t="shared" si="17"/>
        <v>0</v>
      </c>
      <c r="R118" s="37"/>
      <c r="S118" s="106"/>
      <c r="T118" s="38"/>
      <c r="U118" s="38"/>
      <c r="V118" s="38"/>
    </row>
    <row r="119" spans="3:22" s="14" customFormat="1" ht="24" customHeight="1" thickBot="1">
      <c r="C119" s="71">
        <v>20</v>
      </c>
      <c r="D119" s="72" t="s">
        <v>106</v>
      </c>
      <c r="E119" s="73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S119" s="104"/>
      <c r="T119" s="7"/>
      <c r="U119" s="7"/>
      <c r="V119" s="7"/>
    </row>
    <row r="120" spans="3:22" s="14" customFormat="1" ht="24" customHeight="1" thickBot="1">
      <c r="C120" s="15">
        <v>10</v>
      </c>
      <c r="D120" s="16" t="s">
        <v>107</v>
      </c>
      <c r="E120" s="17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S120" s="104"/>
      <c r="T120" s="7"/>
      <c r="U120" s="7"/>
      <c r="V120" s="7"/>
    </row>
    <row r="121" spans="3:22" ht="24" customHeight="1" thickBot="1">
      <c r="C121" s="27">
        <v>22201</v>
      </c>
      <c r="D121" s="28" t="s">
        <v>108</v>
      </c>
      <c r="E121" s="47">
        <f>+'[2]PAIEMENTS BUDGET 2021'!E121</f>
        <v>150000</v>
      </c>
      <c r="F121" s="283">
        <v>146790</v>
      </c>
      <c r="G121" s="284"/>
      <c r="H121" s="285"/>
      <c r="I121" s="283">
        <v>0</v>
      </c>
      <c r="J121" s="284"/>
      <c r="K121" s="285"/>
      <c r="L121" s="283">
        <f>+E121-F121</f>
        <v>3210</v>
      </c>
      <c r="M121" s="284"/>
      <c r="N121" s="285"/>
      <c r="O121" s="283">
        <f>+F121-I121</f>
        <v>146790</v>
      </c>
      <c r="P121" s="284"/>
      <c r="Q121" s="285"/>
      <c r="R121" s="26"/>
    </row>
    <row r="122" spans="3:22" s="14" customFormat="1" ht="24" customHeight="1" thickBot="1">
      <c r="C122" s="15">
        <v>20</v>
      </c>
      <c r="D122" s="16" t="s">
        <v>109</v>
      </c>
      <c r="E122" s="17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S122" s="104"/>
      <c r="T122" s="7"/>
      <c r="U122" s="7"/>
      <c r="V122" s="7"/>
    </row>
    <row r="123" spans="3:22" ht="24" customHeight="1" thickBot="1">
      <c r="C123" s="27">
        <v>2331</v>
      </c>
      <c r="D123" s="28" t="s">
        <v>110</v>
      </c>
      <c r="E123" s="25">
        <f>+'[2]PAIEMENTS BUDGET 2021'!E123</f>
        <v>100000</v>
      </c>
      <c r="F123" s="283">
        <v>99960</v>
      </c>
      <c r="G123" s="284"/>
      <c r="H123" s="285"/>
      <c r="I123" s="283">
        <v>0</v>
      </c>
      <c r="J123" s="284"/>
      <c r="K123" s="285"/>
      <c r="L123" s="283">
        <f>+E123-F123</f>
        <v>40</v>
      </c>
      <c r="M123" s="284"/>
      <c r="N123" s="285"/>
      <c r="O123" s="283">
        <f>+F123-I123</f>
        <v>99960</v>
      </c>
      <c r="P123" s="284"/>
      <c r="Q123" s="285"/>
      <c r="R123" s="26"/>
    </row>
    <row r="124" spans="3:22" s="14" customFormat="1" ht="24" hidden="1" customHeight="1" thickBot="1">
      <c r="C124" s="27">
        <v>2355</v>
      </c>
      <c r="D124" s="28" t="s">
        <v>111</v>
      </c>
      <c r="E124" s="25">
        <f>+'[2]PAIEMENTS BUDGET 2021'!E124</f>
        <v>0</v>
      </c>
      <c r="F124" s="283"/>
      <c r="G124" s="284"/>
      <c r="H124" s="285"/>
      <c r="I124" s="283"/>
      <c r="J124" s="284"/>
      <c r="K124" s="285"/>
      <c r="L124" s="283">
        <f>+E124-F124</f>
        <v>0</v>
      </c>
      <c r="M124" s="284"/>
      <c r="N124" s="285"/>
      <c r="O124" s="283">
        <f>+F124-I124</f>
        <v>0</v>
      </c>
      <c r="P124" s="284"/>
      <c r="Q124" s="285"/>
      <c r="S124" s="104"/>
      <c r="T124" s="7"/>
      <c r="U124" s="7"/>
      <c r="V124" s="7"/>
    </row>
    <row r="125" spans="3:22" s="14" customFormat="1" ht="24" hidden="1" customHeight="1" thickBot="1">
      <c r="C125" s="27">
        <v>2332</v>
      </c>
      <c r="D125" s="28" t="s">
        <v>112</v>
      </c>
      <c r="E125" s="25">
        <f>+'[2]PAIEMENTS BUDGET 2021'!E125</f>
        <v>0</v>
      </c>
      <c r="F125" s="283"/>
      <c r="G125" s="284"/>
      <c r="H125" s="285"/>
      <c r="I125" s="283"/>
      <c r="J125" s="284"/>
      <c r="K125" s="285"/>
      <c r="L125" s="283">
        <f>+E125-F125</f>
        <v>0</v>
      </c>
      <c r="M125" s="284"/>
      <c r="N125" s="285"/>
      <c r="O125" s="283">
        <f>+F125-I125</f>
        <v>0</v>
      </c>
      <c r="P125" s="284"/>
      <c r="Q125" s="285"/>
      <c r="S125" s="104"/>
      <c r="T125" s="7"/>
      <c r="U125" s="7"/>
      <c r="V125" s="7"/>
    </row>
    <row r="126" spans="3:22" s="39" customFormat="1" ht="24" customHeight="1" thickBot="1">
      <c r="C126" s="48"/>
      <c r="D126" s="49" t="s">
        <v>82</v>
      </c>
      <c r="E126" s="52">
        <f>SUM(E121:E125)</f>
        <v>250000</v>
      </c>
      <c r="F126" s="273">
        <f t="shared" ref="F126:I126" si="18">SUM(F121:F125)</f>
        <v>246750</v>
      </c>
      <c r="G126" s="274"/>
      <c r="H126" s="275"/>
      <c r="I126" s="273">
        <f t="shared" si="18"/>
        <v>0</v>
      </c>
      <c r="J126" s="274"/>
      <c r="K126" s="276"/>
      <c r="L126" s="277">
        <f t="shared" ref="L126:Q126" si="19">SUM(L121:L125)</f>
        <v>3250</v>
      </c>
      <c r="M126" s="278">
        <f t="shared" si="19"/>
        <v>0</v>
      </c>
      <c r="N126" s="279">
        <f t="shared" si="19"/>
        <v>0</v>
      </c>
      <c r="O126" s="277">
        <f t="shared" si="19"/>
        <v>246750</v>
      </c>
      <c r="P126" s="278">
        <f t="shared" si="19"/>
        <v>0</v>
      </c>
      <c r="Q126" s="279">
        <f t="shared" si="19"/>
        <v>0</v>
      </c>
      <c r="R126" s="37"/>
      <c r="S126" s="106"/>
      <c r="T126" s="38"/>
      <c r="U126" s="38"/>
      <c r="V126" s="38"/>
    </row>
    <row r="127" spans="3:22" s="39" customFormat="1" ht="24" customHeight="1" thickBot="1">
      <c r="C127" s="40"/>
      <c r="D127" s="41" t="s">
        <v>83</v>
      </c>
      <c r="E127" s="53">
        <f>+E126+E118</f>
        <v>500000</v>
      </c>
      <c r="F127" s="280">
        <f>+F126+F118</f>
        <v>496743.6</v>
      </c>
      <c r="G127" s="281">
        <f t="shared" ref="G127:Q127" si="20">+G126+G118</f>
        <v>0</v>
      </c>
      <c r="H127" s="282">
        <f t="shared" si="20"/>
        <v>0</v>
      </c>
      <c r="I127" s="280">
        <f t="shared" si="20"/>
        <v>249993.60000000001</v>
      </c>
      <c r="J127" s="281">
        <f t="shared" si="20"/>
        <v>0</v>
      </c>
      <c r="K127" s="282">
        <f t="shared" si="20"/>
        <v>0</v>
      </c>
      <c r="L127" s="280">
        <f t="shared" si="20"/>
        <v>3256.3999999999942</v>
      </c>
      <c r="M127" s="281">
        <f t="shared" si="20"/>
        <v>0</v>
      </c>
      <c r="N127" s="282">
        <f t="shared" si="20"/>
        <v>0</v>
      </c>
      <c r="O127" s="280">
        <f t="shared" si="20"/>
        <v>246750</v>
      </c>
      <c r="P127" s="281">
        <f t="shared" si="20"/>
        <v>0</v>
      </c>
      <c r="Q127" s="282">
        <f t="shared" si="20"/>
        <v>0</v>
      </c>
      <c r="R127" s="37"/>
      <c r="S127" s="106"/>
      <c r="T127" s="38"/>
      <c r="U127" s="38"/>
      <c r="V127" s="38"/>
    </row>
    <row r="128" spans="3:22" s="39" customFormat="1" ht="39.75" customHeight="1" thickBot="1">
      <c r="C128" s="75"/>
      <c r="D128" s="43" t="s">
        <v>113</v>
      </c>
      <c r="E128" s="54">
        <f>+E127+E105</f>
        <v>750000</v>
      </c>
      <c r="F128" s="265">
        <f>+F105+F127</f>
        <v>746343.6</v>
      </c>
      <c r="G128" s="266"/>
      <c r="H128" s="267"/>
      <c r="I128" s="265">
        <f t="shared" ref="I128:Q128" si="21">+I105+I127</f>
        <v>249993.60000000001</v>
      </c>
      <c r="J128" s="266">
        <f t="shared" si="21"/>
        <v>0</v>
      </c>
      <c r="K128" s="267">
        <f t="shared" si="21"/>
        <v>0</v>
      </c>
      <c r="L128" s="265">
        <f t="shared" si="21"/>
        <v>3656.3999999999942</v>
      </c>
      <c r="M128" s="266">
        <f t="shared" si="21"/>
        <v>0</v>
      </c>
      <c r="N128" s="267">
        <f t="shared" si="21"/>
        <v>0</v>
      </c>
      <c r="O128" s="265">
        <f t="shared" si="21"/>
        <v>496350</v>
      </c>
      <c r="P128" s="266">
        <f t="shared" si="21"/>
        <v>0</v>
      </c>
      <c r="Q128" s="267">
        <f t="shared" si="21"/>
        <v>0</v>
      </c>
      <c r="R128" s="37"/>
      <c r="S128" s="106"/>
      <c r="T128" s="38"/>
      <c r="U128" s="38"/>
      <c r="V128" s="38"/>
    </row>
    <row r="129" spans="3:22" s="39" customFormat="1" ht="49.5" customHeight="1" thickBot="1">
      <c r="C129" s="268" t="s">
        <v>114</v>
      </c>
      <c r="D129" s="269"/>
      <c r="E129" s="55">
        <f>+E128</f>
        <v>750000</v>
      </c>
      <c r="F129" s="270">
        <f>+F128</f>
        <v>746343.6</v>
      </c>
      <c r="G129" s="271">
        <f t="shared" ref="G129:Q129" si="22">+G128</f>
        <v>0</v>
      </c>
      <c r="H129" s="272">
        <f t="shared" si="22"/>
        <v>0</v>
      </c>
      <c r="I129" s="270">
        <f t="shared" si="22"/>
        <v>249993.60000000001</v>
      </c>
      <c r="J129" s="271">
        <f t="shared" si="22"/>
        <v>0</v>
      </c>
      <c r="K129" s="272">
        <f t="shared" si="22"/>
        <v>0</v>
      </c>
      <c r="L129" s="270">
        <f t="shared" si="22"/>
        <v>3656.3999999999942</v>
      </c>
      <c r="M129" s="271">
        <f t="shared" si="22"/>
        <v>0</v>
      </c>
      <c r="N129" s="272">
        <f t="shared" si="22"/>
        <v>0</v>
      </c>
      <c r="O129" s="270">
        <f t="shared" si="22"/>
        <v>496350</v>
      </c>
      <c r="P129" s="271">
        <f t="shared" si="22"/>
        <v>0</v>
      </c>
      <c r="Q129" s="272">
        <f t="shared" si="22"/>
        <v>0</v>
      </c>
      <c r="R129" s="37"/>
      <c r="S129" s="106"/>
      <c r="T129" s="38"/>
      <c r="U129" s="38"/>
      <c r="V129" s="38"/>
    </row>
    <row r="130" spans="3:22" s="83" customFormat="1" ht="9.75" customHeight="1" thickBot="1">
      <c r="C130" s="76"/>
      <c r="D130" s="77"/>
      <c r="E130" s="78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80"/>
      <c r="Q130" s="79"/>
      <c r="R130" s="81"/>
      <c r="S130" s="104"/>
      <c r="T130" s="82"/>
      <c r="U130" s="82"/>
      <c r="V130" s="82"/>
    </row>
    <row r="131" spans="3:22" s="86" customFormat="1" ht="58.5" customHeight="1" thickBot="1">
      <c r="C131" s="260" t="s">
        <v>115</v>
      </c>
      <c r="D131" s="261"/>
      <c r="E131" s="84">
        <f>+E85+E129</f>
        <v>18769295.490000002</v>
      </c>
      <c r="F131" s="262">
        <f t="shared" ref="F131:Q131" si="23">+F85+F129</f>
        <v>17198695.250000004</v>
      </c>
      <c r="G131" s="263"/>
      <c r="H131" s="264"/>
      <c r="I131" s="262">
        <f t="shared" si="23"/>
        <v>15728315.51</v>
      </c>
      <c r="J131" s="263">
        <f t="shared" si="23"/>
        <v>0</v>
      </c>
      <c r="K131" s="264">
        <f t="shared" si="23"/>
        <v>0</v>
      </c>
      <c r="L131" s="262">
        <f t="shared" si="23"/>
        <v>1570600.24</v>
      </c>
      <c r="M131" s="263">
        <f t="shared" si="23"/>
        <v>0</v>
      </c>
      <c r="N131" s="264">
        <f t="shared" si="23"/>
        <v>0</v>
      </c>
      <c r="O131" s="262">
        <f t="shared" si="23"/>
        <v>1470379.7400000002</v>
      </c>
      <c r="P131" s="263">
        <f t="shared" si="23"/>
        <v>0</v>
      </c>
      <c r="Q131" s="264">
        <f t="shared" si="23"/>
        <v>0</v>
      </c>
      <c r="R131" s="85"/>
      <c r="S131" s="104"/>
      <c r="T131" s="38"/>
      <c r="U131" s="38"/>
      <c r="V131" s="38"/>
    </row>
    <row r="132" spans="3:22" s="90" customFormat="1" ht="8.25" customHeight="1">
      <c r="C132" s="38"/>
      <c r="D132" s="87"/>
      <c r="E132" s="3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9"/>
      <c r="Q132" s="88"/>
      <c r="S132" s="104"/>
      <c r="T132" s="7"/>
      <c r="U132" s="7"/>
      <c r="V132" s="7"/>
    </row>
    <row r="133" spans="3:22"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2"/>
      <c r="Q133" s="91"/>
    </row>
    <row r="134" spans="3:22" s="99" customFormat="1" ht="30" customHeight="1">
      <c r="C134" s="93"/>
      <c r="D134" s="94"/>
      <c r="E134" s="95"/>
      <c r="F134" s="96"/>
      <c r="G134" s="97"/>
      <c r="H134" s="96"/>
      <c r="I134" s="96"/>
      <c r="J134" s="96"/>
      <c r="K134" s="98"/>
      <c r="L134" s="98"/>
      <c r="M134" s="98"/>
      <c r="N134" s="98"/>
      <c r="O134" s="98"/>
      <c r="P134" s="98"/>
      <c r="Q134" s="98"/>
      <c r="S134" s="109"/>
      <c r="T134" s="100"/>
      <c r="U134" s="100"/>
      <c r="V134" s="100"/>
    </row>
    <row r="135" spans="3:22">
      <c r="F135" s="91"/>
      <c r="G135" s="101"/>
      <c r="H135" s="91"/>
      <c r="I135" s="91"/>
      <c r="J135" s="91"/>
      <c r="K135" s="101"/>
      <c r="L135" s="101"/>
      <c r="M135" s="101"/>
      <c r="N135" s="101"/>
      <c r="O135" s="101"/>
      <c r="P135" s="102"/>
      <c r="Q135" s="91"/>
    </row>
    <row r="136" spans="3:22">
      <c r="G136" s="103"/>
    </row>
    <row r="137" spans="3:22">
      <c r="G137" s="103"/>
    </row>
  </sheetData>
  <sheetProtection selectLockedCells="1" selectUnlockedCells="1"/>
  <mergeCells count="353">
    <mergeCell ref="C6:D6"/>
    <mergeCell ref="C7:Q7"/>
    <mergeCell ref="F11:H11"/>
    <mergeCell ref="I11:K11"/>
    <mergeCell ref="L11:N11"/>
    <mergeCell ref="O11:Q11"/>
    <mergeCell ref="O2:Q2"/>
    <mergeCell ref="C4:C5"/>
    <mergeCell ref="D4:D5"/>
    <mergeCell ref="E4:E5"/>
    <mergeCell ref="F4:H5"/>
    <mergeCell ref="I4:K5"/>
    <mergeCell ref="L4:N5"/>
    <mergeCell ref="O4:Q5"/>
    <mergeCell ref="F15:H15"/>
    <mergeCell ref="I15:K15"/>
    <mergeCell ref="L15:N15"/>
    <mergeCell ref="O15:Q15"/>
    <mergeCell ref="F16:H16"/>
    <mergeCell ref="I16:K16"/>
    <mergeCell ref="L16:N16"/>
    <mergeCell ref="O16:Q16"/>
    <mergeCell ref="F12:H12"/>
    <mergeCell ref="I12:K12"/>
    <mergeCell ref="L12:N12"/>
    <mergeCell ref="O12:Q12"/>
    <mergeCell ref="F13:H13"/>
    <mergeCell ref="I13:K13"/>
    <mergeCell ref="L13:N13"/>
    <mergeCell ref="O13:Q13"/>
    <mergeCell ref="F19:H19"/>
    <mergeCell ref="I19:K19"/>
    <mergeCell ref="L19:N19"/>
    <mergeCell ref="O19:Q19"/>
    <mergeCell ref="F21:H21"/>
    <mergeCell ref="I21:K21"/>
    <mergeCell ref="L21:N21"/>
    <mergeCell ref="O21:Q21"/>
    <mergeCell ref="F17:H17"/>
    <mergeCell ref="I17:K17"/>
    <mergeCell ref="L17:N17"/>
    <mergeCell ref="O17:Q17"/>
    <mergeCell ref="F18:H18"/>
    <mergeCell ref="I18:K18"/>
    <mergeCell ref="L18:N18"/>
    <mergeCell ref="O18:Q18"/>
    <mergeCell ref="F24:H24"/>
    <mergeCell ref="I24:K24"/>
    <mergeCell ref="L24:N24"/>
    <mergeCell ref="O24:Q24"/>
    <mergeCell ref="F25:H25"/>
    <mergeCell ref="I25:K25"/>
    <mergeCell ref="L25:N25"/>
    <mergeCell ref="O25:Q25"/>
    <mergeCell ref="F22:H22"/>
    <mergeCell ref="I22:K22"/>
    <mergeCell ref="L22:N22"/>
    <mergeCell ref="O22:Q22"/>
    <mergeCell ref="F23:H23"/>
    <mergeCell ref="I23:K23"/>
    <mergeCell ref="L23:N23"/>
    <mergeCell ref="O23:Q23"/>
    <mergeCell ref="C28:D28"/>
    <mergeCell ref="F28:H28"/>
    <mergeCell ref="I28:K28"/>
    <mergeCell ref="L28:N28"/>
    <mergeCell ref="O28:Q28"/>
    <mergeCell ref="C29:Q29"/>
    <mergeCell ref="F26:H26"/>
    <mergeCell ref="I26:K26"/>
    <mergeCell ref="L26:N26"/>
    <mergeCell ref="O26:Q26"/>
    <mergeCell ref="F27:H27"/>
    <mergeCell ref="I27:K27"/>
    <mergeCell ref="L27:N27"/>
    <mergeCell ref="O27:Q27"/>
    <mergeCell ref="F35:H35"/>
    <mergeCell ref="I35:K35"/>
    <mergeCell ref="L35:N35"/>
    <mergeCell ref="O35:Q35"/>
    <mergeCell ref="F36:H36"/>
    <mergeCell ref="I36:K36"/>
    <mergeCell ref="L36:N36"/>
    <mergeCell ref="O36:Q36"/>
    <mergeCell ref="F33:H33"/>
    <mergeCell ref="I33:K33"/>
    <mergeCell ref="L33:N33"/>
    <mergeCell ref="O33:Q33"/>
    <mergeCell ref="F34:H34"/>
    <mergeCell ref="I34:K34"/>
    <mergeCell ref="L34:N34"/>
    <mergeCell ref="O34:Q34"/>
    <mergeCell ref="F39:H39"/>
    <mergeCell ref="I39:K39"/>
    <mergeCell ref="L39:N39"/>
    <mergeCell ref="O39:Q39"/>
    <mergeCell ref="F41:H41"/>
    <mergeCell ref="I41:K41"/>
    <mergeCell ref="L41:N41"/>
    <mergeCell ref="O41:Q41"/>
    <mergeCell ref="F37:H37"/>
    <mergeCell ref="I37:K37"/>
    <mergeCell ref="L37:N37"/>
    <mergeCell ref="O37:Q37"/>
    <mergeCell ref="F38:H38"/>
    <mergeCell ref="I38:K38"/>
    <mergeCell ref="L38:N38"/>
    <mergeCell ref="O38:Q38"/>
    <mergeCell ref="F44:H44"/>
    <mergeCell ref="I44:K44"/>
    <mergeCell ref="L44:N44"/>
    <mergeCell ref="O44:Q44"/>
    <mergeCell ref="F45:H45"/>
    <mergeCell ref="I45:K45"/>
    <mergeCell ref="L45:N45"/>
    <mergeCell ref="O45:Q45"/>
    <mergeCell ref="F42:H42"/>
    <mergeCell ref="I42:K42"/>
    <mergeCell ref="L42:N42"/>
    <mergeCell ref="O42:Q42"/>
    <mergeCell ref="F43:H43"/>
    <mergeCell ref="I43:K43"/>
    <mergeCell ref="L43:N43"/>
    <mergeCell ref="O43:Q43"/>
    <mergeCell ref="F50:H50"/>
    <mergeCell ref="I50:K50"/>
    <mergeCell ref="L50:N50"/>
    <mergeCell ref="O50:Q50"/>
    <mergeCell ref="F51:H51"/>
    <mergeCell ref="I51:K51"/>
    <mergeCell ref="L51:N51"/>
    <mergeCell ref="O51:Q51"/>
    <mergeCell ref="F46:H46"/>
    <mergeCell ref="I46:K46"/>
    <mergeCell ref="L46:N46"/>
    <mergeCell ref="O46:Q46"/>
    <mergeCell ref="F48:H48"/>
    <mergeCell ref="I48:K48"/>
    <mergeCell ref="L48:N48"/>
    <mergeCell ref="O48:Q48"/>
    <mergeCell ref="F54:H54"/>
    <mergeCell ref="I54:K54"/>
    <mergeCell ref="L54:N54"/>
    <mergeCell ref="O54:Q54"/>
    <mergeCell ref="F56:H56"/>
    <mergeCell ref="I56:K56"/>
    <mergeCell ref="L56:N56"/>
    <mergeCell ref="O56:Q56"/>
    <mergeCell ref="F52:H52"/>
    <mergeCell ref="I52:K52"/>
    <mergeCell ref="L52:N52"/>
    <mergeCell ref="O52:Q52"/>
    <mergeCell ref="F53:H53"/>
    <mergeCell ref="I53:K53"/>
    <mergeCell ref="L53:N53"/>
    <mergeCell ref="O53:Q53"/>
    <mergeCell ref="F60:H60"/>
    <mergeCell ref="I60:K60"/>
    <mergeCell ref="L60:N60"/>
    <mergeCell ref="O60:Q60"/>
    <mergeCell ref="F62:H62"/>
    <mergeCell ref="I62:K62"/>
    <mergeCell ref="L62:N62"/>
    <mergeCell ref="O62:Q62"/>
    <mergeCell ref="F57:H57"/>
    <mergeCell ref="I57:K57"/>
    <mergeCell ref="L57:N57"/>
    <mergeCell ref="O57:Q57"/>
    <mergeCell ref="F59:H59"/>
    <mergeCell ref="I59:K59"/>
    <mergeCell ref="L59:N59"/>
    <mergeCell ref="O59:Q59"/>
    <mergeCell ref="F65:H65"/>
    <mergeCell ref="I65:K65"/>
    <mergeCell ref="L65:N65"/>
    <mergeCell ref="O65:Q65"/>
    <mergeCell ref="F66:H66"/>
    <mergeCell ref="I66:K66"/>
    <mergeCell ref="L66:N66"/>
    <mergeCell ref="O66:Q66"/>
    <mergeCell ref="F63:H63"/>
    <mergeCell ref="I63:K63"/>
    <mergeCell ref="L63:N63"/>
    <mergeCell ref="O63:Q63"/>
    <mergeCell ref="F64:H64"/>
    <mergeCell ref="I64:K64"/>
    <mergeCell ref="L64:N64"/>
    <mergeCell ref="O64:Q64"/>
    <mergeCell ref="F70:H70"/>
    <mergeCell ref="I70:K70"/>
    <mergeCell ref="L70:N70"/>
    <mergeCell ref="O70:Q70"/>
    <mergeCell ref="F72:H72"/>
    <mergeCell ref="I72:K72"/>
    <mergeCell ref="L72:N72"/>
    <mergeCell ref="O72:Q72"/>
    <mergeCell ref="F67:H67"/>
    <mergeCell ref="I67:K67"/>
    <mergeCell ref="L67:N67"/>
    <mergeCell ref="O67:Q67"/>
    <mergeCell ref="F69:H69"/>
    <mergeCell ref="I69:K69"/>
    <mergeCell ref="L69:N69"/>
    <mergeCell ref="O69:Q69"/>
    <mergeCell ref="F77:H77"/>
    <mergeCell ref="I77:K77"/>
    <mergeCell ref="L77:N77"/>
    <mergeCell ref="O77:Q77"/>
    <mergeCell ref="F78:H78"/>
    <mergeCell ref="I78:K78"/>
    <mergeCell ref="L78:N78"/>
    <mergeCell ref="O78:Q78"/>
    <mergeCell ref="F73:H73"/>
    <mergeCell ref="I73:K73"/>
    <mergeCell ref="L73:N73"/>
    <mergeCell ref="O73:Q73"/>
    <mergeCell ref="F74:H74"/>
    <mergeCell ref="I74:K74"/>
    <mergeCell ref="L74:N74"/>
    <mergeCell ref="O74:Q74"/>
    <mergeCell ref="F81:H81"/>
    <mergeCell ref="I81:K81"/>
    <mergeCell ref="L81:N81"/>
    <mergeCell ref="O81:Q81"/>
    <mergeCell ref="F82:H82"/>
    <mergeCell ref="I82:K82"/>
    <mergeCell ref="L82:N82"/>
    <mergeCell ref="O82:Q82"/>
    <mergeCell ref="F79:H79"/>
    <mergeCell ref="I79:K79"/>
    <mergeCell ref="L79:N79"/>
    <mergeCell ref="O79:Q79"/>
    <mergeCell ref="F80:H80"/>
    <mergeCell ref="I80:K80"/>
    <mergeCell ref="L80:N80"/>
    <mergeCell ref="O80:Q80"/>
    <mergeCell ref="F83:H83"/>
    <mergeCell ref="I83:K83"/>
    <mergeCell ref="L83:N83"/>
    <mergeCell ref="O83:Q83"/>
    <mergeCell ref="C84:D84"/>
    <mergeCell ref="F84:H84"/>
    <mergeCell ref="I84:K84"/>
    <mergeCell ref="L84:N84"/>
    <mergeCell ref="O84:Q84"/>
    <mergeCell ref="F92:H92"/>
    <mergeCell ref="I92:K92"/>
    <mergeCell ref="L92:N92"/>
    <mergeCell ref="O92:Q92"/>
    <mergeCell ref="F93:H93"/>
    <mergeCell ref="I93:K93"/>
    <mergeCell ref="L93:N93"/>
    <mergeCell ref="O93:Q93"/>
    <mergeCell ref="C85:D85"/>
    <mergeCell ref="F85:H85"/>
    <mergeCell ref="I85:K85"/>
    <mergeCell ref="L85:N85"/>
    <mergeCell ref="O85:Q85"/>
    <mergeCell ref="C88:D88"/>
    <mergeCell ref="F96:H96"/>
    <mergeCell ref="I96:K96"/>
    <mergeCell ref="L96:N96"/>
    <mergeCell ref="O96:Q96"/>
    <mergeCell ref="F99:H99"/>
    <mergeCell ref="I99:K99"/>
    <mergeCell ref="L99:N99"/>
    <mergeCell ref="O99:Q99"/>
    <mergeCell ref="F94:H94"/>
    <mergeCell ref="I94:K94"/>
    <mergeCell ref="L94:N94"/>
    <mergeCell ref="O94:Q94"/>
    <mergeCell ref="F95:H95"/>
    <mergeCell ref="I95:K95"/>
    <mergeCell ref="L95:N95"/>
    <mergeCell ref="O95:Q95"/>
    <mergeCell ref="F104:H104"/>
    <mergeCell ref="I104:K104"/>
    <mergeCell ref="L104:N104"/>
    <mergeCell ref="O104:Q104"/>
    <mergeCell ref="F105:H105"/>
    <mergeCell ref="I105:K105"/>
    <mergeCell ref="L105:N105"/>
    <mergeCell ref="O105:Q105"/>
    <mergeCell ref="F100:H100"/>
    <mergeCell ref="I100:K100"/>
    <mergeCell ref="L100:N100"/>
    <mergeCell ref="O100:Q100"/>
    <mergeCell ref="F103:H103"/>
    <mergeCell ref="I103:K103"/>
    <mergeCell ref="L103:N103"/>
    <mergeCell ref="O103:Q103"/>
    <mergeCell ref="F112:H112"/>
    <mergeCell ref="I112:K112"/>
    <mergeCell ref="L112:N112"/>
    <mergeCell ref="O112:Q112"/>
    <mergeCell ref="F114:H114"/>
    <mergeCell ref="I114:K114"/>
    <mergeCell ref="L114:N114"/>
    <mergeCell ref="O114:Q114"/>
    <mergeCell ref="F109:H109"/>
    <mergeCell ref="I109:K109"/>
    <mergeCell ref="L109:N109"/>
    <mergeCell ref="O109:Q109"/>
    <mergeCell ref="F111:H111"/>
    <mergeCell ref="I111:K111"/>
    <mergeCell ref="L111:N111"/>
    <mergeCell ref="O111:Q111"/>
    <mergeCell ref="F121:H121"/>
    <mergeCell ref="I121:K121"/>
    <mergeCell ref="L121:N121"/>
    <mergeCell ref="O121:Q121"/>
    <mergeCell ref="F123:H123"/>
    <mergeCell ref="I123:K123"/>
    <mergeCell ref="L123:N123"/>
    <mergeCell ref="O123:Q123"/>
    <mergeCell ref="F116:H116"/>
    <mergeCell ref="I116:K116"/>
    <mergeCell ref="L116:N116"/>
    <mergeCell ref="O116:Q116"/>
    <mergeCell ref="F118:H118"/>
    <mergeCell ref="I118:K118"/>
    <mergeCell ref="L118:N118"/>
    <mergeCell ref="O118:Q118"/>
    <mergeCell ref="F126:H126"/>
    <mergeCell ref="I126:K126"/>
    <mergeCell ref="L126:N126"/>
    <mergeCell ref="O126:Q126"/>
    <mergeCell ref="F127:H127"/>
    <mergeCell ref="I127:K127"/>
    <mergeCell ref="L127:N127"/>
    <mergeCell ref="O127:Q127"/>
    <mergeCell ref="F124:H124"/>
    <mergeCell ref="I124:K124"/>
    <mergeCell ref="L124:N124"/>
    <mergeCell ref="O124:Q124"/>
    <mergeCell ref="F125:H125"/>
    <mergeCell ref="I125:K125"/>
    <mergeCell ref="L125:N125"/>
    <mergeCell ref="O125:Q125"/>
    <mergeCell ref="C131:D131"/>
    <mergeCell ref="F131:H131"/>
    <mergeCell ref="I131:K131"/>
    <mergeCell ref="L131:N131"/>
    <mergeCell ref="O131:Q131"/>
    <mergeCell ref="F128:H128"/>
    <mergeCell ref="I128:K128"/>
    <mergeCell ref="L128:N128"/>
    <mergeCell ref="O128:Q128"/>
    <mergeCell ref="C129:D129"/>
    <mergeCell ref="F129:H129"/>
    <mergeCell ref="I129:K129"/>
    <mergeCell ref="L129:N129"/>
    <mergeCell ref="O129:Q129"/>
  </mergeCells>
  <printOptions horizontalCentered="1"/>
  <pageMargins left="0" right="0" top="0" bottom="0" header="0" footer="0"/>
  <pageSetup paperSize="9" scale="51" orientation="landscape" r:id="rId1"/>
  <rowBreaks count="2" manualBreakCount="2">
    <brk id="46" min="1" max="19" man="1"/>
    <brk id="85" min="1" max="1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1:V130"/>
  <sheetViews>
    <sheetView view="pageBreakPreview" zoomScale="70" zoomScaleNormal="110" zoomScaleSheetLayoutView="70" workbookViewId="0">
      <pane xSplit="4" ySplit="5" topLeftCell="E8" activePane="bottomRight" state="frozen"/>
      <selection activeCell="C129" sqref="C129:M129"/>
      <selection pane="topRight" activeCell="C129" sqref="C129:M129"/>
      <selection pane="bottomLeft" activeCell="C129" sqref="C129:M129"/>
      <selection pane="bottomRight" activeCell="I43" sqref="I43:K43"/>
    </sheetView>
  </sheetViews>
  <sheetFormatPr defaultColWidth="11.42578125" defaultRowHeight="16.5"/>
  <cols>
    <col min="1" max="1" width="2.28515625" style="6" customWidth="1"/>
    <col min="2" max="2" width="1.7109375" style="6" customWidth="1"/>
    <col min="3" max="3" width="23.140625" style="1" customWidth="1"/>
    <col min="4" max="4" width="65.5703125" style="2" customWidth="1"/>
    <col min="5" max="5" width="24.140625" style="3" customWidth="1"/>
    <col min="6" max="6" width="14" style="4" customWidth="1"/>
    <col min="7" max="7" width="12.140625" style="4" customWidth="1"/>
    <col min="8" max="8" width="3.7109375" style="4" customWidth="1"/>
    <col min="9" max="9" width="13.28515625" style="4" customWidth="1"/>
    <col min="10" max="10" width="14.28515625" style="4" customWidth="1"/>
    <col min="11" max="11" width="5.85546875" style="4" customWidth="1"/>
    <col min="12" max="12" width="14.42578125" style="4" customWidth="1"/>
    <col min="13" max="13" width="13.140625" style="4" customWidth="1"/>
    <col min="14" max="14" width="5.28515625" style="4" customWidth="1"/>
    <col min="15" max="15" width="13.7109375" style="4" customWidth="1"/>
    <col min="16" max="16" width="12.42578125" style="5" customWidth="1"/>
    <col min="17" max="17" width="13.7109375" style="4" customWidth="1"/>
    <col min="18" max="18" width="1.85546875" style="6" customWidth="1"/>
    <col min="19" max="19" width="12.7109375" style="104" bestFit="1" customWidth="1"/>
    <col min="20" max="22" width="11.42578125" style="7"/>
    <col min="23" max="16384" width="11.42578125" style="6"/>
  </cols>
  <sheetData>
    <row r="1" spans="3:22" ht="17.25" thickBot="1"/>
    <row r="2" spans="3:22" ht="30" customHeight="1" thickBot="1"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311" t="s">
        <v>117</v>
      </c>
      <c r="P2" s="312"/>
      <c r="Q2" s="313"/>
    </row>
    <row r="3" spans="3:22" ht="17.25" thickBot="1"/>
    <row r="4" spans="3:22" s="9" customFormat="1" ht="24" customHeight="1">
      <c r="C4" s="314" t="s">
        <v>1</v>
      </c>
      <c r="D4" s="316" t="s">
        <v>2</v>
      </c>
      <c r="E4" s="316" t="s">
        <v>3</v>
      </c>
      <c r="F4" s="318" t="s">
        <v>4</v>
      </c>
      <c r="G4" s="319"/>
      <c r="H4" s="320"/>
      <c r="I4" s="324" t="s">
        <v>5</v>
      </c>
      <c r="J4" s="325"/>
      <c r="K4" s="326"/>
      <c r="L4" s="324" t="s">
        <v>6</v>
      </c>
      <c r="M4" s="325"/>
      <c r="N4" s="326"/>
      <c r="O4" s="324" t="s">
        <v>7</v>
      </c>
      <c r="P4" s="325"/>
      <c r="Q4" s="326"/>
      <c r="S4" s="105"/>
      <c r="T4" s="10"/>
      <c r="U4" s="10"/>
      <c r="V4" s="10"/>
    </row>
    <row r="5" spans="3:22" s="11" customFormat="1" ht="24" customHeight="1" thickBot="1">
      <c r="C5" s="315"/>
      <c r="D5" s="317"/>
      <c r="E5" s="317"/>
      <c r="F5" s="321"/>
      <c r="G5" s="322"/>
      <c r="H5" s="323"/>
      <c r="I5" s="327"/>
      <c r="J5" s="328"/>
      <c r="K5" s="329"/>
      <c r="L5" s="327"/>
      <c r="M5" s="328"/>
      <c r="N5" s="329"/>
      <c r="O5" s="327"/>
      <c r="P5" s="328"/>
      <c r="Q5" s="329"/>
      <c r="S5" s="105"/>
      <c r="T5" s="10"/>
      <c r="U5" s="10"/>
      <c r="V5" s="10"/>
    </row>
    <row r="6" spans="3:22" s="14" customFormat="1" thickBot="1">
      <c r="C6" s="307" t="s">
        <v>8</v>
      </c>
      <c r="D6" s="308"/>
      <c r="E6" s="12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S6" s="104"/>
      <c r="T6" s="7"/>
      <c r="U6" s="7"/>
      <c r="V6" s="7"/>
    </row>
    <row r="7" spans="3:22" s="14" customFormat="1" thickBot="1">
      <c r="C7" s="309" t="s">
        <v>9</v>
      </c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  <c r="S7" s="104"/>
      <c r="T7" s="7"/>
      <c r="U7" s="7"/>
      <c r="V7" s="7"/>
    </row>
    <row r="8" spans="3:22" s="14" customFormat="1" ht="24" customHeight="1" thickBot="1">
      <c r="C8" s="15">
        <v>602</v>
      </c>
      <c r="D8" s="16" t="s">
        <v>10</v>
      </c>
      <c r="E8" s="1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S8" s="104"/>
      <c r="T8" s="7"/>
      <c r="U8" s="7"/>
      <c r="V8" s="7"/>
    </row>
    <row r="9" spans="3:22" s="14" customFormat="1" ht="24" customHeight="1" thickBot="1">
      <c r="C9" s="19">
        <v>10</v>
      </c>
      <c r="D9" s="20" t="s">
        <v>11</v>
      </c>
      <c r="E9" s="21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S9" s="104"/>
      <c r="T9" s="7"/>
      <c r="U9" s="7"/>
      <c r="V9" s="7"/>
    </row>
    <row r="10" spans="3:22" s="14" customFormat="1" ht="24" customHeight="1" thickBot="1">
      <c r="C10" s="15">
        <v>10</v>
      </c>
      <c r="D10" s="16" t="s">
        <v>12</v>
      </c>
      <c r="E10" s="1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S10" s="104"/>
      <c r="T10" s="7"/>
      <c r="U10" s="7"/>
      <c r="V10" s="7"/>
    </row>
    <row r="11" spans="3:22" ht="24" customHeight="1" thickBot="1">
      <c r="C11" s="23">
        <v>61711</v>
      </c>
      <c r="D11" s="24" t="s">
        <v>13</v>
      </c>
      <c r="E11" s="25">
        <f>+'[3]PAIEMENTS BUDGET 2020'!E11</f>
        <v>6295000</v>
      </c>
      <c r="F11" s="283">
        <f>+'[3]PAIEMENTS BUDGET 2020'!R11</f>
        <v>5974211.1399999997</v>
      </c>
      <c r="G11" s="284"/>
      <c r="H11" s="285"/>
      <c r="I11" s="283">
        <f>+F11</f>
        <v>5974211.1399999997</v>
      </c>
      <c r="J11" s="284"/>
      <c r="K11" s="285"/>
      <c r="L11" s="283">
        <f>+E11-F11</f>
        <v>320788.86000000034</v>
      </c>
      <c r="M11" s="284"/>
      <c r="N11" s="285"/>
      <c r="O11" s="283">
        <f>+F11-I11</f>
        <v>0</v>
      </c>
      <c r="P11" s="284"/>
      <c r="Q11" s="285"/>
      <c r="R11" s="26"/>
    </row>
    <row r="12" spans="3:22" s="31" customFormat="1" ht="24" customHeight="1" thickBot="1">
      <c r="C12" s="27">
        <v>61712</v>
      </c>
      <c r="D12" s="28" t="s">
        <v>14</v>
      </c>
      <c r="E12" s="25">
        <v>1460000</v>
      </c>
      <c r="F12" s="283">
        <f>+'[3]PAIEMENTS BUDGET 2020'!R12+151947.71</f>
        <v>1449213.97</v>
      </c>
      <c r="G12" s="284"/>
      <c r="H12" s="285"/>
      <c r="I12" s="283">
        <f>+F12-151947.71</f>
        <v>1297266.26</v>
      </c>
      <c r="J12" s="284"/>
      <c r="K12" s="285"/>
      <c r="L12" s="283">
        <f>+E12-F12</f>
        <v>10786.030000000028</v>
      </c>
      <c r="M12" s="284"/>
      <c r="N12" s="285"/>
      <c r="O12" s="283">
        <v>151919</v>
      </c>
      <c r="P12" s="284"/>
      <c r="Q12" s="285"/>
      <c r="R12" s="29"/>
      <c r="S12" s="104"/>
      <c r="T12" s="30"/>
      <c r="U12" s="30"/>
      <c r="V12" s="30"/>
    </row>
    <row r="13" spans="3:22" ht="24" customHeight="1" thickBot="1">
      <c r="C13" s="27">
        <v>61713</v>
      </c>
      <c r="D13" s="28" t="s">
        <v>15</v>
      </c>
      <c r="E13" s="25">
        <f>+'[3]PAIEMENTS BUDGET 2020'!E13</f>
        <v>425000</v>
      </c>
      <c r="F13" s="283">
        <f>+'[3]PAIEMENTS BUDGET 2020'!R13</f>
        <v>416235.6</v>
      </c>
      <c r="G13" s="284"/>
      <c r="H13" s="285"/>
      <c r="I13" s="283">
        <f>+F13</f>
        <v>416235.6</v>
      </c>
      <c r="J13" s="284"/>
      <c r="K13" s="285"/>
      <c r="L13" s="283">
        <f>+E13-F13</f>
        <v>8764.4000000000233</v>
      </c>
      <c r="M13" s="284"/>
      <c r="N13" s="285"/>
      <c r="O13" s="283"/>
      <c r="P13" s="284"/>
      <c r="Q13" s="285"/>
      <c r="R13" s="26"/>
    </row>
    <row r="14" spans="3:22" ht="24" customHeight="1" thickBot="1">
      <c r="C14" s="15">
        <v>20</v>
      </c>
      <c r="D14" s="16" t="s">
        <v>16</v>
      </c>
      <c r="E14" s="32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26"/>
    </row>
    <row r="15" spans="3:22" ht="24" customHeight="1" thickBot="1">
      <c r="C15" s="23">
        <v>61742</v>
      </c>
      <c r="D15" s="24" t="s">
        <v>17</v>
      </c>
      <c r="E15" s="25">
        <f>+'[3]PAIEMENTS BUDGET 2020'!E15</f>
        <v>890000</v>
      </c>
      <c r="F15" s="283">
        <f>+'[3]PAIEMENTS BUDGET 2020'!R15</f>
        <v>873538.84</v>
      </c>
      <c r="G15" s="284"/>
      <c r="H15" s="285"/>
      <c r="I15" s="283">
        <f>+F15</f>
        <v>873538.84</v>
      </c>
      <c r="J15" s="284"/>
      <c r="K15" s="285"/>
      <c r="L15" s="283">
        <f>+E15-F15</f>
        <v>16461.160000000033</v>
      </c>
      <c r="M15" s="284"/>
      <c r="N15" s="285"/>
      <c r="O15" s="283">
        <f>+F15-I15</f>
        <v>0</v>
      </c>
      <c r="P15" s="284"/>
      <c r="Q15" s="285"/>
      <c r="R15" s="26"/>
    </row>
    <row r="16" spans="3:22" ht="24" customHeight="1" thickBot="1">
      <c r="C16" s="23">
        <v>61743</v>
      </c>
      <c r="D16" s="24" t="s">
        <v>18</v>
      </c>
      <c r="E16" s="25">
        <v>180000</v>
      </c>
      <c r="F16" s="283">
        <f>+'[3]PAIEMENTS BUDGET 2020'!R16</f>
        <v>137916.24</v>
      </c>
      <c r="G16" s="284"/>
      <c r="H16" s="285"/>
      <c r="I16" s="283">
        <f>+F16</f>
        <v>137916.24</v>
      </c>
      <c r="J16" s="284"/>
      <c r="K16" s="285"/>
      <c r="L16" s="283">
        <f>+E16-F16</f>
        <v>42083.760000000009</v>
      </c>
      <c r="M16" s="284"/>
      <c r="N16" s="285"/>
      <c r="O16" s="283">
        <f>+F16-I16</f>
        <v>0</v>
      </c>
      <c r="P16" s="284"/>
      <c r="Q16" s="285"/>
      <c r="R16" s="26"/>
    </row>
    <row r="17" spans="3:22" ht="24" customHeight="1" thickBot="1">
      <c r="C17" s="23">
        <v>61744</v>
      </c>
      <c r="D17" s="24" t="s">
        <v>19</v>
      </c>
      <c r="E17" s="25">
        <v>120000</v>
      </c>
      <c r="F17" s="283">
        <f>+'[3]PAIEMENTS BUDGET 2020'!R17</f>
        <v>114210</v>
      </c>
      <c r="G17" s="284"/>
      <c r="H17" s="285"/>
      <c r="I17" s="283">
        <f>+F17</f>
        <v>114210</v>
      </c>
      <c r="J17" s="284"/>
      <c r="K17" s="285"/>
      <c r="L17" s="283">
        <f>+E17-F17</f>
        <v>5790</v>
      </c>
      <c r="M17" s="284"/>
      <c r="N17" s="285"/>
      <c r="O17" s="283">
        <f>+F17-I17</f>
        <v>0</v>
      </c>
      <c r="P17" s="284"/>
      <c r="Q17" s="285"/>
      <c r="R17" s="26"/>
    </row>
    <row r="18" spans="3:22" s="31" customFormat="1" ht="24" customHeight="1" thickBot="1">
      <c r="C18" s="27">
        <v>61745</v>
      </c>
      <c r="D18" s="28" t="s">
        <v>20</v>
      </c>
      <c r="E18" s="25">
        <v>60000</v>
      </c>
      <c r="F18" s="283">
        <v>54920.04</v>
      </c>
      <c r="G18" s="284"/>
      <c r="H18" s="285"/>
      <c r="I18" s="283">
        <v>0</v>
      </c>
      <c r="J18" s="284"/>
      <c r="K18" s="285"/>
      <c r="L18" s="283">
        <f>+E18-F18</f>
        <v>5079.9599999999991</v>
      </c>
      <c r="M18" s="284"/>
      <c r="N18" s="285"/>
      <c r="O18" s="283">
        <f>+F18-I18</f>
        <v>54920.04</v>
      </c>
      <c r="P18" s="284"/>
      <c r="Q18" s="285"/>
      <c r="R18" s="29"/>
      <c r="S18" s="104"/>
      <c r="T18" s="30"/>
      <c r="U18" s="30"/>
      <c r="V18" s="30"/>
    </row>
    <row r="19" spans="3:22" ht="24" customHeight="1" thickBot="1">
      <c r="C19" s="27">
        <v>61768</v>
      </c>
      <c r="D19" s="28" t="s">
        <v>21</v>
      </c>
      <c r="E19" s="25">
        <v>115000</v>
      </c>
      <c r="F19" s="283">
        <f>+'[3]PAIEMENTS BUDGET 2020'!R19</f>
        <v>110435.94</v>
      </c>
      <c r="G19" s="284"/>
      <c r="H19" s="285"/>
      <c r="I19" s="283">
        <f>+F19</f>
        <v>110435.94</v>
      </c>
      <c r="J19" s="284"/>
      <c r="K19" s="285"/>
      <c r="L19" s="283">
        <f>+E19-F19</f>
        <v>4564.0599999999977</v>
      </c>
      <c r="M19" s="284"/>
      <c r="N19" s="285"/>
      <c r="O19" s="283">
        <f>+F19-I19</f>
        <v>0</v>
      </c>
      <c r="P19" s="284"/>
      <c r="Q19" s="285"/>
      <c r="R19" s="26"/>
    </row>
    <row r="20" spans="3:22" ht="24" customHeight="1" thickBot="1">
      <c r="C20" s="15">
        <v>30</v>
      </c>
      <c r="D20" s="16" t="s">
        <v>22</v>
      </c>
      <c r="E20" s="1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26"/>
    </row>
    <row r="21" spans="3:22" ht="24" customHeight="1" thickBot="1">
      <c r="C21" s="23">
        <v>61763</v>
      </c>
      <c r="D21" s="24" t="s">
        <v>23</v>
      </c>
      <c r="E21" s="25">
        <v>400000</v>
      </c>
      <c r="F21" s="283">
        <v>400000</v>
      </c>
      <c r="G21" s="284"/>
      <c r="H21" s="285"/>
      <c r="I21" s="283">
        <v>400000</v>
      </c>
      <c r="J21" s="284"/>
      <c r="K21" s="285"/>
      <c r="L21" s="283">
        <f>+E21-F21</f>
        <v>0</v>
      </c>
      <c r="M21" s="284"/>
      <c r="N21" s="285"/>
      <c r="O21" s="283">
        <f>+F21-I21</f>
        <v>0</v>
      </c>
      <c r="P21" s="284"/>
      <c r="Q21" s="285"/>
      <c r="R21" s="26"/>
    </row>
    <row r="22" spans="3:22" ht="24" customHeight="1" thickBot="1">
      <c r="C22" s="23">
        <v>61764</v>
      </c>
      <c r="D22" s="24" t="s">
        <v>24</v>
      </c>
      <c r="E22" s="25">
        <v>10000</v>
      </c>
      <c r="F22" s="283">
        <v>9996</v>
      </c>
      <c r="G22" s="284"/>
      <c r="H22" s="285"/>
      <c r="I22" s="283">
        <v>9996</v>
      </c>
      <c r="J22" s="284"/>
      <c r="K22" s="285"/>
      <c r="L22" s="283">
        <f>+E22-F22</f>
        <v>4</v>
      </c>
      <c r="M22" s="284"/>
      <c r="N22" s="285"/>
      <c r="O22" s="283">
        <f>+F22-I22</f>
        <v>0</v>
      </c>
      <c r="P22" s="284"/>
      <c r="Q22" s="285"/>
      <c r="R22" s="26"/>
    </row>
    <row r="23" spans="3:22" ht="24" customHeight="1" thickBot="1">
      <c r="C23" s="23">
        <v>61766</v>
      </c>
      <c r="D23" s="24" t="s">
        <v>25</v>
      </c>
      <c r="E23" s="25">
        <v>20000</v>
      </c>
      <c r="F23" s="283">
        <f>+'[3]PAIEMENTS BUDGET 2020'!R23</f>
        <v>19999.919999999998</v>
      </c>
      <c r="G23" s="284"/>
      <c r="H23" s="285"/>
      <c r="I23" s="283">
        <f>+F23</f>
        <v>19999.919999999998</v>
      </c>
      <c r="J23" s="284"/>
      <c r="K23" s="285"/>
      <c r="L23" s="283">
        <f>+E23-F23</f>
        <v>8.000000000174623E-2</v>
      </c>
      <c r="M23" s="284"/>
      <c r="N23" s="285"/>
      <c r="O23" s="283">
        <f>+F23-I23</f>
        <v>0</v>
      </c>
      <c r="P23" s="284"/>
      <c r="Q23" s="285"/>
      <c r="R23" s="26"/>
    </row>
    <row r="24" spans="3:22" ht="24" hidden="1" customHeight="1" thickBot="1">
      <c r="C24" s="23">
        <v>61768</v>
      </c>
      <c r="D24" s="24" t="s">
        <v>26</v>
      </c>
      <c r="E24" s="25">
        <v>0</v>
      </c>
      <c r="F24" s="283">
        <f>+'[3]PAIEMENTS BUDGET 2020'!R24</f>
        <v>0</v>
      </c>
      <c r="G24" s="284"/>
      <c r="H24" s="285"/>
      <c r="I24" s="283">
        <v>0</v>
      </c>
      <c r="J24" s="284"/>
      <c r="K24" s="285"/>
      <c r="L24" s="283">
        <f>+E24-F24</f>
        <v>0</v>
      </c>
      <c r="M24" s="284"/>
      <c r="N24" s="285"/>
      <c r="O24" s="283">
        <f>+F24-I24</f>
        <v>0</v>
      </c>
      <c r="P24" s="284"/>
      <c r="Q24" s="285"/>
      <c r="R24" s="26"/>
    </row>
    <row r="25" spans="3:22" ht="24" customHeight="1" thickBot="1">
      <c r="C25" s="27">
        <v>61769</v>
      </c>
      <c r="D25" s="28" t="s">
        <v>27</v>
      </c>
      <c r="E25" s="25">
        <v>7000</v>
      </c>
      <c r="F25" s="283">
        <v>6500</v>
      </c>
      <c r="G25" s="284"/>
      <c r="H25" s="285"/>
      <c r="I25" s="283">
        <v>6500</v>
      </c>
      <c r="J25" s="284"/>
      <c r="K25" s="285"/>
      <c r="L25" s="283">
        <f>+E25-F25</f>
        <v>500</v>
      </c>
      <c r="M25" s="284"/>
      <c r="N25" s="285"/>
      <c r="O25" s="283">
        <f>+F25-I25</f>
        <v>0</v>
      </c>
      <c r="P25" s="284"/>
      <c r="Q25" s="285"/>
      <c r="R25" s="26"/>
    </row>
    <row r="26" spans="3:22" s="39" customFormat="1" ht="24" customHeight="1" thickBot="1">
      <c r="C26" s="48"/>
      <c r="D26" s="49" t="s">
        <v>28</v>
      </c>
      <c r="E26" s="110">
        <f>SUM(E11:E25)</f>
        <v>9982000</v>
      </c>
      <c r="F26" s="277">
        <f>SUM(F11:F25)</f>
        <v>9567177.6899999976</v>
      </c>
      <c r="G26" s="278"/>
      <c r="H26" s="279"/>
      <c r="I26" s="277">
        <f t="shared" ref="I26:Q26" si="0">SUM(I11:I25)</f>
        <v>9360309.9399999995</v>
      </c>
      <c r="J26" s="278">
        <f t="shared" si="0"/>
        <v>0</v>
      </c>
      <c r="K26" s="279">
        <f t="shared" si="0"/>
        <v>0</v>
      </c>
      <c r="L26" s="277">
        <f>SUM(L11:L25)</f>
        <v>414822.31000000046</v>
      </c>
      <c r="M26" s="278">
        <f t="shared" si="0"/>
        <v>0</v>
      </c>
      <c r="N26" s="279">
        <f t="shared" si="0"/>
        <v>0</v>
      </c>
      <c r="O26" s="277">
        <f t="shared" si="0"/>
        <v>206839.04000000001</v>
      </c>
      <c r="P26" s="278">
        <f t="shared" si="0"/>
        <v>0</v>
      </c>
      <c r="Q26" s="279">
        <f t="shared" si="0"/>
        <v>0</v>
      </c>
      <c r="R26" s="37"/>
      <c r="S26" s="106"/>
      <c r="T26" s="38"/>
      <c r="U26" s="38"/>
      <c r="V26" s="38"/>
    </row>
    <row r="27" spans="3:22" s="39" customFormat="1" ht="24" customHeight="1" thickBot="1">
      <c r="C27" s="40"/>
      <c r="D27" s="41" t="s">
        <v>29</v>
      </c>
      <c r="E27" s="42">
        <f>+E26</f>
        <v>9982000</v>
      </c>
      <c r="F27" s="280">
        <f>+F26</f>
        <v>9567177.6899999976</v>
      </c>
      <c r="G27" s="281"/>
      <c r="H27" s="282"/>
      <c r="I27" s="280">
        <f t="shared" ref="I27:Q28" si="1">+I26</f>
        <v>9360309.9399999995</v>
      </c>
      <c r="J27" s="281">
        <f t="shared" si="1"/>
        <v>0</v>
      </c>
      <c r="K27" s="282">
        <f t="shared" si="1"/>
        <v>0</v>
      </c>
      <c r="L27" s="280">
        <f t="shared" si="1"/>
        <v>414822.31000000046</v>
      </c>
      <c r="M27" s="281">
        <f t="shared" si="1"/>
        <v>0</v>
      </c>
      <c r="N27" s="282">
        <f t="shared" si="1"/>
        <v>0</v>
      </c>
      <c r="O27" s="280">
        <f t="shared" si="1"/>
        <v>206839.04000000001</v>
      </c>
      <c r="P27" s="281">
        <f t="shared" si="1"/>
        <v>0</v>
      </c>
      <c r="Q27" s="282">
        <f t="shared" si="1"/>
        <v>0</v>
      </c>
      <c r="R27" s="37"/>
      <c r="S27" s="106"/>
      <c r="T27" s="38"/>
      <c r="U27" s="38"/>
      <c r="V27" s="38"/>
    </row>
    <row r="28" spans="3:22" s="39" customFormat="1" ht="28.5" customHeight="1" thickBot="1">
      <c r="C28" s="294" t="s">
        <v>30</v>
      </c>
      <c r="D28" s="295"/>
      <c r="E28" s="44">
        <f>SUM(E27)</f>
        <v>9982000</v>
      </c>
      <c r="F28" s="265">
        <f>+F27</f>
        <v>9567177.6899999976</v>
      </c>
      <c r="G28" s="266"/>
      <c r="H28" s="267"/>
      <c r="I28" s="265">
        <f t="shared" si="1"/>
        <v>9360309.9399999995</v>
      </c>
      <c r="J28" s="266">
        <f t="shared" si="1"/>
        <v>0</v>
      </c>
      <c r="K28" s="267">
        <f t="shared" si="1"/>
        <v>0</v>
      </c>
      <c r="L28" s="265">
        <f t="shared" si="1"/>
        <v>414822.31000000046</v>
      </c>
      <c r="M28" s="266">
        <f t="shared" si="1"/>
        <v>0</v>
      </c>
      <c r="N28" s="267">
        <f t="shared" si="1"/>
        <v>0</v>
      </c>
      <c r="O28" s="265">
        <f t="shared" si="1"/>
        <v>206839.04000000001</v>
      </c>
      <c r="P28" s="266">
        <f t="shared" si="1"/>
        <v>0</v>
      </c>
      <c r="Q28" s="267">
        <f t="shared" si="1"/>
        <v>0</v>
      </c>
      <c r="R28" s="37"/>
      <c r="S28" s="106"/>
      <c r="T28" s="38"/>
      <c r="U28" s="38"/>
      <c r="V28" s="38"/>
    </row>
    <row r="29" spans="3:22" s="14" customFormat="1" ht="38.25" customHeight="1" thickBot="1">
      <c r="C29" s="299" t="s">
        <v>31</v>
      </c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0"/>
      <c r="S29" s="104"/>
      <c r="T29" s="7"/>
      <c r="U29" s="7"/>
      <c r="V29" s="7"/>
    </row>
    <row r="30" spans="3:22" s="14" customFormat="1" ht="24" customHeight="1" thickBot="1">
      <c r="C30" s="15">
        <v>610</v>
      </c>
      <c r="D30" s="16" t="s">
        <v>32</v>
      </c>
      <c r="E30" s="1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104"/>
      <c r="T30" s="7"/>
      <c r="U30" s="7"/>
      <c r="V30" s="7"/>
    </row>
    <row r="31" spans="3:22" s="14" customFormat="1" ht="24" customHeight="1" thickBot="1">
      <c r="C31" s="19">
        <v>10</v>
      </c>
      <c r="D31" s="20" t="s">
        <v>11</v>
      </c>
      <c r="E31" s="21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S31" s="104"/>
      <c r="T31" s="7"/>
      <c r="U31" s="7"/>
      <c r="V31" s="7"/>
    </row>
    <row r="32" spans="3:22" s="14" customFormat="1" ht="24" customHeight="1" thickBot="1">
      <c r="C32" s="15">
        <v>10</v>
      </c>
      <c r="D32" s="16" t="s">
        <v>33</v>
      </c>
      <c r="E32" s="1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104"/>
      <c r="T32" s="7"/>
      <c r="U32" s="7"/>
      <c r="V32" s="7"/>
    </row>
    <row r="33" spans="3:22" s="14" customFormat="1" ht="24" customHeight="1" thickBot="1">
      <c r="C33" s="27">
        <v>61224</v>
      </c>
      <c r="D33" s="28" t="s">
        <v>34</v>
      </c>
      <c r="E33" s="25">
        <v>20000</v>
      </c>
      <c r="F33" s="283">
        <f>+'[3]PAIEMENTS BUDGET 2020'!Q33</f>
        <v>19392</v>
      </c>
      <c r="G33" s="284"/>
      <c r="H33" s="285"/>
      <c r="I33" s="283">
        <v>19392</v>
      </c>
      <c r="J33" s="284"/>
      <c r="K33" s="285"/>
      <c r="L33" s="283">
        <f>+E33-F33</f>
        <v>608</v>
      </c>
      <c r="M33" s="284"/>
      <c r="N33" s="285"/>
      <c r="O33" s="283">
        <f>+F33-I33</f>
        <v>0</v>
      </c>
      <c r="P33" s="284"/>
      <c r="Q33" s="285"/>
      <c r="S33" s="104"/>
      <c r="T33" s="7"/>
      <c r="U33" s="7"/>
      <c r="V33" s="7"/>
    </row>
    <row r="34" spans="3:22" ht="24" customHeight="1" thickBot="1">
      <c r="C34" s="27">
        <v>61225</v>
      </c>
      <c r="D34" s="28" t="s">
        <v>35</v>
      </c>
      <c r="E34" s="25">
        <v>50000</v>
      </c>
      <c r="F34" s="283">
        <v>49920</v>
      </c>
      <c r="G34" s="284"/>
      <c r="H34" s="285"/>
      <c r="I34" s="283">
        <f t="shared" ref="I34:I39" si="2">+F34</f>
        <v>49920</v>
      </c>
      <c r="J34" s="284"/>
      <c r="K34" s="285"/>
      <c r="L34" s="283">
        <f t="shared" ref="L34:L39" si="3">+E34-F34</f>
        <v>80</v>
      </c>
      <c r="M34" s="284"/>
      <c r="N34" s="285"/>
      <c r="O34" s="283">
        <f t="shared" ref="O34:O39" si="4">+F34-I34</f>
        <v>0</v>
      </c>
      <c r="P34" s="284"/>
      <c r="Q34" s="285"/>
      <c r="R34" s="26"/>
    </row>
    <row r="35" spans="3:22" ht="33.75" thickBot="1">
      <c r="C35" s="27">
        <v>61226</v>
      </c>
      <c r="D35" s="111" t="s">
        <v>36</v>
      </c>
      <c r="E35" s="25">
        <v>250000</v>
      </c>
      <c r="F35" s="283">
        <v>249600</v>
      </c>
      <c r="G35" s="284"/>
      <c r="H35" s="285"/>
      <c r="I35" s="283">
        <f t="shared" si="2"/>
        <v>249600</v>
      </c>
      <c r="J35" s="284"/>
      <c r="K35" s="285"/>
      <c r="L35" s="283">
        <f t="shared" si="3"/>
        <v>400</v>
      </c>
      <c r="M35" s="284"/>
      <c r="N35" s="285"/>
      <c r="O35" s="283">
        <f t="shared" si="4"/>
        <v>0</v>
      </c>
      <c r="P35" s="284"/>
      <c r="Q35" s="285"/>
      <c r="R35" s="26"/>
    </row>
    <row r="36" spans="3:22" ht="24" customHeight="1" thickBot="1">
      <c r="C36" s="27">
        <v>61254</v>
      </c>
      <c r="D36" s="28" t="s">
        <v>37</v>
      </c>
      <c r="E36" s="25">
        <v>150000</v>
      </c>
      <c r="F36" s="283">
        <v>150000</v>
      </c>
      <c r="G36" s="284"/>
      <c r="H36" s="285"/>
      <c r="I36" s="283">
        <f t="shared" si="2"/>
        <v>150000</v>
      </c>
      <c r="J36" s="284"/>
      <c r="K36" s="285"/>
      <c r="L36" s="283">
        <f t="shared" si="3"/>
        <v>0</v>
      </c>
      <c r="M36" s="284"/>
      <c r="N36" s="285"/>
      <c r="O36" s="283">
        <f t="shared" si="4"/>
        <v>0</v>
      </c>
      <c r="P36" s="284"/>
      <c r="Q36" s="285"/>
      <c r="R36" s="26"/>
    </row>
    <row r="37" spans="3:22" ht="24" customHeight="1" thickBot="1">
      <c r="C37" s="27">
        <v>612511</v>
      </c>
      <c r="D37" s="28" t="s">
        <v>38</v>
      </c>
      <c r="E37" s="25">
        <v>50000</v>
      </c>
      <c r="F37" s="283">
        <f>+'[3]PAIEMENTS BUDGET 2020'!R37</f>
        <v>50000</v>
      </c>
      <c r="G37" s="284"/>
      <c r="H37" s="285"/>
      <c r="I37" s="283">
        <f t="shared" si="2"/>
        <v>50000</v>
      </c>
      <c r="J37" s="284"/>
      <c r="K37" s="285"/>
      <c r="L37" s="283">
        <f t="shared" si="3"/>
        <v>0</v>
      </c>
      <c r="M37" s="284"/>
      <c r="N37" s="285"/>
      <c r="O37" s="283">
        <f t="shared" si="4"/>
        <v>0</v>
      </c>
      <c r="P37" s="284"/>
      <c r="Q37" s="285"/>
      <c r="R37" s="26"/>
    </row>
    <row r="38" spans="3:22" ht="24" customHeight="1" thickBot="1">
      <c r="C38" s="27">
        <v>612512</v>
      </c>
      <c r="D38" s="28" t="s">
        <v>39</v>
      </c>
      <c r="E38" s="25">
        <v>50000</v>
      </c>
      <c r="F38" s="283">
        <f>+'[3]PAIEMENTS BUDGET 2020'!R38</f>
        <v>50000</v>
      </c>
      <c r="G38" s="284"/>
      <c r="H38" s="285"/>
      <c r="I38" s="283">
        <f t="shared" si="2"/>
        <v>50000</v>
      </c>
      <c r="J38" s="284"/>
      <c r="K38" s="285"/>
      <c r="L38" s="283">
        <f t="shared" si="3"/>
        <v>0</v>
      </c>
      <c r="M38" s="284"/>
      <c r="N38" s="285"/>
      <c r="O38" s="283">
        <f t="shared" si="4"/>
        <v>0</v>
      </c>
      <c r="P38" s="284"/>
      <c r="Q38" s="285"/>
      <c r="R38" s="26"/>
    </row>
    <row r="39" spans="3:22" ht="24" customHeight="1" thickBot="1">
      <c r="C39" s="27">
        <v>61223</v>
      </c>
      <c r="D39" s="28" t="s">
        <v>40</v>
      </c>
      <c r="E39" s="25">
        <v>300000</v>
      </c>
      <c r="F39" s="283">
        <f>+'[3]PAIEMENTS BUDGET 2020'!R39</f>
        <v>300000</v>
      </c>
      <c r="G39" s="284"/>
      <c r="H39" s="285"/>
      <c r="I39" s="283">
        <f t="shared" si="2"/>
        <v>300000</v>
      </c>
      <c r="J39" s="284"/>
      <c r="K39" s="285"/>
      <c r="L39" s="283">
        <f t="shared" si="3"/>
        <v>0</v>
      </c>
      <c r="M39" s="284"/>
      <c r="N39" s="285"/>
      <c r="O39" s="283">
        <f t="shared" si="4"/>
        <v>0</v>
      </c>
      <c r="P39" s="284"/>
      <c r="Q39" s="285"/>
      <c r="R39" s="26"/>
    </row>
    <row r="40" spans="3:22" s="14" customFormat="1" ht="24" customHeight="1" thickBot="1">
      <c r="C40" s="15">
        <v>20</v>
      </c>
      <c r="D40" s="16" t="s">
        <v>41</v>
      </c>
      <c r="E40" s="17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S40" s="104"/>
      <c r="T40" s="7"/>
      <c r="U40" s="7"/>
      <c r="V40" s="7"/>
    </row>
    <row r="41" spans="3:22" ht="24" hidden="1" customHeight="1" thickBot="1">
      <c r="C41" s="27">
        <v>61262</v>
      </c>
      <c r="D41" s="28" t="s">
        <v>42</v>
      </c>
      <c r="E41" s="25">
        <v>0</v>
      </c>
      <c r="F41" s="283">
        <f>+'[3]PAIEMENTS BUDGET 2020'!R41</f>
        <v>0</v>
      </c>
      <c r="G41" s="284"/>
      <c r="H41" s="285"/>
      <c r="I41" s="283">
        <v>0</v>
      </c>
      <c r="J41" s="284"/>
      <c r="K41" s="285"/>
      <c r="L41" s="283">
        <f>+E41-F41</f>
        <v>0</v>
      </c>
      <c r="M41" s="284"/>
      <c r="N41" s="285"/>
      <c r="O41" s="283">
        <f>+F41-I41</f>
        <v>0</v>
      </c>
      <c r="P41" s="284"/>
      <c r="Q41" s="285"/>
      <c r="R41" s="26"/>
    </row>
    <row r="42" spans="3:22" ht="24" customHeight="1" thickBot="1">
      <c r="C42" s="27">
        <v>61264</v>
      </c>
      <c r="D42" s="28" t="s">
        <v>43</v>
      </c>
      <c r="E42" s="25">
        <v>150000</v>
      </c>
      <c r="F42" s="283">
        <v>150000</v>
      </c>
      <c r="G42" s="284"/>
      <c r="H42" s="285"/>
      <c r="I42" s="283">
        <f>+F42</f>
        <v>150000</v>
      </c>
      <c r="J42" s="284"/>
      <c r="K42" s="285"/>
      <c r="L42" s="283">
        <f>+E42-F42</f>
        <v>0</v>
      </c>
      <c r="M42" s="284"/>
      <c r="N42" s="285"/>
      <c r="O42" s="283">
        <f>+F42-I42</f>
        <v>0</v>
      </c>
      <c r="P42" s="284"/>
      <c r="Q42" s="285"/>
      <c r="R42" s="26"/>
      <c r="T42" s="46"/>
    </row>
    <row r="43" spans="3:22" ht="59.25" customHeight="1" thickBot="1">
      <c r="C43" s="27">
        <v>61365</v>
      </c>
      <c r="D43" s="28" t="s">
        <v>44</v>
      </c>
      <c r="E43" s="25">
        <v>150000</v>
      </c>
      <c r="F43" s="283">
        <v>149984</v>
      </c>
      <c r="G43" s="284"/>
      <c r="H43" s="285"/>
      <c r="I43" s="283">
        <v>103700</v>
      </c>
      <c r="J43" s="284"/>
      <c r="K43" s="285"/>
      <c r="L43" s="283">
        <f>+E43-F43</f>
        <v>16</v>
      </c>
      <c r="M43" s="284"/>
      <c r="N43" s="285"/>
      <c r="O43" s="283">
        <f>+F43-I43</f>
        <v>46284</v>
      </c>
      <c r="P43" s="284"/>
      <c r="Q43" s="285"/>
      <c r="R43" s="26"/>
    </row>
    <row r="44" spans="3:22" ht="24" customHeight="1" thickBot="1">
      <c r="C44" s="27">
        <v>61416</v>
      </c>
      <c r="D44" s="28" t="s">
        <v>46</v>
      </c>
      <c r="E44" s="25">
        <v>10000</v>
      </c>
      <c r="F44" s="283">
        <v>10000</v>
      </c>
      <c r="G44" s="284"/>
      <c r="H44" s="285"/>
      <c r="I44" s="283">
        <f>+F44</f>
        <v>10000</v>
      </c>
      <c r="J44" s="284"/>
      <c r="K44" s="285"/>
      <c r="L44" s="283">
        <f>+E44-F44</f>
        <v>0</v>
      </c>
      <c r="M44" s="284"/>
      <c r="N44" s="285"/>
      <c r="O44" s="283">
        <f>+F44-I44</f>
        <v>0</v>
      </c>
      <c r="P44" s="284"/>
      <c r="Q44" s="285"/>
      <c r="R44" s="26"/>
    </row>
    <row r="45" spans="3:22" ht="24" hidden="1" customHeight="1" thickBot="1">
      <c r="C45" s="27">
        <v>6587</v>
      </c>
      <c r="D45" s="28" t="s">
        <v>47</v>
      </c>
      <c r="E45" s="25">
        <v>0</v>
      </c>
      <c r="F45" s="283">
        <f>+'[3]PAIEMENTS BUDGET 2020'!R45</f>
        <v>0</v>
      </c>
      <c r="G45" s="284"/>
      <c r="H45" s="285"/>
      <c r="I45" s="283">
        <v>0</v>
      </c>
      <c r="J45" s="284"/>
      <c r="K45" s="285"/>
      <c r="L45" s="283">
        <f>+E45-F45</f>
        <v>0</v>
      </c>
      <c r="M45" s="284"/>
      <c r="N45" s="285"/>
      <c r="O45" s="283">
        <f>+F45-I45</f>
        <v>0</v>
      </c>
      <c r="P45" s="284"/>
      <c r="Q45" s="285"/>
      <c r="R45" s="26"/>
    </row>
    <row r="46" spans="3:22" s="14" customFormat="1" ht="27" customHeight="1" thickBot="1">
      <c r="C46" s="15">
        <v>30</v>
      </c>
      <c r="D46" s="16" t="s">
        <v>48</v>
      </c>
      <c r="E46" s="17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S46" s="104"/>
      <c r="T46" s="7"/>
      <c r="U46" s="7"/>
      <c r="V46" s="7"/>
    </row>
    <row r="47" spans="3:22" ht="24" customHeight="1" thickBot="1">
      <c r="C47" s="27">
        <v>61312</v>
      </c>
      <c r="D47" s="28" t="s">
        <v>49</v>
      </c>
      <c r="E47" s="47">
        <v>666000</v>
      </c>
      <c r="F47" s="283">
        <f>+'[3]PAIEMENTS BUDGET 2020'!R47</f>
        <v>666000</v>
      </c>
      <c r="G47" s="284"/>
      <c r="H47" s="285"/>
      <c r="I47" s="283">
        <f>+F47</f>
        <v>666000</v>
      </c>
      <c r="J47" s="284"/>
      <c r="K47" s="285"/>
      <c r="L47" s="283">
        <f>+E47-F47</f>
        <v>0</v>
      </c>
      <c r="M47" s="284"/>
      <c r="N47" s="285"/>
      <c r="O47" s="283">
        <f>+F47-I47</f>
        <v>0</v>
      </c>
      <c r="P47" s="284"/>
      <c r="Q47" s="285"/>
      <c r="R47" s="26"/>
    </row>
    <row r="48" spans="3:22" s="14" customFormat="1" ht="27" customHeight="1" thickBot="1">
      <c r="C48" s="15">
        <v>40</v>
      </c>
      <c r="D48" s="16" t="s">
        <v>50</v>
      </c>
      <c r="E48" s="17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S48" s="104"/>
      <c r="T48" s="7"/>
      <c r="U48" s="7"/>
      <c r="V48" s="7"/>
    </row>
    <row r="49" spans="3:22" ht="24" customHeight="1" thickBot="1">
      <c r="C49" s="27">
        <v>61331</v>
      </c>
      <c r="D49" s="28" t="s">
        <v>51</v>
      </c>
      <c r="E49" s="25">
        <v>40000</v>
      </c>
      <c r="F49" s="283">
        <f>+'[3]PAIEMENTS BUDGET 2020'!Q49</f>
        <v>39984</v>
      </c>
      <c r="G49" s="284"/>
      <c r="H49" s="285"/>
      <c r="I49" s="283">
        <v>39984</v>
      </c>
      <c r="J49" s="284"/>
      <c r="K49" s="285"/>
      <c r="L49" s="283">
        <f>+E49-F49</f>
        <v>16</v>
      </c>
      <c r="M49" s="284"/>
      <c r="N49" s="285"/>
      <c r="O49" s="283">
        <f>+F49-I49</f>
        <v>0</v>
      </c>
      <c r="P49" s="284"/>
      <c r="Q49" s="285"/>
      <c r="R49" s="26"/>
    </row>
    <row r="50" spans="3:22" ht="24" customHeight="1" thickBot="1">
      <c r="C50" s="27">
        <v>613321</v>
      </c>
      <c r="D50" s="28" t="s">
        <v>52</v>
      </c>
      <c r="E50" s="25">
        <v>150000</v>
      </c>
      <c r="F50" s="283">
        <f>+'[3]PAIEMENTS BUDGET 2020'!R50</f>
        <v>150000</v>
      </c>
      <c r="G50" s="284"/>
      <c r="H50" s="285"/>
      <c r="I50" s="283">
        <f>+F50</f>
        <v>150000</v>
      </c>
      <c r="J50" s="284"/>
      <c r="K50" s="285"/>
      <c r="L50" s="283">
        <f>+E50-F50</f>
        <v>0</v>
      </c>
      <c r="M50" s="284"/>
      <c r="N50" s="285"/>
      <c r="O50" s="283">
        <f>+F50-I50</f>
        <v>0</v>
      </c>
      <c r="P50" s="284"/>
      <c r="Q50" s="285"/>
      <c r="R50" s="26"/>
    </row>
    <row r="51" spans="3:22" ht="24" hidden="1" customHeight="1" thickBot="1">
      <c r="C51" s="27">
        <v>613322</v>
      </c>
      <c r="D51" s="28" t="s">
        <v>53</v>
      </c>
      <c r="E51" s="25">
        <v>0</v>
      </c>
      <c r="F51" s="283">
        <f>+'[3]PAIEMENTS BUDGET 2020'!R51</f>
        <v>0</v>
      </c>
      <c r="G51" s="284"/>
      <c r="H51" s="285"/>
      <c r="I51" s="283">
        <v>0</v>
      </c>
      <c r="J51" s="284"/>
      <c r="K51" s="285"/>
      <c r="L51" s="283">
        <f>+E51-F51</f>
        <v>0</v>
      </c>
      <c r="M51" s="284"/>
      <c r="N51" s="285"/>
      <c r="O51" s="283">
        <f>+F51-I51</f>
        <v>0</v>
      </c>
      <c r="P51" s="284"/>
      <c r="Q51" s="285"/>
      <c r="R51" s="26"/>
    </row>
    <row r="52" spans="3:22" ht="24" customHeight="1" thickBot="1">
      <c r="C52" s="27">
        <v>613323</v>
      </c>
      <c r="D52" s="28" t="s">
        <v>54</v>
      </c>
      <c r="E52" s="25">
        <v>80000</v>
      </c>
      <c r="F52" s="283">
        <v>80000</v>
      </c>
      <c r="G52" s="284"/>
      <c r="H52" s="285"/>
      <c r="I52" s="283">
        <v>80000</v>
      </c>
      <c r="J52" s="284"/>
      <c r="K52" s="285"/>
      <c r="L52" s="283">
        <f>+E52-F52</f>
        <v>0</v>
      </c>
      <c r="M52" s="284"/>
      <c r="N52" s="285"/>
      <c r="O52" s="283">
        <f>+F52-I52</f>
        <v>0</v>
      </c>
      <c r="P52" s="284"/>
      <c r="Q52" s="285"/>
      <c r="R52" s="26"/>
    </row>
    <row r="53" spans="3:22" ht="24" customHeight="1" thickBot="1">
      <c r="C53" s="27">
        <v>61335</v>
      </c>
      <c r="D53" s="28" t="s">
        <v>55</v>
      </c>
      <c r="E53" s="25">
        <v>50000</v>
      </c>
      <c r="F53" s="283">
        <v>50000</v>
      </c>
      <c r="G53" s="284"/>
      <c r="H53" s="285"/>
      <c r="I53" s="283">
        <v>50000</v>
      </c>
      <c r="J53" s="284"/>
      <c r="K53" s="285"/>
      <c r="L53" s="283">
        <f>+E53-F53</f>
        <v>0</v>
      </c>
      <c r="M53" s="284"/>
      <c r="N53" s="285"/>
      <c r="O53" s="283">
        <f>+F53-I53</f>
        <v>0</v>
      </c>
      <c r="P53" s="284"/>
      <c r="Q53" s="285"/>
      <c r="R53" s="26"/>
    </row>
    <row r="54" spans="3:22" s="14" customFormat="1" ht="27" customHeight="1" thickBot="1">
      <c r="C54" s="15">
        <v>50</v>
      </c>
      <c r="D54" s="16" t="s">
        <v>56</v>
      </c>
      <c r="E54" s="17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S54" s="104"/>
      <c r="T54" s="7"/>
      <c r="U54" s="7"/>
      <c r="V54" s="7"/>
    </row>
    <row r="55" spans="3:22" ht="24" customHeight="1" thickBot="1">
      <c r="C55" s="27">
        <v>61341</v>
      </c>
      <c r="D55" s="28" t="s">
        <v>57</v>
      </c>
      <c r="E55" s="25">
        <v>25000</v>
      </c>
      <c r="F55" s="283">
        <v>19975</v>
      </c>
      <c r="G55" s="284"/>
      <c r="H55" s="285"/>
      <c r="I55" s="283">
        <v>0</v>
      </c>
      <c r="J55" s="284"/>
      <c r="K55" s="285"/>
      <c r="L55" s="283">
        <f>+E55-F55</f>
        <v>5025</v>
      </c>
      <c r="M55" s="284"/>
      <c r="N55" s="285"/>
      <c r="O55" s="283">
        <f>+F55-I55</f>
        <v>19975</v>
      </c>
      <c r="P55" s="284"/>
      <c r="Q55" s="285"/>
      <c r="R55" s="26"/>
    </row>
    <row r="56" spans="3:22" ht="24" customHeight="1" thickBot="1">
      <c r="C56" s="27">
        <v>61345</v>
      </c>
      <c r="D56" s="28" t="s">
        <v>58</v>
      </c>
      <c r="E56" s="25">
        <v>50000</v>
      </c>
      <c r="F56" s="283">
        <f>+'[3]PAIEMENTS BUDGET 2020'!R56</f>
        <v>36440.269999999997</v>
      </c>
      <c r="G56" s="284"/>
      <c r="H56" s="285"/>
      <c r="I56" s="283">
        <f>+F56</f>
        <v>36440.269999999997</v>
      </c>
      <c r="J56" s="284"/>
      <c r="K56" s="285"/>
      <c r="L56" s="283">
        <f>+E56-F56</f>
        <v>13559.730000000003</v>
      </c>
      <c r="M56" s="284"/>
      <c r="N56" s="285"/>
      <c r="O56" s="283">
        <f>+F56-I56</f>
        <v>0</v>
      </c>
      <c r="P56" s="284"/>
      <c r="Q56" s="285"/>
      <c r="R56" s="26"/>
    </row>
    <row r="57" spans="3:22" s="14" customFormat="1" ht="27" customHeight="1" thickBot="1">
      <c r="C57" s="15">
        <v>60</v>
      </c>
      <c r="D57" s="16" t="s">
        <v>59</v>
      </c>
      <c r="E57" s="17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S57" s="104"/>
      <c r="T57" s="7"/>
      <c r="U57" s="7"/>
      <c r="V57" s="7"/>
    </row>
    <row r="58" spans="3:22" ht="24" customHeight="1" thickBot="1">
      <c r="C58" s="27">
        <v>61354</v>
      </c>
      <c r="D58" s="28" t="s">
        <v>60</v>
      </c>
      <c r="E58" s="25">
        <v>320000</v>
      </c>
      <c r="F58" s="283">
        <f>+'[3]PAIEMENTS BUDGET 2020'!R58</f>
        <v>292755.33</v>
      </c>
      <c r="G58" s="284"/>
      <c r="H58" s="285"/>
      <c r="I58" s="283">
        <f>+F58</f>
        <v>292755.33</v>
      </c>
      <c r="J58" s="284"/>
      <c r="K58" s="285"/>
      <c r="L58" s="283">
        <f>+E58-F58</f>
        <v>27244.669999999984</v>
      </c>
      <c r="M58" s="284"/>
      <c r="N58" s="285"/>
      <c r="O58" s="283">
        <v>1281</v>
      </c>
      <c r="P58" s="284"/>
      <c r="Q58" s="285"/>
      <c r="R58" s="26"/>
    </row>
    <row r="59" spans="3:22" ht="24" customHeight="1" thickBot="1">
      <c r="C59" s="27">
        <v>61355</v>
      </c>
      <c r="D59" s="28" t="s">
        <v>61</v>
      </c>
      <c r="E59" s="25">
        <v>85000</v>
      </c>
      <c r="F59" s="283">
        <v>84830.399999999994</v>
      </c>
      <c r="G59" s="284"/>
      <c r="H59" s="285"/>
      <c r="I59" s="283">
        <v>84830.399999999994</v>
      </c>
      <c r="J59" s="284"/>
      <c r="K59" s="285"/>
      <c r="L59" s="283">
        <f>+E59-F59</f>
        <v>169.60000000000582</v>
      </c>
      <c r="M59" s="284"/>
      <c r="N59" s="285"/>
      <c r="O59" s="283">
        <f>+F59-I59</f>
        <v>0</v>
      </c>
      <c r="P59" s="284"/>
      <c r="Q59" s="285"/>
      <c r="R59" s="26"/>
    </row>
    <row r="60" spans="3:22" s="14" customFormat="1" ht="27" customHeight="1" thickBot="1">
      <c r="C60" s="15">
        <v>70</v>
      </c>
      <c r="D60" s="16" t="s">
        <v>62</v>
      </c>
      <c r="E60" s="17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S60" s="104"/>
      <c r="T60" s="7"/>
      <c r="U60" s="7"/>
      <c r="V60" s="7"/>
    </row>
    <row r="61" spans="3:22" ht="24" hidden="1" customHeight="1" thickBot="1">
      <c r="C61" s="27">
        <v>61425</v>
      </c>
      <c r="D61" s="28" t="s">
        <v>63</v>
      </c>
      <c r="E61" s="25">
        <v>0</v>
      </c>
      <c r="F61" s="283">
        <f>+'[3]PAIEMENTS BUDGET 2020'!R61</f>
        <v>0</v>
      </c>
      <c r="G61" s="284"/>
      <c r="H61" s="285"/>
      <c r="I61" s="283">
        <v>0</v>
      </c>
      <c r="J61" s="284"/>
      <c r="K61" s="285"/>
      <c r="L61" s="283">
        <f t="shared" ref="L61:L66" si="5">+E61-F61</f>
        <v>0</v>
      </c>
      <c r="M61" s="284"/>
      <c r="N61" s="285"/>
      <c r="O61" s="283">
        <f t="shared" ref="O61:O66" si="6">+F61-I61</f>
        <v>0</v>
      </c>
      <c r="P61" s="284"/>
      <c r="Q61" s="285"/>
      <c r="R61" s="26"/>
    </row>
    <row r="62" spans="3:22" ht="24" customHeight="1" thickBot="1">
      <c r="C62" s="27">
        <v>614311</v>
      </c>
      <c r="D62" s="28" t="s">
        <v>64</v>
      </c>
      <c r="E62" s="25">
        <f>+'[3]PAIEMENTS BUDGET 2020'!E62</f>
        <v>845280</v>
      </c>
      <c r="F62" s="283">
        <f>+'[3]PAIEMENTS BUDGET 2020'!R62</f>
        <v>845280</v>
      </c>
      <c r="G62" s="284"/>
      <c r="H62" s="285"/>
      <c r="I62" s="283">
        <f>+F62</f>
        <v>845280</v>
      </c>
      <c r="J62" s="284"/>
      <c r="K62" s="285"/>
      <c r="L62" s="283">
        <f t="shared" si="5"/>
        <v>0</v>
      </c>
      <c r="M62" s="284"/>
      <c r="N62" s="285"/>
      <c r="O62" s="283">
        <f t="shared" si="6"/>
        <v>0</v>
      </c>
      <c r="P62" s="284"/>
      <c r="Q62" s="285"/>
      <c r="R62" s="26"/>
    </row>
    <row r="63" spans="3:22" ht="24" customHeight="1" thickBot="1">
      <c r="C63" s="27">
        <v>61711</v>
      </c>
      <c r="D63" s="28" t="s">
        <v>65</v>
      </c>
      <c r="E63" s="25">
        <f>+'[3]PAIEMENTS BUDGET 2020'!E63</f>
        <v>4720</v>
      </c>
      <c r="F63" s="283">
        <f>+'[3]PAIEMENTS BUDGET 2020'!R63</f>
        <v>4720</v>
      </c>
      <c r="G63" s="284"/>
      <c r="H63" s="285"/>
      <c r="I63" s="283">
        <f>+F63</f>
        <v>4720</v>
      </c>
      <c r="J63" s="284"/>
      <c r="K63" s="285"/>
      <c r="L63" s="283">
        <f t="shared" si="5"/>
        <v>0</v>
      </c>
      <c r="M63" s="284"/>
      <c r="N63" s="285"/>
      <c r="O63" s="283">
        <f t="shared" si="6"/>
        <v>0</v>
      </c>
      <c r="P63" s="284"/>
      <c r="Q63" s="285"/>
      <c r="R63" s="26"/>
    </row>
    <row r="64" spans="3:22" ht="24" customHeight="1" thickBot="1">
      <c r="C64" s="27">
        <v>614313</v>
      </c>
      <c r="D64" s="28" t="s">
        <v>66</v>
      </c>
      <c r="E64" s="25">
        <v>50000</v>
      </c>
      <c r="F64" s="283">
        <f>+'[3]PAIEMENTS BUDGET 2020'!R64</f>
        <v>50000</v>
      </c>
      <c r="G64" s="284"/>
      <c r="H64" s="285"/>
      <c r="I64" s="283">
        <f>+F64</f>
        <v>50000</v>
      </c>
      <c r="J64" s="284"/>
      <c r="K64" s="285"/>
      <c r="L64" s="283">
        <f t="shared" si="5"/>
        <v>0</v>
      </c>
      <c r="M64" s="284"/>
      <c r="N64" s="285"/>
      <c r="O64" s="283">
        <f t="shared" si="6"/>
        <v>0</v>
      </c>
      <c r="P64" s="284"/>
      <c r="Q64" s="285"/>
      <c r="R64" s="26"/>
    </row>
    <row r="65" spans="3:22" ht="24" hidden="1" customHeight="1" thickBot="1">
      <c r="C65" s="27">
        <v>61435</v>
      </c>
      <c r="D65" s="28" t="s">
        <v>67</v>
      </c>
      <c r="E65" s="25">
        <v>0</v>
      </c>
      <c r="F65" s="283">
        <f>+'[3]PAIEMENTS BUDGET 2020'!R65</f>
        <v>0</v>
      </c>
      <c r="G65" s="284"/>
      <c r="H65" s="285"/>
      <c r="I65" s="283">
        <v>0</v>
      </c>
      <c r="J65" s="284"/>
      <c r="K65" s="285"/>
      <c r="L65" s="283">
        <f t="shared" si="5"/>
        <v>0</v>
      </c>
      <c r="M65" s="284"/>
      <c r="N65" s="285"/>
      <c r="O65" s="283">
        <f t="shared" si="6"/>
        <v>0</v>
      </c>
      <c r="P65" s="284"/>
      <c r="Q65" s="285"/>
      <c r="R65" s="26"/>
    </row>
    <row r="66" spans="3:22" ht="24" customHeight="1" thickBot="1">
      <c r="C66" s="27">
        <v>61436</v>
      </c>
      <c r="D66" s="28" t="s">
        <v>68</v>
      </c>
      <c r="E66" s="25">
        <v>200000</v>
      </c>
      <c r="F66" s="283">
        <v>199980</v>
      </c>
      <c r="G66" s="284"/>
      <c r="H66" s="285"/>
      <c r="I66" s="283">
        <v>199980</v>
      </c>
      <c r="J66" s="284"/>
      <c r="K66" s="285"/>
      <c r="L66" s="283">
        <f t="shared" si="5"/>
        <v>20</v>
      </c>
      <c r="M66" s="284"/>
      <c r="N66" s="285"/>
      <c r="O66" s="283">
        <f t="shared" si="6"/>
        <v>0</v>
      </c>
      <c r="P66" s="284"/>
      <c r="Q66" s="285"/>
      <c r="R66" s="26"/>
    </row>
    <row r="67" spans="3:22" s="14" customFormat="1" ht="27" customHeight="1" thickBot="1">
      <c r="C67" s="15">
        <v>80</v>
      </c>
      <c r="D67" s="16" t="s">
        <v>69</v>
      </c>
      <c r="E67" s="17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S67" s="104"/>
      <c r="T67" s="7"/>
      <c r="U67" s="7"/>
      <c r="V67" s="7"/>
    </row>
    <row r="68" spans="3:22" ht="24" customHeight="1" thickBot="1">
      <c r="C68" s="27">
        <v>61451</v>
      </c>
      <c r="D68" s="28" t="s">
        <v>70</v>
      </c>
      <c r="E68" s="25">
        <v>10000</v>
      </c>
      <c r="F68" s="283">
        <v>10000</v>
      </c>
      <c r="G68" s="284"/>
      <c r="H68" s="285"/>
      <c r="I68" s="283">
        <f>+F68</f>
        <v>10000</v>
      </c>
      <c r="J68" s="284"/>
      <c r="K68" s="285"/>
      <c r="L68" s="283">
        <f>+E68-F68</f>
        <v>0</v>
      </c>
      <c r="M68" s="284"/>
      <c r="N68" s="285"/>
      <c r="O68" s="283">
        <f>+F68-I68</f>
        <v>0</v>
      </c>
      <c r="P68" s="284"/>
      <c r="Q68" s="285"/>
      <c r="R68" s="26"/>
    </row>
    <row r="69" spans="3:22" ht="24" customHeight="1" thickBot="1">
      <c r="C69" s="27">
        <v>61455</v>
      </c>
      <c r="D69" s="28" t="s">
        <v>71</v>
      </c>
      <c r="E69" s="25">
        <v>220000</v>
      </c>
      <c r="F69" s="283">
        <f>+'[3]PAIEMENTS BUDGET 2020'!R69</f>
        <v>220000</v>
      </c>
      <c r="G69" s="284"/>
      <c r="H69" s="285"/>
      <c r="I69" s="283">
        <v>220000</v>
      </c>
      <c r="J69" s="284"/>
      <c r="K69" s="285"/>
      <c r="L69" s="283">
        <f>+E69-F69</f>
        <v>0</v>
      </c>
      <c r="M69" s="284"/>
      <c r="N69" s="285"/>
      <c r="O69" s="283">
        <f>+F69-I69</f>
        <v>0</v>
      </c>
      <c r="P69" s="284"/>
      <c r="Q69" s="285"/>
      <c r="R69" s="26"/>
    </row>
    <row r="70" spans="3:22" s="14" customFormat="1" ht="27" customHeight="1" thickBot="1">
      <c r="C70" s="15">
        <v>90</v>
      </c>
      <c r="D70" s="16" t="s">
        <v>72</v>
      </c>
      <c r="E70" s="17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S70" s="104"/>
      <c r="T70" s="7"/>
      <c r="U70" s="7"/>
      <c r="V70" s="7"/>
    </row>
    <row r="71" spans="3:22" ht="24" customHeight="1" thickBot="1">
      <c r="C71" s="27">
        <v>61611</v>
      </c>
      <c r="D71" s="28" t="s">
        <v>73</v>
      </c>
      <c r="E71" s="25">
        <v>300000</v>
      </c>
      <c r="F71" s="283">
        <f>+'[3]PAIEMENTS BUDGET 2020'!R71</f>
        <v>209841.3</v>
      </c>
      <c r="G71" s="284"/>
      <c r="H71" s="285"/>
      <c r="I71" s="283">
        <v>209841.3</v>
      </c>
      <c r="J71" s="284"/>
      <c r="K71" s="285"/>
      <c r="L71" s="283">
        <f>+E71-F71</f>
        <v>90158.700000000012</v>
      </c>
      <c r="M71" s="284"/>
      <c r="N71" s="285"/>
      <c r="O71" s="283">
        <f>+F71-I71</f>
        <v>0</v>
      </c>
      <c r="P71" s="284"/>
      <c r="Q71" s="285"/>
      <c r="R71" s="26"/>
    </row>
    <row r="72" spans="3:22" ht="24" customHeight="1" thickBot="1">
      <c r="C72" s="27">
        <v>61673</v>
      </c>
      <c r="D72" s="28" t="s">
        <v>74</v>
      </c>
      <c r="E72" s="25">
        <v>14000</v>
      </c>
      <c r="F72" s="283">
        <f>+'[3]PAIEMENTS BUDGET 2020'!R72</f>
        <v>13150</v>
      </c>
      <c r="G72" s="284"/>
      <c r="H72" s="285"/>
      <c r="I72" s="283">
        <v>13150</v>
      </c>
      <c r="J72" s="284"/>
      <c r="K72" s="285"/>
      <c r="L72" s="283">
        <f>+E72-F72</f>
        <v>850</v>
      </c>
      <c r="M72" s="284"/>
      <c r="N72" s="285"/>
      <c r="O72" s="283">
        <f>+F72-I72</f>
        <v>0</v>
      </c>
      <c r="P72" s="284"/>
      <c r="Q72" s="285"/>
      <c r="R72" s="26"/>
    </row>
    <row r="73" spans="3:22" s="39" customFormat="1" ht="24" customHeight="1" thickBot="1">
      <c r="C73" s="48"/>
      <c r="D73" s="49" t="s">
        <v>28</v>
      </c>
      <c r="E73" s="50">
        <f>SUM(E33:E72)</f>
        <v>4290000</v>
      </c>
      <c r="F73" s="277">
        <f>SUM(F34:F72)</f>
        <v>4132460.3</v>
      </c>
      <c r="G73" s="278">
        <f t="shared" ref="G73:Q73" si="7">SUM(G34:G72)</f>
        <v>0</v>
      </c>
      <c r="H73" s="279">
        <f t="shared" si="7"/>
        <v>0</v>
      </c>
      <c r="I73" s="277">
        <f t="shared" si="7"/>
        <v>4066201.3</v>
      </c>
      <c r="J73" s="278">
        <f t="shared" si="7"/>
        <v>0</v>
      </c>
      <c r="K73" s="279">
        <f t="shared" si="7"/>
        <v>0</v>
      </c>
      <c r="L73" s="277">
        <f t="shared" si="7"/>
        <v>137539.70000000001</v>
      </c>
      <c r="M73" s="278">
        <f t="shared" si="7"/>
        <v>0</v>
      </c>
      <c r="N73" s="279">
        <f t="shared" si="7"/>
        <v>0</v>
      </c>
      <c r="O73" s="277">
        <f t="shared" si="7"/>
        <v>67540</v>
      </c>
      <c r="P73" s="278">
        <f t="shared" si="7"/>
        <v>0</v>
      </c>
      <c r="Q73" s="279">
        <f t="shared" si="7"/>
        <v>0</v>
      </c>
      <c r="R73" s="37"/>
      <c r="S73" s="106"/>
      <c r="T73" s="38"/>
      <c r="U73" s="38"/>
      <c r="V73" s="38"/>
    </row>
    <row r="74" spans="3:22" s="14" customFormat="1" ht="24" customHeight="1" thickBot="1">
      <c r="C74" s="19">
        <v>20</v>
      </c>
      <c r="D74" s="20" t="s">
        <v>75</v>
      </c>
      <c r="E74" s="21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S74" s="104"/>
      <c r="T74" s="7"/>
      <c r="U74" s="7"/>
      <c r="V74" s="7"/>
    </row>
    <row r="75" spans="3:22" s="14" customFormat="1" ht="24" customHeight="1" thickBot="1">
      <c r="C75" s="15">
        <v>10</v>
      </c>
      <c r="D75" s="16" t="s">
        <v>76</v>
      </c>
      <c r="E75" s="17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S75" s="104"/>
      <c r="T75" s="7"/>
      <c r="U75" s="7"/>
      <c r="V75" s="7"/>
    </row>
    <row r="76" spans="3:22" ht="26.25" customHeight="1" thickBot="1">
      <c r="C76" s="436">
        <v>61441</v>
      </c>
      <c r="D76" s="437" t="s">
        <v>77</v>
      </c>
      <c r="E76" s="438">
        <v>60000</v>
      </c>
      <c r="F76" s="439">
        <f>18600+36000</f>
        <v>54600</v>
      </c>
      <c r="G76" s="440"/>
      <c r="H76" s="441"/>
      <c r="I76" s="439">
        <v>18600</v>
      </c>
      <c r="J76" s="440"/>
      <c r="K76" s="441"/>
      <c r="L76" s="439">
        <f>+E76-F76</f>
        <v>5400</v>
      </c>
      <c r="M76" s="440"/>
      <c r="N76" s="441"/>
      <c r="O76" s="439">
        <f>+F76-I76</f>
        <v>36000</v>
      </c>
      <c r="P76" s="440"/>
      <c r="Q76" s="441"/>
      <c r="R76" s="442"/>
      <c r="S76" s="443"/>
    </row>
    <row r="77" spans="3:22" ht="24.75" hidden="1" customHeight="1" thickBot="1">
      <c r="C77" s="51">
        <v>61444</v>
      </c>
      <c r="D77" s="28" t="s">
        <v>79</v>
      </c>
      <c r="E77" s="25">
        <v>0</v>
      </c>
      <c r="F77" s="283">
        <f>+'[3]PAIEMENTS BUDGET 2020'!R77</f>
        <v>0</v>
      </c>
      <c r="G77" s="284"/>
      <c r="H77" s="285"/>
      <c r="I77" s="283">
        <v>0</v>
      </c>
      <c r="J77" s="284"/>
      <c r="K77" s="285"/>
      <c r="L77" s="283">
        <f>+E77-F77</f>
        <v>0</v>
      </c>
      <c r="M77" s="284"/>
      <c r="N77" s="285"/>
      <c r="O77" s="283">
        <f>+F77-I77</f>
        <v>0</v>
      </c>
      <c r="P77" s="284"/>
      <c r="Q77" s="285"/>
      <c r="R77" s="26"/>
    </row>
    <row r="78" spans="3:22" ht="28.5" hidden="1" customHeight="1" thickBot="1">
      <c r="C78" s="51">
        <v>61448</v>
      </c>
      <c r="D78" s="28" t="s">
        <v>80</v>
      </c>
      <c r="E78" s="25">
        <v>0</v>
      </c>
      <c r="F78" s="283">
        <f>+'[3]PAIEMENTS BUDGET 2020'!R78</f>
        <v>0</v>
      </c>
      <c r="G78" s="284"/>
      <c r="H78" s="285"/>
      <c r="I78" s="283">
        <v>0</v>
      </c>
      <c r="J78" s="284"/>
      <c r="K78" s="285"/>
      <c r="L78" s="283">
        <f>+E78-F78</f>
        <v>0</v>
      </c>
      <c r="M78" s="284"/>
      <c r="N78" s="285"/>
      <c r="O78" s="283">
        <f>+F78-I78</f>
        <v>0</v>
      </c>
      <c r="P78" s="284"/>
      <c r="Q78" s="285"/>
      <c r="R78" s="26"/>
    </row>
    <row r="79" spans="3:22" ht="27" hidden="1" customHeight="1" thickBot="1">
      <c r="C79" s="51">
        <v>61449</v>
      </c>
      <c r="D79" s="28" t="s">
        <v>81</v>
      </c>
      <c r="E79" s="25">
        <v>0</v>
      </c>
      <c r="F79" s="283">
        <f>+'[3]PAIEMENTS BUDGET 2020'!R79</f>
        <v>0</v>
      </c>
      <c r="G79" s="284"/>
      <c r="H79" s="285"/>
      <c r="I79" s="283">
        <v>0</v>
      </c>
      <c r="J79" s="284"/>
      <c r="K79" s="285"/>
      <c r="L79" s="283">
        <f>+E79-F79</f>
        <v>0</v>
      </c>
      <c r="M79" s="284"/>
      <c r="N79" s="285"/>
      <c r="O79" s="283">
        <f>+F79-I79</f>
        <v>0</v>
      </c>
      <c r="P79" s="284"/>
      <c r="Q79" s="285"/>
      <c r="R79" s="26"/>
    </row>
    <row r="80" spans="3:22" s="39" customFormat="1" ht="24" customHeight="1" thickBot="1">
      <c r="C80" s="48"/>
      <c r="D80" s="49" t="s">
        <v>82</v>
      </c>
      <c r="E80" s="52">
        <f>SUM(E76:E79)</f>
        <v>60000</v>
      </c>
      <c r="F80" s="277">
        <f>SUM(F76:F79)</f>
        <v>54600</v>
      </c>
      <c r="G80" s="278">
        <f t="shared" ref="G80:Q80" si="8">SUM(G76:G79)</f>
        <v>0</v>
      </c>
      <c r="H80" s="279">
        <f t="shared" si="8"/>
        <v>0</v>
      </c>
      <c r="I80" s="277">
        <f t="shared" si="8"/>
        <v>18600</v>
      </c>
      <c r="J80" s="278">
        <f t="shared" si="8"/>
        <v>0</v>
      </c>
      <c r="K80" s="279">
        <f t="shared" si="8"/>
        <v>0</v>
      </c>
      <c r="L80" s="277">
        <f t="shared" si="8"/>
        <v>5400</v>
      </c>
      <c r="M80" s="278">
        <f t="shared" si="8"/>
        <v>0</v>
      </c>
      <c r="N80" s="279">
        <f t="shared" si="8"/>
        <v>0</v>
      </c>
      <c r="O80" s="277">
        <f t="shared" si="8"/>
        <v>36000</v>
      </c>
      <c r="P80" s="278">
        <f t="shared" si="8"/>
        <v>0</v>
      </c>
      <c r="Q80" s="279">
        <f t="shared" si="8"/>
        <v>0</v>
      </c>
      <c r="R80" s="37"/>
      <c r="S80" s="106"/>
      <c r="T80" s="38"/>
      <c r="U80" s="38"/>
      <c r="V80" s="38"/>
    </row>
    <row r="81" spans="3:22" s="39" customFormat="1" ht="24" customHeight="1" thickBot="1">
      <c r="C81" s="40"/>
      <c r="D81" s="41" t="s">
        <v>83</v>
      </c>
      <c r="E81" s="53">
        <f>+E73+E80</f>
        <v>4350000</v>
      </c>
      <c r="F81" s="280">
        <f>+F73+F80</f>
        <v>4187060.3</v>
      </c>
      <c r="G81" s="281">
        <f t="shared" ref="G81:Q81" si="9">+G73+G80</f>
        <v>0</v>
      </c>
      <c r="H81" s="282">
        <f t="shared" si="9"/>
        <v>0</v>
      </c>
      <c r="I81" s="280">
        <f t="shared" si="9"/>
        <v>4084801.3</v>
      </c>
      <c r="J81" s="281">
        <f t="shared" si="9"/>
        <v>0</v>
      </c>
      <c r="K81" s="282">
        <f t="shared" si="9"/>
        <v>0</v>
      </c>
      <c r="L81" s="280">
        <f t="shared" si="9"/>
        <v>142939.70000000001</v>
      </c>
      <c r="M81" s="281">
        <f t="shared" si="9"/>
        <v>0</v>
      </c>
      <c r="N81" s="282">
        <f t="shared" si="9"/>
        <v>0</v>
      </c>
      <c r="O81" s="280">
        <f t="shared" si="9"/>
        <v>103540</v>
      </c>
      <c r="P81" s="281">
        <f t="shared" si="9"/>
        <v>0</v>
      </c>
      <c r="Q81" s="282">
        <f t="shared" si="9"/>
        <v>0</v>
      </c>
      <c r="R81" s="37"/>
      <c r="S81" s="106"/>
      <c r="T81" s="38"/>
      <c r="U81" s="38"/>
      <c r="V81" s="38"/>
    </row>
    <row r="82" spans="3:22" s="39" customFormat="1" ht="39.75" customHeight="1" thickBot="1">
      <c r="C82" s="294" t="s">
        <v>84</v>
      </c>
      <c r="D82" s="295"/>
      <c r="E82" s="54">
        <f>+E81</f>
        <v>4350000</v>
      </c>
      <c r="F82" s="265">
        <f>+F81</f>
        <v>4187060.3</v>
      </c>
      <c r="G82" s="266">
        <f t="shared" ref="G82:Q82" si="10">+G81</f>
        <v>0</v>
      </c>
      <c r="H82" s="267">
        <f t="shared" si="10"/>
        <v>0</v>
      </c>
      <c r="I82" s="265">
        <f t="shared" si="10"/>
        <v>4084801.3</v>
      </c>
      <c r="J82" s="266">
        <f t="shared" si="10"/>
        <v>0</v>
      </c>
      <c r="K82" s="267">
        <f t="shared" si="10"/>
        <v>0</v>
      </c>
      <c r="L82" s="265">
        <f t="shared" si="10"/>
        <v>142939.70000000001</v>
      </c>
      <c r="M82" s="266">
        <f t="shared" si="10"/>
        <v>0</v>
      </c>
      <c r="N82" s="267">
        <f t="shared" si="10"/>
        <v>0</v>
      </c>
      <c r="O82" s="265">
        <f t="shared" si="10"/>
        <v>103540</v>
      </c>
      <c r="P82" s="266">
        <f t="shared" si="10"/>
        <v>0</v>
      </c>
      <c r="Q82" s="267">
        <f t="shared" si="10"/>
        <v>0</v>
      </c>
      <c r="R82" s="37"/>
      <c r="S82" s="106"/>
      <c r="T82" s="38"/>
      <c r="U82" s="38"/>
      <c r="V82" s="38"/>
    </row>
    <row r="83" spans="3:22" s="39" customFormat="1" ht="49.5" customHeight="1" thickBot="1">
      <c r="C83" s="268" t="s">
        <v>85</v>
      </c>
      <c r="D83" s="269"/>
      <c r="E83" s="55">
        <f>+E28+E82</f>
        <v>14332000</v>
      </c>
      <c r="F83" s="270">
        <f>+F82+F28</f>
        <v>13754237.989999998</v>
      </c>
      <c r="G83" s="271"/>
      <c r="H83" s="272"/>
      <c r="I83" s="270">
        <f t="shared" ref="I83:Q83" si="11">+I82+I28</f>
        <v>13445111.239999998</v>
      </c>
      <c r="J83" s="271">
        <f t="shared" si="11"/>
        <v>0</v>
      </c>
      <c r="K83" s="272">
        <f t="shared" si="11"/>
        <v>0</v>
      </c>
      <c r="L83" s="270">
        <f t="shared" si="11"/>
        <v>557762.01000000047</v>
      </c>
      <c r="M83" s="271">
        <f t="shared" si="11"/>
        <v>0</v>
      </c>
      <c r="N83" s="272">
        <f t="shared" si="11"/>
        <v>0</v>
      </c>
      <c r="O83" s="270">
        <f t="shared" si="11"/>
        <v>310379.04000000004</v>
      </c>
      <c r="P83" s="271">
        <f t="shared" si="11"/>
        <v>0</v>
      </c>
      <c r="Q83" s="272">
        <f t="shared" si="11"/>
        <v>0</v>
      </c>
      <c r="R83" s="37"/>
      <c r="S83" s="106"/>
      <c r="T83" s="38"/>
      <c r="U83" s="38"/>
      <c r="V83" s="38"/>
    </row>
    <row r="84" spans="3:22" s="61" customFormat="1" ht="6" customHeight="1">
      <c r="C84" s="56"/>
      <c r="D84" s="57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9"/>
      <c r="S84" s="108"/>
      <c r="T84" s="60"/>
      <c r="U84" s="60"/>
      <c r="V84" s="60"/>
    </row>
    <row r="85" spans="3:22" s="61" customFormat="1" ht="6" customHeight="1" thickBot="1">
      <c r="C85" s="56"/>
      <c r="D85" s="57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9"/>
      <c r="S85" s="108"/>
      <c r="T85" s="60"/>
      <c r="U85" s="60"/>
      <c r="V85" s="60"/>
    </row>
    <row r="86" spans="3:22" s="14" customFormat="1" ht="38.25" customHeight="1" thickBot="1">
      <c r="C86" s="292" t="s">
        <v>86</v>
      </c>
      <c r="D86" s="293"/>
      <c r="E86" s="62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S86" s="104"/>
      <c r="T86" s="7"/>
      <c r="U86" s="7"/>
      <c r="V86" s="7"/>
    </row>
    <row r="87" spans="3:22" s="14" customFormat="1" ht="24" customHeight="1" thickBot="1">
      <c r="C87" s="15">
        <v>602</v>
      </c>
      <c r="D87" s="16" t="s">
        <v>10</v>
      </c>
      <c r="E87" s="17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S87" s="104"/>
      <c r="T87" s="7"/>
      <c r="U87" s="7"/>
      <c r="V87" s="7"/>
    </row>
    <row r="88" spans="3:22" s="14" customFormat="1" ht="24" customHeight="1" thickBot="1">
      <c r="C88" s="19">
        <v>10</v>
      </c>
      <c r="D88" s="20" t="s">
        <v>87</v>
      </c>
      <c r="E88" s="21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S88" s="104"/>
      <c r="T88" s="7"/>
      <c r="U88" s="7"/>
      <c r="V88" s="7"/>
    </row>
    <row r="89" spans="3:22" s="14" customFormat="1" ht="24" customHeight="1" thickBot="1">
      <c r="C89" s="15">
        <v>10</v>
      </c>
      <c r="D89" s="16" t="s">
        <v>88</v>
      </c>
      <c r="E89" s="17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S89" s="104"/>
      <c r="T89" s="7"/>
      <c r="U89" s="7"/>
      <c r="V89" s="7"/>
    </row>
    <row r="90" spans="3:22" ht="24" customHeight="1" thickBot="1">
      <c r="C90" s="23">
        <v>2285101</v>
      </c>
      <c r="D90" s="24" t="s">
        <v>89</v>
      </c>
      <c r="E90" s="25">
        <v>300000</v>
      </c>
      <c r="F90" s="283">
        <v>300000</v>
      </c>
      <c r="G90" s="284"/>
      <c r="H90" s="285"/>
      <c r="I90" s="283">
        <v>0</v>
      </c>
      <c r="J90" s="284"/>
      <c r="K90" s="285"/>
      <c r="L90" s="283">
        <f>+E90-F90</f>
        <v>0</v>
      </c>
      <c r="M90" s="284"/>
      <c r="N90" s="285"/>
      <c r="O90" s="283">
        <f>+F90-I90</f>
        <v>300000</v>
      </c>
      <c r="P90" s="284"/>
      <c r="Q90" s="285"/>
      <c r="R90" s="26"/>
    </row>
    <row r="91" spans="3:22" ht="24" customHeight="1" thickBot="1">
      <c r="C91" s="23">
        <v>2128101</v>
      </c>
      <c r="D91" s="24" t="s">
        <v>90</v>
      </c>
      <c r="E91" s="25">
        <v>480000</v>
      </c>
      <c r="F91" s="283">
        <v>480000</v>
      </c>
      <c r="G91" s="284"/>
      <c r="H91" s="285"/>
      <c r="I91" s="283">
        <v>0</v>
      </c>
      <c r="J91" s="284"/>
      <c r="K91" s="285"/>
      <c r="L91" s="283">
        <f>+E91-F91</f>
        <v>0</v>
      </c>
      <c r="M91" s="284"/>
      <c r="N91" s="285"/>
      <c r="O91" s="283">
        <f>+F91-I91</f>
        <v>480000</v>
      </c>
      <c r="P91" s="284"/>
      <c r="Q91" s="285"/>
      <c r="R91" s="26"/>
    </row>
    <row r="92" spans="3:22" s="31" customFormat="1" ht="24" customHeight="1" thickBot="1">
      <c r="C92" s="27">
        <v>2128102</v>
      </c>
      <c r="D92" s="28" t="s">
        <v>91</v>
      </c>
      <c r="E92" s="25">
        <v>250000</v>
      </c>
      <c r="F92" s="283">
        <v>248400</v>
      </c>
      <c r="G92" s="284"/>
      <c r="H92" s="285"/>
      <c r="I92" s="283">
        <v>0</v>
      </c>
      <c r="J92" s="284"/>
      <c r="K92" s="285"/>
      <c r="L92" s="283">
        <f>+E92-F92</f>
        <v>1600</v>
      </c>
      <c r="M92" s="284"/>
      <c r="N92" s="285"/>
      <c r="O92" s="283">
        <f>+F92-I92</f>
        <v>248400</v>
      </c>
      <c r="P92" s="284"/>
      <c r="Q92" s="285"/>
      <c r="R92" s="29"/>
      <c r="S92" s="104"/>
      <c r="T92" s="30"/>
      <c r="U92" s="30"/>
      <c r="V92" s="30"/>
    </row>
    <row r="93" spans="3:22" ht="24" customHeight="1" thickBot="1">
      <c r="C93" s="27">
        <v>2128103</v>
      </c>
      <c r="D93" s="28" t="s">
        <v>118</v>
      </c>
      <c r="E93" s="25">
        <v>420000</v>
      </c>
      <c r="F93" s="283">
        <v>420000</v>
      </c>
      <c r="G93" s="284"/>
      <c r="H93" s="285"/>
      <c r="I93" s="283">
        <v>0</v>
      </c>
      <c r="J93" s="284"/>
      <c r="K93" s="285"/>
      <c r="L93" s="283">
        <f>+E93-F93</f>
        <v>0</v>
      </c>
      <c r="M93" s="284"/>
      <c r="N93" s="285"/>
      <c r="O93" s="283">
        <f>+F93-I93</f>
        <v>420000</v>
      </c>
      <c r="P93" s="284"/>
      <c r="Q93" s="285"/>
      <c r="R93" s="26"/>
    </row>
    <row r="94" spans="3:22" s="39" customFormat="1" ht="24" customHeight="1" thickBot="1">
      <c r="C94" s="48"/>
      <c r="D94" s="49" t="s">
        <v>28</v>
      </c>
      <c r="E94" s="52">
        <f>SUM(E90:E93)</f>
        <v>1450000</v>
      </c>
      <c r="F94" s="277">
        <f>SUM(F90:F93)</f>
        <v>1448400</v>
      </c>
      <c r="G94" s="278">
        <f t="shared" ref="G94:Q94" si="12">SUM(G90:G93)</f>
        <v>0</v>
      </c>
      <c r="H94" s="279">
        <f t="shared" si="12"/>
        <v>0</v>
      </c>
      <c r="I94" s="277">
        <f t="shared" si="12"/>
        <v>0</v>
      </c>
      <c r="J94" s="278">
        <f t="shared" si="12"/>
        <v>0</v>
      </c>
      <c r="K94" s="279">
        <f t="shared" si="12"/>
        <v>0</v>
      </c>
      <c r="L94" s="277">
        <f t="shared" si="12"/>
        <v>1600</v>
      </c>
      <c r="M94" s="278">
        <f t="shared" si="12"/>
        <v>0</v>
      </c>
      <c r="N94" s="279">
        <f t="shared" si="12"/>
        <v>0</v>
      </c>
      <c r="O94" s="277">
        <f t="shared" si="12"/>
        <v>1448400</v>
      </c>
      <c r="P94" s="278">
        <f t="shared" si="12"/>
        <v>0</v>
      </c>
      <c r="Q94" s="279">
        <f t="shared" si="12"/>
        <v>0</v>
      </c>
      <c r="R94" s="37"/>
      <c r="S94" s="106"/>
      <c r="T94" s="38"/>
      <c r="U94" s="38"/>
      <c r="V94" s="38"/>
    </row>
    <row r="95" spans="3:22" s="14" customFormat="1" ht="24" customHeight="1" thickBot="1">
      <c r="C95" s="19">
        <v>40</v>
      </c>
      <c r="D95" s="20" t="s">
        <v>119</v>
      </c>
      <c r="E95" s="21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S95" s="104"/>
      <c r="T95" s="7"/>
      <c r="U95" s="7"/>
      <c r="V95" s="7"/>
    </row>
    <row r="96" spans="3:22" ht="24" customHeight="1" thickBot="1">
      <c r="C96" s="15">
        <v>40</v>
      </c>
      <c r="D96" s="16" t="s">
        <v>88</v>
      </c>
      <c r="E96" s="32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26"/>
    </row>
    <row r="97" spans="3:22" ht="24" customHeight="1" thickBot="1">
      <c r="C97" s="23">
        <v>2128401</v>
      </c>
      <c r="D97" s="24" t="s">
        <v>120</v>
      </c>
      <c r="E97" s="47">
        <v>375000</v>
      </c>
      <c r="F97" s="283">
        <v>375000</v>
      </c>
      <c r="G97" s="284"/>
      <c r="H97" s="285"/>
      <c r="I97" s="283">
        <v>0</v>
      </c>
      <c r="J97" s="284"/>
      <c r="K97" s="285"/>
      <c r="L97" s="283">
        <f>+E97-F97</f>
        <v>0</v>
      </c>
      <c r="M97" s="284"/>
      <c r="N97" s="285"/>
      <c r="O97" s="283">
        <f>+F97-I97</f>
        <v>375000</v>
      </c>
      <c r="P97" s="284"/>
      <c r="Q97" s="285"/>
      <c r="R97" s="26"/>
    </row>
    <row r="98" spans="3:22" s="39" customFormat="1" ht="24" customHeight="1" thickBot="1">
      <c r="C98" s="48"/>
      <c r="D98" s="49" t="s">
        <v>97</v>
      </c>
      <c r="E98" s="52">
        <f>SUM(E97)</f>
        <v>375000</v>
      </c>
      <c r="F98" s="277">
        <f>SUM(F97)</f>
        <v>375000</v>
      </c>
      <c r="G98" s="278">
        <f t="shared" ref="G98:Q98" si="13">SUM(G97)</f>
        <v>0</v>
      </c>
      <c r="H98" s="279">
        <f t="shared" si="13"/>
        <v>0</v>
      </c>
      <c r="I98" s="277">
        <f t="shared" si="13"/>
        <v>0</v>
      </c>
      <c r="J98" s="278">
        <f t="shared" si="13"/>
        <v>0</v>
      </c>
      <c r="K98" s="279">
        <f t="shared" si="13"/>
        <v>0</v>
      </c>
      <c r="L98" s="277">
        <f t="shared" si="13"/>
        <v>0</v>
      </c>
      <c r="M98" s="278">
        <f t="shared" si="13"/>
        <v>0</v>
      </c>
      <c r="N98" s="279">
        <f t="shared" si="13"/>
        <v>0</v>
      </c>
      <c r="O98" s="277">
        <f t="shared" si="13"/>
        <v>375000</v>
      </c>
      <c r="P98" s="278">
        <f t="shared" si="13"/>
        <v>0</v>
      </c>
      <c r="Q98" s="279">
        <f t="shared" si="13"/>
        <v>0</v>
      </c>
      <c r="R98" s="37"/>
      <c r="S98" s="106"/>
      <c r="T98" s="38"/>
      <c r="U98" s="38"/>
      <c r="V98" s="38"/>
    </row>
    <row r="99" spans="3:22" s="39" customFormat="1" ht="24" customHeight="1" thickBot="1">
      <c r="C99" s="40"/>
      <c r="D99" s="41" t="s">
        <v>29</v>
      </c>
      <c r="E99" s="53">
        <f>+E94+E98</f>
        <v>1825000</v>
      </c>
      <c r="F99" s="280">
        <f>+F94+F98</f>
        <v>1823400</v>
      </c>
      <c r="G99" s="281">
        <f t="shared" ref="G99:Q99" si="14">+G94+G98</f>
        <v>0</v>
      </c>
      <c r="H99" s="282">
        <f t="shared" si="14"/>
        <v>0</v>
      </c>
      <c r="I99" s="280">
        <f t="shared" si="14"/>
        <v>0</v>
      </c>
      <c r="J99" s="281">
        <f t="shared" si="14"/>
        <v>0</v>
      </c>
      <c r="K99" s="282">
        <f t="shared" si="14"/>
        <v>0</v>
      </c>
      <c r="L99" s="280">
        <f t="shared" si="14"/>
        <v>1600</v>
      </c>
      <c r="M99" s="281">
        <f t="shared" si="14"/>
        <v>0</v>
      </c>
      <c r="N99" s="282">
        <f t="shared" si="14"/>
        <v>0</v>
      </c>
      <c r="O99" s="280">
        <f t="shared" si="14"/>
        <v>1823400</v>
      </c>
      <c r="P99" s="281">
        <f t="shared" si="14"/>
        <v>0</v>
      </c>
      <c r="Q99" s="282">
        <f t="shared" si="14"/>
        <v>0</v>
      </c>
      <c r="R99" s="37"/>
      <c r="S99" s="106"/>
      <c r="T99" s="38"/>
      <c r="U99" s="38"/>
      <c r="V99" s="38"/>
    </row>
    <row r="100" spans="3:22" s="14" customFormat="1" ht="24" customHeight="1" thickBot="1">
      <c r="C100" s="15">
        <v>610</v>
      </c>
      <c r="D100" s="16" t="s">
        <v>32</v>
      </c>
      <c r="E100" s="17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S100" s="104"/>
      <c r="T100" s="7"/>
      <c r="U100" s="7"/>
      <c r="V100" s="7"/>
    </row>
    <row r="101" spans="3:22" s="14" customFormat="1" ht="24" customHeight="1" thickBot="1">
      <c r="C101" s="19">
        <v>10</v>
      </c>
      <c r="D101" s="20" t="s">
        <v>11</v>
      </c>
      <c r="E101" s="21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S101" s="104"/>
      <c r="T101" s="7"/>
      <c r="U101" s="7"/>
      <c r="V101" s="7"/>
    </row>
    <row r="102" spans="3:22" s="14" customFormat="1" ht="24" customHeight="1" thickBot="1">
      <c r="C102" s="15">
        <v>10</v>
      </c>
      <c r="D102" s="16" t="s">
        <v>98</v>
      </c>
      <c r="E102" s="17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S102" s="104"/>
      <c r="T102" s="7"/>
      <c r="U102" s="7"/>
      <c r="V102" s="7"/>
    </row>
    <row r="103" spans="3:22" ht="24" hidden="1" customHeight="1" thickBot="1">
      <c r="C103" s="27">
        <v>61411</v>
      </c>
      <c r="D103" s="28" t="s">
        <v>99</v>
      </c>
      <c r="E103" s="47">
        <v>0</v>
      </c>
      <c r="F103" s="283">
        <f>+'[3]PAIEMENTS BUDGET 2020'!R103</f>
        <v>0</v>
      </c>
      <c r="G103" s="284"/>
      <c r="H103" s="285"/>
      <c r="I103" s="283">
        <v>0</v>
      </c>
      <c r="J103" s="284"/>
      <c r="K103" s="285"/>
      <c r="L103" s="283">
        <f>+E103-F103</f>
        <v>0</v>
      </c>
      <c r="M103" s="284"/>
      <c r="N103" s="285"/>
      <c r="O103" s="283">
        <f>+F103-I103</f>
        <v>0</v>
      </c>
      <c r="P103" s="284"/>
      <c r="Q103" s="285"/>
      <c r="R103" s="26"/>
    </row>
    <row r="104" spans="3:22" s="14" customFormat="1" ht="24" customHeight="1" thickBot="1">
      <c r="C104" s="15">
        <v>20</v>
      </c>
      <c r="D104" s="16" t="s">
        <v>100</v>
      </c>
      <c r="E104" s="17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S104" s="104"/>
      <c r="T104" s="7"/>
      <c r="U104" s="7"/>
      <c r="V104" s="7"/>
    </row>
    <row r="105" spans="3:22" ht="24" hidden="1" customHeight="1" thickBot="1">
      <c r="C105" s="27">
        <v>2327</v>
      </c>
      <c r="D105" s="28" t="s">
        <v>101</v>
      </c>
      <c r="E105" s="47">
        <v>0</v>
      </c>
      <c r="F105" s="283">
        <f>+'[3]PAIEMENTS BUDGET 2020'!R105</f>
        <v>0</v>
      </c>
      <c r="G105" s="284"/>
      <c r="H105" s="285"/>
      <c r="I105" s="283">
        <v>0</v>
      </c>
      <c r="J105" s="284"/>
      <c r="K105" s="285"/>
      <c r="L105" s="283">
        <f>+E105-F105</f>
        <v>0</v>
      </c>
      <c r="M105" s="284"/>
      <c r="N105" s="285"/>
      <c r="O105" s="283">
        <f>+F105-I105</f>
        <v>0</v>
      </c>
      <c r="P105" s="284"/>
      <c r="Q105" s="285"/>
      <c r="R105" s="26"/>
    </row>
    <row r="106" spans="3:22" s="14" customFormat="1" ht="27" customHeight="1" thickBot="1">
      <c r="C106" s="15">
        <v>30</v>
      </c>
      <c r="D106" s="16" t="s">
        <v>102</v>
      </c>
      <c r="E106" s="17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S106" s="104"/>
      <c r="T106" s="7"/>
      <c r="U106" s="7"/>
      <c r="V106" s="7"/>
    </row>
    <row r="107" spans="3:22" ht="24" hidden="1" customHeight="1" thickBot="1">
      <c r="C107" s="27">
        <v>23402</v>
      </c>
      <c r="D107" s="28" t="s">
        <v>103</v>
      </c>
      <c r="E107" s="47">
        <v>0</v>
      </c>
      <c r="F107" s="283">
        <f>+'[3]PAIEMENTS BUDGET 2020'!R107</f>
        <v>0</v>
      </c>
      <c r="G107" s="284"/>
      <c r="H107" s="285"/>
      <c r="I107" s="283">
        <v>0</v>
      </c>
      <c r="J107" s="284"/>
      <c r="K107" s="285"/>
      <c r="L107" s="283">
        <f>+E107-F107</f>
        <v>0</v>
      </c>
      <c r="M107" s="284"/>
      <c r="N107" s="285"/>
      <c r="O107" s="283">
        <f>+F107-I107</f>
        <v>0</v>
      </c>
      <c r="P107" s="284"/>
      <c r="Q107" s="285"/>
      <c r="R107" s="26"/>
    </row>
    <row r="108" spans="3:22" s="14" customFormat="1" ht="27" customHeight="1" thickBot="1">
      <c r="C108" s="15">
        <v>40</v>
      </c>
      <c r="D108" s="16" t="s">
        <v>104</v>
      </c>
      <c r="E108" s="17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S108" s="104"/>
      <c r="T108" s="7"/>
      <c r="U108" s="7"/>
      <c r="V108" s="7"/>
    </row>
    <row r="109" spans="3:22" ht="24" customHeight="1" thickBot="1">
      <c r="C109" s="27">
        <v>2351</v>
      </c>
      <c r="D109" s="28" t="s">
        <v>105</v>
      </c>
      <c r="E109" s="47">
        <v>100000</v>
      </c>
      <c r="F109" s="283">
        <v>99943</v>
      </c>
      <c r="G109" s="284"/>
      <c r="H109" s="285"/>
      <c r="I109" s="283">
        <v>99943</v>
      </c>
      <c r="J109" s="284"/>
      <c r="K109" s="285"/>
      <c r="L109" s="283">
        <f>+E109-F109</f>
        <v>57</v>
      </c>
      <c r="M109" s="284"/>
      <c r="N109" s="285"/>
      <c r="O109" s="283">
        <f>+F109-I109</f>
        <v>0</v>
      </c>
      <c r="P109" s="284"/>
      <c r="Q109" s="285"/>
      <c r="R109" s="26"/>
    </row>
    <row r="110" spans="3:22" s="14" customFormat="1" ht="24" customHeight="1" thickBot="1">
      <c r="C110" s="65"/>
      <c r="D110" s="66"/>
      <c r="E110" s="67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S110" s="104"/>
      <c r="T110" s="7"/>
      <c r="U110" s="7"/>
      <c r="V110" s="7"/>
    </row>
    <row r="111" spans="3:22" s="39" customFormat="1" ht="24" customHeight="1" thickBot="1">
      <c r="C111" s="69"/>
      <c r="D111" s="49" t="s">
        <v>28</v>
      </c>
      <c r="E111" s="70">
        <f>SUM(E103:E109)</f>
        <v>100000</v>
      </c>
      <c r="F111" s="286">
        <f>SUM(F103:F109)</f>
        <v>99943</v>
      </c>
      <c r="G111" s="287">
        <f t="shared" ref="G111:Q111" si="15">SUM(G103:G109)</f>
        <v>0</v>
      </c>
      <c r="H111" s="288">
        <f t="shared" si="15"/>
        <v>0</v>
      </c>
      <c r="I111" s="286">
        <f t="shared" si="15"/>
        <v>99943</v>
      </c>
      <c r="J111" s="287">
        <f t="shared" si="15"/>
        <v>0</v>
      </c>
      <c r="K111" s="288">
        <f t="shared" si="15"/>
        <v>0</v>
      </c>
      <c r="L111" s="286">
        <f t="shared" si="15"/>
        <v>57</v>
      </c>
      <c r="M111" s="287">
        <f t="shared" si="15"/>
        <v>0</v>
      </c>
      <c r="N111" s="288">
        <f t="shared" si="15"/>
        <v>0</v>
      </c>
      <c r="O111" s="286">
        <f t="shared" si="15"/>
        <v>0</v>
      </c>
      <c r="P111" s="287">
        <f t="shared" si="15"/>
        <v>0</v>
      </c>
      <c r="Q111" s="288">
        <f t="shared" si="15"/>
        <v>0</v>
      </c>
      <c r="R111" s="37"/>
      <c r="S111" s="106"/>
      <c r="T111" s="38"/>
      <c r="U111" s="38"/>
      <c r="V111" s="38"/>
    </row>
    <row r="112" spans="3:22" s="14" customFormat="1" ht="24" customHeight="1" thickBot="1">
      <c r="C112" s="71">
        <v>20</v>
      </c>
      <c r="D112" s="72" t="s">
        <v>106</v>
      </c>
      <c r="E112" s="73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S112" s="104"/>
      <c r="T112" s="7"/>
      <c r="U112" s="7"/>
      <c r="V112" s="7"/>
    </row>
    <row r="113" spans="3:22" s="14" customFormat="1" ht="24" customHeight="1" thickBot="1">
      <c r="C113" s="15">
        <v>10</v>
      </c>
      <c r="D113" s="16" t="s">
        <v>107</v>
      </c>
      <c r="E113" s="17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S113" s="104"/>
      <c r="T113" s="7"/>
      <c r="U113" s="7"/>
      <c r="V113" s="7"/>
    </row>
    <row r="114" spans="3:22" ht="24" customHeight="1" thickBot="1">
      <c r="C114" s="27">
        <v>22201</v>
      </c>
      <c r="D114" s="28" t="s">
        <v>108</v>
      </c>
      <c r="E114" s="47">
        <v>250000</v>
      </c>
      <c r="F114" s="283">
        <f>184536+60600</f>
        <v>245136</v>
      </c>
      <c r="G114" s="284"/>
      <c r="H114" s="285"/>
      <c r="I114" s="283">
        <v>206496</v>
      </c>
      <c r="J114" s="284"/>
      <c r="K114" s="285"/>
      <c r="L114" s="283">
        <f>+E114-F114</f>
        <v>4864</v>
      </c>
      <c r="M114" s="284"/>
      <c r="N114" s="285"/>
      <c r="O114" s="283">
        <f>+F114-I114</f>
        <v>38640</v>
      </c>
      <c r="P114" s="284"/>
      <c r="Q114" s="285"/>
      <c r="R114" s="26"/>
    </row>
    <row r="115" spans="3:22" s="14" customFormat="1" ht="24" customHeight="1" thickBot="1">
      <c r="C115" s="15">
        <v>20</v>
      </c>
      <c r="D115" s="16" t="s">
        <v>109</v>
      </c>
      <c r="E115" s="17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S115" s="104"/>
      <c r="T115" s="7"/>
      <c r="U115" s="7"/>
      <c r="V115" s="7"/>
    </row>
    <row r="116" spans="3:22" ht="24" customHeight="1" thickBot="1">
      <c r="C116" s="27">
        <v>2331</v>
      </c>
      <c r="D116" s="28" t="s">
        <v>110</v>
      </c>
      <c r="E116" s="25">
        <v>100000</v>
      </c>
      <c r="F116" s="283">
        <v>99972</v>
      </c>
      <c r="G116" s="284"/>
      <c r="H116" s="285"/>
      <c r="I116" s="283">
        <v>99972</v>
      </c>
      <c r="J116" s="284"/>
      <c r="K116" s="285"/>
      <c r="L116" s="283">
        <f>+E116-F116</f>
        <v>28</v>
      </c>
      <c r="M116" s="284"/>
      <c r="N116" s="285"/>
      <c r="O116" s="283">
        <f>+F116-I116</f>
        <v>0</v>
      </c>
      <c r="P116" s="284"/>
      <c r="Q116" s="285"/>
      <c r="R116" s="26"/>
    </row>
    <row r="117" spans="3:22" s="14" customFormat="1" ht="24" customHeight="1" thickBot="1">
      <c r="C117" s="27">
        <v>2355</v>
      </c>
      <c r="D117" s="28" t="s">
        <v>111</v>
      </c>
      <c r="E117" s="25">
        <v>100000</v>
      </c>
      <c r="F117" s="283">
        <v>99756</v>
      </c>
      <c r="G117" s="284"/>
      <c r="H117" s="285"/>
      <c r="I117" s="283">
        <v>99756</v>
      </c>
      <c r="J117" s="284"/>
      <c r="K117" s="285"/>
      <c r="L117" s="283">
        <f>+E117-F117</f>
        <v>244</v>
      </c>
      <c r="M117" s="284"/>
      <c r="N117" s="285"/>
      <c r="O117" s="283">
        <f>+F117-I117</f>
        <v>0</v>
      </c>
      <c r="P117" s="284"/>
      <c r="Q117" s="285"/>
      <c r="S117" s="104"/>
      <c r="T117" s="7"/>
      <c r="U117" s="7"/>
      <c r="V117" s="7"/>
    </row>
    <row r="118" spans="3:22" s="14" customFormat="1" ht="24" customHeight="1" thickBot="1">
      <c r="C118" s="27">
        <v>2332</v>
      </c>
      <c r="D118" s="28" t="s">
        <v>112</v>
      </c>
      <c r="E118" s="25">
        <v>100000</v>
      </c>
      <c r="F118" s="283">
        <v>99972</v>
      </c>
      <c r="G118" s="284"/>
      <c r="H118" s="285"/>
      <c r="I118" s="283">
        <v>99972</v>
      </c>
      <c r="J118" s="284"/>
      <c r="K118" s="285"/>
      <c r="L118" s="283">
        <f>+E118-F118</f>
        <v>28</v>
      </c>
      <c r="M118" s="284"/>
      <c r="N118" s="285"/>
      <c r="O118" s="283">
        <f>+F118-I118</f>
        <v>0</v>
      </c>
      <c r="P118" s="284"/>
      <c r="Q118" s="285"/>
      <c r="S118" s="104"/>
      <c r="T118" s="7"/>
      <c r="U118" s="7"/>
      <c r="V118" s="7"/>
    </row>
    <row r="119" spans="3:22" s="39" customFormat="1" ht="24" customHeight="1" thickBot="1">
      <c r="C119" s="48"/>
      <c r="D119" s="49" t="s">
        <v>82</v>
      </c>
      <c r="E119" s="52">
        <f>SUM(E114:E118)</f>
        <v>550000</v>
      </c>
      <c r="F119" s="277">
        <f>SUM(F114:F118)</f>
        <v>544836</v>
      </c>
      <c r="G119" s="278">
        <f t="shared" ref="G119:Q119" si="16">SUM(G114:G118)</f>
        <v>0</v>
      </c>
      <c r="H119" s="279">
        <f t="shared" si="16"/>
        <v>0</v>
      </c>
      <c r="I119" s="277">
        <f t="shared" si="16"/>
        <v>506196</v>
      </c>
      <c r="J119" s="278">
        <f t="shared" si="16"/>
        <v>0</v>
      </c>
      <c r="K119" s="279">
        <f t="shared" si="16"/>
        <v>0</v>
      </c>
      <c r="L119" s="277">
        <f t="shared" si="16"/>
        <v>5164</v>
      </c>
      <c r="M119" s="278">
        <f t="shared" si="16"/>
        <v>0</v>
      </c>
      <c r="N119" s="279">
        <f t="shared" si="16"/>
        <v>0</v>
      </c>
      <c r="O119" s="277">
        <f t="shared" si="16"/>
        <v>38640</v>
      </c>
      <c r="P119" s="278">
        <f t="shared" si="16"/>
        <v>0</v>
      </c>
      <c r="Q119" s="279">
        <f t="shared" si="16"/>
        <v>0</v>
      </c>
      <c r="R119" s="37"/>
      <c r="S119" s="106"/>
      <c r="T119" s="38"/>
      <c r="U119" s="38"/>
      <c r="V119" s="38"/>
    </row>
    <row r="120" spans="3:22" s="39" customFormat="1" ht="24" customHeight="1" thickBot="1">
      <c r="C120" s="40"/>
      <c r="D120" s="41" t="s">
        <v>83</v>
      </c>
      <c r="E120" s="53">
        <f>+E119+E111</f>
        <v>650000</v>
      </c>
      <c r="F120" s="280">
        <f>+F119+F111</f>
        <v>644779</v>
      </c>
      <c r="G120" s="281">
        <f t="shared" ref="G120:Q120" si="17">+G119+G111</f>
        <v>0</v>
      </c>
      <c r="H120" s="282">
        <f t="shared" si="17"/>
        <v>0</v>
      </c>
      <c r="I120" s="280">
        <f t="shared" si="17"/>
        <v>606139</v>
      </c>
      <c r="J120" s="281">
        <f t="shared" si="17"/>
        <v>0</v>
      </c>
      <c r="K120" s="282">
        <f t="shared" si="17"/>
        <v>0</v>
      </c>
      <c r="L120" s="280">
        <f t="shared" si="17"/>
        <v>5221</v>
      </c>
      <c r="M120" s="281">
        <f t="shared" si="17"/>
        <v>0</v>
      </c>
      <c r="N120" s="282">
        <f t="shared" si="17"/>
        <v>0</v>
      </c>
      <c r="O120" s="280">
        <f t="shared" si="17"/>
        <v>38640</v>
      </c>
      <c r="P120" s="281">
        <f t="shared" si="17"/>
        <v>0</v>
      </c>
      <c r="Q120" s="282">
        <f t="shared" si="17"/>
        <v>0</v>
      </c>
      <c r="R120" s="37"/>
      <c r="S120" s="106"/>
      <c r="T120" s="38"/>
      <c r="U120" s="38"/>
      <c r="V120" s="38"/>
    </row>
    <row r="121" spans="3:22" s="39" customFormat="1" ht="39.75" customHeight="1" thickBot="1">
      <c r="C121" s="75"/>
      <c r="D121" s="43" t="s">
        <v>113</v>
      </c>
      <c r="E121" s="54">
        <f>+E120+E99</f>
        <v>2475000</v>
      </c>
      <c r="F121" s="265">
        <f>+F99+F120</f>
        <v>2468179</v>
      </c>
      <c r="G121" s="266"/>
      <c r="H121" s="267"/>
      <c r="I121" s="265">
        <f t="shared" ref="I121:Q121" si="18">+I99+I120</f>
        <v>606139</v>
      </c>
      <c r="J121" s="266">
        <f t="shared" si="18"/>
        <v>0</v>
      </c>
      <c r="K121" s="267">
        <f t="shared" si="18"/>
        <v>0</v>
      </c>
      <c r="L121" s="265">
        <f t="shared" si="18"/>
        <v>6821</v>
      </c>
      <c r="M121" s="266">
        <f t="shared" si="18"/>
        <v>0</v>
      </c>
      <c r="N121" s="267">
        <f t="shared" si="18"/>
        <v>0</v>
      </c>
      <c r="O121" s="265">
        <f t="shared" si="18"/>
        <v>1862040</v>
      </c>
      <c r="P121" s="266">
        <f t="shared" si="18"/>
        <v>0</v>
      </c>
      <c r="Q121" s="267">
        <f t="shared" si="18"/>
        <v>0</v>
      </c>
      <c r="R121" s="37"/>
      <c r="S121" s="106"/>
      <c r="T121" s="38"/>
      <c r="U121" s="38"/>
      <c r="V121" s="38"/>
    </row>
    <row r="122" spans="3:22" s="39" customFormat="1" ht="49.5" customHeight="1" thickBot="1">
      <c r="C122" s="268" t="s">
        <v>114</v>
      </c>
      <c r="D122" s="269"/>
      <c r="E122" s="55">
        <f>+E121</f>
        <v>2475000</v>
      </c>
      <c r="F122" s="270">
        <f>+F121</f>
        <v>2468179</v>
      </c>
      <c r="G122" s="271">
        <f t="shared" ref="G122:Q122" si="19">+G121</f>
        <v>0</v>
      </c>
      <c r="H122" s="272">
        <f t="shared" si="19"/>
        <v>0</v>
      </c>
      <c r="I122" s="270">
        <f t="shared" si="19"/>
        <v>606139</v>
      </c>
      <c r="J122" s="271">
        <f t="shared" si="19"/>
        <v>0</v>
      </c>
      <c r="K122" s="272">
        <f t="shared" si="19"/>
        <v>0</v>
      </c>
      <c r="L122" s="270">
        <f t="shared" si="19"/>
        <v>6821</v>
      </c>
      <c r="M122" s="271">
        <f t="shared" si="19"/>
        <v>0</v>
      </c>
      <c r="N122" s="272">
        <f t="shared" si="19"/>
        <v>0</v>
      </c>
      <c r="O122" s="270">
        <f t="shared" si="19"/>
        <v>1862040</v>
      </c>
      <c r="P122" s="271">
        <f t="shared" si="19"/>
        <v>0</v>
      </c>
      <c r="Q122" s="272">
        <f t="shared" si="19"/>
        <v>0</v>
      </c>
      <c r="R122" s="37"/>
      <c r="S122" s="106"/>
      <c r="T122" s="38"/>
      <c r="U122" s="38"/>
      <c r="V122" s="38"/>
    </row>
    <row r="123" spans="3:22" s="83" customFormat="1" ht="9.75" customHeight="1" thickBot="1">
      <c r="C123" s="76"/>
      <c r="D123" s="77"/>
      <c r="E123" s="78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80"/>
      <c r="Q123" s="79"/>
      <c r="R123" s="81"/>
      <c r="S123" s="104"/>
      <c r="T123" s="82"/>
      <c r="U123" s="82"/>
      <c r="V123" s="82"/>
    </row>
    <row r="124" spans="3:22" s="86" customFormat="1" ht="58.5" customHeight="1" thickBot="1">
      <c r="C124" s="260" t="s">
        <v>115</v>
      </c>
      <c r="D124" s="261"/>
      <c r="E124" s="84">
        <f>+E83+E122</f>
        <v>16807000</v>
      </c>
      <c r="F124" s="262">
        <f t="shared" ref="F124:Q124" si="20">+F83+F122</f>
        <v>16222416.989999998</v>
      </c>
      <c r="G124" s="263"/>
      <c r="H124" s="264"/>
      <c r="I124" s="262">
        <f t="shared" si="20"/>
        <v>14051250.239999998</v>
      </c>
      <c r="J124" s="263">
        <f t="shared" si="20"/>
        <v>0</v>
      </c>
      <c r="K124" s="264">
        <f t="shared" si="20"/>
        <v>0</v>
      </c>
      <c r="L124" s="262">
        <f t="shared" si="20"/>
        <v>564583.01000000047</v>
      </c>
      <c r="M124" s="263">
        <f t="shared" si="20"/>
        <v>0</v>
      </c>
      <c r="N124" s="264">
        <f t="shared" si="20"/>
        <v>0</v>
      </c>
      <c r="O124" s="262">
        <f t="shared" si="20"/>
        <v>2172419.04</v>
      </c>
      <c r="P124" s="263">
        <f t="shared" si="20"/>
        <v>0</v>
      </c>
      <c r="Q124" s="264">
        <f t="shared" si="20"/>
        <v>0</v>
      </c>
      <c r="R124" s="85"/>
      <c r="S124" s="104"/>
      <c r="T124" s="38"/>
      <c r="U124" s="38"/>
      <c r="V124" s="38"/>
    </row>
    <row r="125" spans="3:22" s="90" customFormat="1" ht="8.25" customHeight="1">
      <c r="C125" s="38"/>
      <c r="D125" s="87"/>
      <c r="E125" s="3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9"/>
      <c r="Q125" s="88"/>
      <c r="S125" s="104"/>
      <c r="T125" s="7"/>
      <c r="U125" s="7"/>
      <c r="V125" s="7"/>
    </row>
    <row r="126" spans="3:22"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2"/>
      <c r="Q126" s="91"/>
    </row>
    <row r="127" spans="3:22" s="99" customFormat="1" ht="30" customHeight="1">
      <c r="C127" s="93"/>
      <c r="D127" s="94"/>
      <c r="E127" s="95"/>
      <c r="F127" s="96"/>
      <c r="G127" s="97"/>
      <c r="H127" s="96"/>
      <c r="I127" s="96"/>
      <c r="J127" s="96"/>
      <c r="K127" s="98"/>
      <c r="L127" s="98"/>
      <c r="M127" s="98"/>
      <c r="N127" s="98"/>
      <c r="O127" s="98"/>
      <c r="P127" s="98"/>
      <c r="Q127" s="98"/>
      <c r="S127" s="109"/>
      <c r="T127" s="100"/>
      <c r="U127" s="100"/>
      <c r="V127" s="100"/>
    </row>
    <row r="128" spans="3:22">
      <c r="F128" s="91"/>
      <c r="G128" s="101"/>
      <c r="H128" s="91"/>
      <c r="I128" s="91"/>
      <c r="J128" s="91"/>
      <c r="K128" s="101"/>
      <c r="L128" s="101"/>
      <c r="M128" s="101"/>
      <c r="N128" s="101"/>
      <c r="O128" s="101"/>
      <c r="P128" s="102"/>
      <c r="Q128" s="91"/>
    </row>
    <row r="129" spans="7:7">
      <c r="G129" s="103"/>
    </row>
    <row r="130" spans="7:7">
      <c r="G130" s="103"/>
    </row>
  </sheetData>
  <sheetProtection selectLockedCells="1" selectUnlockedCells="1"/>
  <mergeCells count="329">
    <mergeCell ref="O2:Q2"/>
    <mergeCell ref="C4:C5"/>
    <mergeCell ref="D4:D5"/>
    <mergeCell ref="E4:E5"/>
    <mergeCell ref="F4:H5"/>
    <mergeCell ref="I4:K5"/>
    <mergeCell ref="L4:N5"/>
    <mergeCell ref="O4:Q5"/>
    <mergeCell ref="F12:H12"/>
    <mergeCell ref="I12:K12"/>
    <mergeCell ref="L12:N12"/>
    <mergeCell ref="O12:Q12"/>
    <mergeCell ref="F13:H13"/>
    <mergeCell ref="I13:K13"/>
    <mergeCell ref="L13:N13"/>
    <mergeCell ref="O13:Q13"/>
    <mergeCell ref="C6:D6"/>
    <mergeCell ref="C7:Q7"/>
    <mergeCell ref="F11:H11"/>
    <mergeCell ref="I11:K11"/>
    <mergeCell ref="L11:N11"/>
    <mergeCell ref="O11:Q11"/>
    <mergeCell ref="F17:H17"/>
    <mergeCell ref="I17:K17"/>
    <mergeCell ref="L17:N17"/>
    <mergeCell ref="O17:Q17"/>
    <mergeCell ref="F18:H18"/>
    <mergeCell ref="I18:K18"/>
    <mergeCell ref="L18:N18"/>
    <mergeCell ref="O18:Q18"/>
    <mergeCell ref="F15:H15"/>
    <mergeCell ref="I15:K15"/>
    <mergeCell ref="L15:N15"/>
    <mergeCell ref="O15:Q15"/>
    <mergeCell ref="F16:H16"/>
    <mergeCell ref="I16:K16"/>
    <mergeCell ref="L16:N16"/>
    <mergeCell ref="O16:Q16"/>
    <mergeCell ref="F22:H22"/>
    <mergeCell ref="I22:K22"/>
    <mergeCell ref="L22:N22"/>
    <mergeCell ref="O22:Q22"/>
    <mergeCell ref="F23:H23"/>
    <mergeCell ref="I23:K23"/>
    <mergeCell ref="L23:N23"/>
    <mergeCell ref="O23:Q23"/>
    <mergeCell ref="F19:H19"/>
    <mergeCell ref="I19:K19"/>
    <mergeCell ref="L19:N19"/>
    <mergeCell ref="O19:Q19"/>
    <mergeCell ref="F21:H21"/>
    <mergeCell ref="I21:K21"/>
    <mergeCell ref="L21:N21"/>
    <mergeCell ref="O21:Q21"/>
    <mergeCell ref="F26:H26"/>
    <mergeCell ref="I26:K26"/>
    <mergeCell ref="L26:N26"/>
    <mergeCell ref="O26:Q26"/>
    <mergeCell ref="F27:H27"/>
    <mergeCell ref="I27:K27"/>
    <mergeCell ref="L27:N27"/>
    <mergeCell ref="O27:Q27"/>
    <mergeCell ref="F24:H24"/>
    <mergeCell ref="I24:K24"/>
    <mergeCell ref="L24:N24"/>
    <mergeCell ref="O24:Q24"/>
    <mergeCell ref="F25:H25"/>
    <mergeCell ref="I25:K25"/>
    <mergeCell ref="L25:N25"/>
    <mergeCell ref="O25:Q25"/>
    <mergeCell ref="F33:H33"/>
    <mergeCell ref="I33:K33"/>
    <mergeCell ref="L33:N33"/>
    <mergeCell ref="O33:Q33"/>
    <mergeCell ref="F34:H34"/>
    <mergeCell ref="I34:K34"/>
    <mergeCell ref="L34:N34"/>
    <mergeCell ref="O34:Q34"/>
    <mergeCell ref="C28:D28"/>
    <mergeCell ref="F28:H28"/>
    <mergeCell ref="I28:K28"/>
    <mergeCell ref="L28:N28"/>
    <mergeCell ref="O28:Q28"/>
    <mergeCell ref="C29:Q29"/>
    <mergeCell ref="F37:H37"/>
    <mergeCell ref="I37:K37"/>
    <mergeCell ref="L37:N37"/>
    <mergeCell ref="O37:Q37"/>
    <mergeCell ref="F38:H38"/>
    <mergeCell ref="I38:K38"/>
    <mergeCell ref="L38:N38"/>
    <mergeCell ref="O38:Q38"/>
    <mergeCell ref="F35:H35"/>
    <mergeCell ref="I35:K35"/>
    <mergeCell ref="L35:N35"/>
    <mergeCell ref="O35:Q35"/>
    <mergeCell ref="F36:H36"/>
    <mergeCell ref="I36:K36"/>
    <mergeCell ref="L36:N36"/>
    <mergeCell ref="O36:Q36"/>
    <mergeCell ref="F42:H42"/>
    <mergeCell ref="I42:K42"/>
    <mergeCell ref="L42:N42"/>
    <mergeCell ref="O42:Q42"/>
    <mergeCell ref="F43:H43"/>
    <mergeCell ref="I43:K43"/>
    <mergeCell ref="L43:N43"/>
    <mergeCell ref="O43:Q43"/>
    <mergeCell ref="F39:H39"/>
    <mergeCell ref="I39:K39"/>
    <mergeCell ref="L39:N39"/>
    <mergeCell ref="O39:Q39"/>
    <mergeCell ref="F41:H41"/>
    <mergeCell ref="I41:K41"/>
    <mergeCell ref="L41:N41"/>
    <mergeCell ref="O41:Q41"/>
    <mergeCell ref="F47:H47"/>
    <mergeCell ref="I47:K47"/>
    <mergeCell ref="L47:N47"/>
    <mergeCell ref="O47:Q47"/>
    <mergeCell ref="F49:H49"/>
    <mergeCell ref="I49:K49"/>
    <mergeCell ref="L49:N49"/>
    <mergeCell ref="O49:Q49"/>
    <mergeCell ref="F44:H44"/>
    <mergeCell ref="I44:K44"/>
    <mergeCell ref="L44:N44"/>
    <mergeCell ref="O44:Q44"/>
    <mergeCell ref="F45:H45"/>
    <mergeCell ref="I45:K45"/>
    <mergeCell ref="L45:N45"/>
    <mergeCell ref="O45:Q45"/>
    <mergeCell ref="F52:H52"/>
    <mergeCell ref="I52:K52"/>
    <mergeCell ref="L52:N52"/>
    <mergeCell ref="O52:Q52"/>
    <mergeCell ref="F53:H53"/>
    <mergeCell ref="I53:K53"/>
    <mergeCell ref="L53:N53"/>
    <mergeCell ref="O53:Q53"/>
    <mergeCell ref="F50:H50"/>
    <mergeCell ref="I50:K50"/>
    <mergeCell ref="L50:N50"/>
    <mergeCell ref="O50:Q50"/>
    <mergeCell ref="F51:H51"/>
    <mergeCell ref="I51:K51"/>
    <mergeCell ref="L51:N51"/>
    <mergeCell ref="O51:Q51"/>
    <mergeCell ref="F58:H58"/>
    <mergeCell ref="I58:K58"/>
    <mergeCell ref="L58:N58"/>
    <mergeCell ref="O58:Q58"/>
    <mergeCell ref="F59:H59"/>
    <mergeCell ref="I59:K59"/>
    <mergeCell ref="L59:N59"/>
    <mergeCell ref="O59:Q59"/>
    <mergeCell ref="F55:H55"/>
    <mergeCell ref="I55:K55"/>
    <mergeCell ref="L55:N55"/>
    <mergeCell ref="O55:Q55"/>
    <mergeCell ref="F56:H56"/>
    <mergeCell ref="I56:K56"/>
    <mergeCell ref="L56:N56"/>
    <mergeCell ref="O56:Q56"/>
    <mergeCell ref="F63:H63"/>
    <mergeCell ref="I63:K63"/>
    <mergeCell ref="L63:N63"/>
    <mergeCell ref="O63:Q63"/>
    <mergeCell ref="F64:H64"/>
    <mergeCell ref="I64:K64"/>
    <mergeCell ref="L64:N64"/>
    <mergeCell ref="O64:Q64"/>
    <mergeCell ref="F61:H61"/>
    <mergeCell ref="I61:K61"/>
    <mergeCell ref="L61:N61"/>
    <mergeCell ref="O61:Q61"/>
    <mergeCell ref="F62:H62"/>
    <mergeCell ref="I62:K62"/>
    <mergeCell ref="L62:N62"/>
    <mergeCell ref="O62:Q62"/>
    <mergeCell ref="F68:H68"/>
    <mergeCell ref="I68:K68"/>
    <mergeCell ref="L68:N68"/>
    <mergeCell ref="O68:Q68"/>
    <mergeCell ref="F69:H69"/>
    <mergeCell ref="I69:K69"/>
    <mergeCell ref="L69:N69"/>
    <mergeCell ref="O69:Q69"/>
    <mergeCell ref="F65:H65"/>
    <mergeCell ref="I65:K65"/>
    <mergeCell ref="L65:N65"/>
    <mergeCell ref="O65:Q65"/>
    <mergeCell ref="F66:H66"/>
    <mergeCell ref="I66:K66"/>
    <mergeCell ref="L66:N66"/>
    <mergeCell ref="O66:Q66"/>
    <mergeCell ref="F73:H73"/>
    <mergeCell ref="I73:K73"/>
    <mergeCell ref="L73:N73"/>
    <mergeCell ref="O73:Q73"/>
    <mergeCell ref="F71:H71"/>
    <mergeCell ref="I71:K71"/>
    <mergeCell ref="L71:N71"/>
    <mergeCell ref="O71:Q71"/>
    <mergeCell ref="F72:H72"/>
    <mergeCell ref="I72:K72"/>
    <mergeCell ref="L72:N72"/>
    <mergeCell ref="O72:Q72"/>
    <mergeCell ref="F79:H79"/>
    <mergeCell ref="I79:K79"/>
    <mergeCell ref="L79:N79"/>
    <mergeCell ref="O79:Q79"/>
    <mergeCell ref="F80:H80"/>
    <mergeCell ref="I80:K80"/>
    <mergeCell ref="L80:N80"/>
    <mergeCell ref="O80:Q80"/>
    <mergeCell ref="F77:H77"/>
    <mergeCell ref="I77:K77"/>
    <mergeCell ref="L77:N77"/>
    <mergeCell ref="O77:Q77"/>
    <mergeCell ref="F78:H78"/>
    <mergeCell ref="I78:K78"/>
    <mergeCell ref="L78:N78"/>
    <mergeCell ref="O78:Q78"/>
    <mergeCell ref="C83:D83"/>
    <mergeCell ref="F83:H83"/>
    <mergeCell ref="I83:K83"/>
    <mergeCell ref="L83:N83"/>
    <mergeCell ref="O83:Q83"/>
    <mergeCell ref="C86:D86"/>
    <mergeCell ref="F81:H81"/>
    <mergeCell ref="I81:K81"/>
    <mergeCell ref="L81:N81"/>
    <mergeCell ref="O81:Q81"/>
    <mergeCell ref="C82:D82"/>
    <mergeCell ref="F82:H82"/>
    <mergeCell ref="I82:K82"/>
    <mergeCell ref="L82:N82"/>
    <mergeCell ref="O82:Q82"/>
    <mergeCell ref="F92:H92"/>
    <mergeCell ref="I92:K92"/>
    <mergeCell ref="L92:N92"/>
    <mergeCell ref="O92:Q92"/>
    <mergeCell ref="F93:H93"/>
    <mergeCell ref="I93:K93"/>
    <mergeCell ref="L93:N93"/>
    <mergeCell ref="O93:Q93"/>
    <mergeCell ref="F90:H90"/>
    <mergeCell ref="I90:K90"/>
    <mergeCell ref="L90:N90"/>
    <mergeCell ref="O90:Q90"/>
    <mergeCell ref="F91:H91"/>
    <mergeCell ref="I91:K91"/>
    <mergeCell ref="L91:N91"/>
    <mergeCell ref="O91:Q91"/>
    <mergeCell ref="F98:H98"/>
    <mergeCell ref="I98:K98"/>
    <mergeCell ref="L98:N98"/>
    <mergeCell ref="O98:Q98"/>
    <mergeCell ref="F99:H99"/>
    <mergeCell ref="I99:K99"/>
    <mergeCell ref="L99:N99"/>
    <mergeCell ref="O99:Q99"/>
    <mergeCell ref="F94:H94"/>
    <mergeCell ref="I94:K94"/>
    <mergeCell ref="L94:N94"/>
    <mergeCell ref="O94:Q94"/>
    <mergeCell ref="F97:H97"/>
    <mergeCell ref="I97:K97"/>
    <mergeCell ref="L97:N97"/>
    <mergeCell ref="O97:Q97"/>
    <mergeCell ref="F107:H107"/>
    <mergeCell ref="I107:K107"/>
    <mergeCell ref="L107:N107"/>
    <mergeCell ref="O107:Q107"/>
    <mergeCell ref="F109:H109"/>
    <mergeCell ref="I109:K109"/>
    <mergeCell ref="L109:N109"/>
    <mergeCell ref="O109:Q109"/>
    <mergeCell ref="F103:H103"/>
    <mergeCell ref="I103:K103"/>
    <mergeCell ref="L103:N103"/>
    <mergeCell ref="O103:Q103"/>
    <mergeCell ref="F105:H105"/>
    <mergeCell ref="I105:K105"/>
    <mergeCell ref="L105:N105"/>
    <mergeCell ref="O105:Q105"/>
    <mergeCell ref="F116:H116"/>
    <mergeCell ref="I116:K116"/>
    <mergeCell ref="L116:N116"/>
    <mergeCell ref="O116:Q116"/>
    <mergeCell ref="F117:H117"/>
    <mergeCell ref="I117:K117"/>
    <mergeCell ref="L117:N117"/>
    <mergeCell ref="O117:Q117"/>
    <mergeCell ref="F111:H111"/>
    <mergeCell ref="I111:K111"/>
    <mergeCell ref="L111:N111"/>
    <mergeCell ref="O111:Q111"/>
    <mergeCell ref="F114:H114"/>
    <mergeCell ref="I114:K114"/>
    <mergeCell ref="L114:N114"/>
    <mergeCell ref="O114:Q114"/>
    <mergeCell ref="F120:H120"/>
    <mergeCell ref="I120:K120"/>
    <mergeCell ref="L120:N120"/>
    <mergeCell ref="O120:Q120"/>
    <mergeCell ref="F121:H121"/>
    <mergeCell ref="I121:K121"/>
    <mergeCell ref="L121:N121"/>
    <mergeCell ref="O121:Q121"/>
    <mergeCell ref="F118:H118"/>
    <mergeCell ref="I118:K118"/>
    <mergeCell ref="L118:N118"/>
    <mergeCell ref="O118:Q118"/>
    <mergeCell ref="F119:H119"/>
    <mergeCell ref="I119:K119"/>
    <mergeCell ref="L119:N119"/>
    <mergeCell ref="O119:Q119"/>
    <mergeCell ref="C122:D122"/>
    <mergeCell ref="F122:H122"/>
    <mergeCell ref="I122:K122"/>
    <mergeCell ref="L122:N122"/>
    <mergeCell ref="O122:Q122"/>
    <mergeCell ref="C124:D124"/>
    <mergeCell ref="F124:H124"/>
    <mergeCell ref="I124:K124"/>
    <mergeCell ref="L124:N124"/>
    <mergeCell ref="O124:Q124"/>
  </mergeCells>
  <printOptions horizontalCentered="1"/>
  <pageMargins left="0" right="0" top="0" bottom="0" header="0" footer="0"/>
  <pageSetup paperSize="9" scale="51" orientation="landscape" r:id="rId1"/>
  <rowBreaks count="2" manualBreakCount="2">
    <brk id="45" min="1" max="19" man="1"/>
    <brk id="83" min="1" max="1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N203"/>
  <sheetViews>
    <sheetView view="pageBreakPreview" zoomScale="80" zoomScaleNormal="86" zoomScaleSheetLayoutView="80" workbookViewId="0">
      <selection activeCell="B2" sqref="B2:C2"/>
    </sheetView>
  </sheetViews>
  <sheetFormatPr defaultColWidth="11.42578125" defaultRowHeight="15"/>
  <cols>
    <col min="1" max="1" width="1.85546875" style="113" customWidth="1"/>
    <col min="2" max="2" width="11.28515625" style="112" customWidth="1"/>
    <col min="3" max="3" width="63.140625" style="113" bestFit="1" customWidth="1"/>
    <col min="4" max="4" width="17.85546875" style="115" bestFit="1" customWidth="1"/>
    <col min="5" max="5" width="17.140625" style="115" bestFit="1" customWidth="1"/>
    <col min="6" max="6" width="17.42578125" style="116" bestFit="1" customWidth="1"/>
    <col min="7" max="7" width="14.5703125" style="117" bestFit="1" customWidth="1"/>
    <col min="8" max="8" width="18" style="117" bestFit="1" customWidth="1"/>
    <col min="9" max="9" width="1.5703125" style="113" customWidth="1"/>
    <col min="10" max="12" width="11.42578125" style="118"/>
    <col min="13" max="14" width="11.42578125" style="113"/>
    <col min="15" max="203" width="11.42578125" style="118"/>
    <col min="204" max="204" width="3.85546875" style="118" customWidth="1"/>
    <col min="205" max="205" width="9" style="118" customWidth="1"/>
    <col min="206" max="206" width="10.7109375" style="118" customWidth="1"/>
    <col min="207" max="207" width="9.140625" style="118" customWidth="1"/>
    <col min="208" max="208" width="11.7109375" style="118" customWidth="1"/>
    <col min="209" max="209" width="11.140625" style="118" customWidth="1"/>
    <col min="210" max="210" width="36.85546875" style="118" customWidth="1"/>
    <col min="211" max="211" width="22.28515625" style="118" customWidth="1"/>
    <col min="212" max="215" width="12.7109375" style="118" customWidth="1"/>
    <col min="216" max="16384" width="11.42578125" style="118"/>
  </cols>
  <sheetData>
    <row r="1" spans="2:12" s="113" customFormat="1">
      <c r="B1" s="112"/>
      <c r="D1" s="115"/>
      <c r="E1" s="115"/>
      <c r="F1" s="116"/>
      <c r="G1" s="117"/>
      <c r="H1" s="117"/>
      <c r="J1" s="118"/>
      <c r="K1" s="118"/>
      <c r="L1" s="118"/>
    </row>
    <row r="2" spans="2:12" s="113" customFormat="1" ht="18.75" customHeight="1">
      <c r="B2" s="376" t="s">
        <v>195</v>
      </c>
      <c r="C2" s="376"/>
      <c r="D2" s="119"/>
      <c r="E2" s="119"/>
      <c r="F2" s="119"/>
      <c r="G2" s="119"/>
      <c r="H2" s="119"/>
      <c r="J2" s="118"/>
      <c r="K2" s="118"/>
      <c r="L2" s="118"/>
    </row>
    <row r="3" spans="2:12" s="113" customFormat="1" ht="6" customHeight="1" thickBot="1">
      <c r="B3" s="112"/>
      <c r="D3" s="115"/>
      <c r="E3" s="115"/>
      <c r="F3" s="116"/>
      <c r="G3" s="117"/>
      <c r="H3" s="117"/>
      <c r="J3" s="118"/>
      <c r="K3" s="118"/>
      <c r="L3" s="118"/>
    </row>
    <row r="4" spans="2:12" ht="44.25" customHeight="1" thickBot="1">
      <c r="B4" s="120" t="s">
        <v>121</v>
      </c>
      <c r="C4" s="121" t="s">
        <v>122</v>
      </c>
      <c r="D4" s="121" t="s">
        <v>123</v>
      </c>
      <c r="E4" s="121" t="s">
        <v>124</v>
      </c>
      <c r="F4" s="121" t="s">
        <v>125</v>
      </c>
      <c r="G4" s="121" t="s">
        <v>126</v>
      </c>
      <c r="H4" s="121" t="s">
        <v>127</v>
      </c>
    </row>
    <row r="5" spans="2:12" ht="23.25" customHeight="1" thickBot="1">
      <c r="B5" s="377" t="s">
        <v>128</v>
      </c>
      <c r="C5" s="378"/>
      <c r="D5" s="122"/>
      <c r="E5" s="122"/>
      <c r="F5" s="122"/>
      <c r="G5" s="122"/>
      <c r="H5" s="123"/>
    </row>
    <row r="6" spans="2:12" ht="16.5">
      <c r="B6" s="379">
        <v>61223</v>
      </c>
      <c r="C6" s="343" t="s">
        <v>40</v>
      </c>
      <c r="D6" s="346">
        <v>350000</v>
      </c>
      <c r="E6" s="126">
        <v>58000</v>
      </c>
      <c r="F6" s="346">
        <f>+D6-E6-E7-E8-E9</f>
        <v>0</v>
      </c>
      <c r="G6" s="126">
        <v>58000</v>
      </c>
      <c r="H6" s="362">
        <f>+D6-F6-G6-G7-G8-G9</f>
        <v>0</v>
      </c>
    </row>
    <row r="7" spans="2:12" ht="17.25" customHeight="1">
      <c r="B7" s="380"/>
      <c r="C7" s="344"/>
      <c r="D7" s="347"/>
      <c r="E7" s="130">
        <v>85000</v>
      </c>
      <c r="F7" s="347"/>
      <c r="G7" s="130">
        <v>85000</v>
      </c>
      <c r="H7" s="363"/>
    </row>
    <row r="8" spans="2:12" ht="17.25" customHeight="1">
      <c r="B8" s="380"/>
      <c r="C8" s="344"/>
      <c r="D8" s="347"/>
      <c r="E8" s="131">
        <v>119000</v>
      </c>
      <c r="F8" s="347"/>
      <c r="G8" s="131">
        <v>119000</v>
      </c>
      <c r="H8" s="363"/>
    </row>
    <row r="9" spans="2:12" ht="17.25" customHeight="1" thickBot="1">
      <c r="B9" s="381"/>
      <c r="C9" s="345"/>
      <c r="D9" s="348"/>
      <c r="E9" s="133">
        <v>88000</v>
      </c>
      <c r="F9" s="348"/>
      <c r="G9" s="133">
        <v>88000</v>
      </c>
      <c r="H9" s="364"/>
    </row>
    <row r="10" spans="2:12" ht="18" customHeight="1" thickBot="1">
      <c r="B10" s="134">
        <v>61227011</v>
      </c>
      <c r="C10" s="135" t="s">
        <v>129</v>
      </c>
      <c r="D10" s="136">
        <v>150000</v>
      </c>
      <c r="E10" s="136">
        <v>149995.19</v>
      </c>
      <c r="F10" s="136">
        <f>+D10-E10</f>
        <v>4.8099999999976717</v>
      </c>
      <c r="G10" s="136">
        <v>149995.19</v>
      </c>
      <c r="H10" s="137">
        <f>E10-G10</f>
        <v>0</v>
      </c>
    </row>
    <row r="11" spans="2:12" ht="18" customHeight="1" thickBot="1">
      <c r="B11" s="134">
        <v>61227012</v>
      </c>
      <c r="C11" s="135" t="s">
        <v>130</v>
      </c>
      <c r="D11" s="136">
        <v>40000</v>
      </c>
      <c r="E11" s="136">
        <v>39960</v>
      </c>
      <c r="F11" s="136">
        <f>+D11-E11</f>
        <v>40</v>
      </c>
      <c r="G11" s="136">
        <v>39960</v>
      </c>
      <c r="H11" s="137">
        <f>E11-G11</f>
        <v>0</v>
      </c>
    </row>
    <row r="12" spans="2:12" ht="27.75" customHeight="1" thickBot="1">
      <c r="B12" s="134">
        <v>61227013</v>
      </c>
      <c r="C12" s="135" t="s">
        <v>131</v>
      </c>
      <c r="D12" s="136">
        <v>250000</v>
      </c>
      <c r="E12" s="136">
        <v>249918.96</v>
      </c>
      <c r="F12" s="136">
        <f>+D12-E12</f>
        <v>81.040000000008149</v>
      </c>
      <c r="G12" s="136">
        <v>249918.96</v>
      </c>
      <c r="H12" s="137">
        <f>E12-G12</f>
        <v>0</v>
      </c>
    </row>
    <row r="13" spans="2:12" ht="27.75" customHeight="1" thickBot="1">
      <c r="B13" s="134">
        <v>61262</v>
      </c>
      <c r="C13" s="135" t="s">
        <v>132</v>
      </c>
      <c r="D13" s="136">
        <v>60000</v>
      </c>
      <c r="E13" s="136">
        <v>60000</v>
      </c>
      <c r="F13" s="136">
        <f>+D13-E13</f>
        <v>0</v>
      </c>
      <c r="G13" s="136">
        <v>0</v>
      </c>
      <c r="H13" s="137">
        <f>E13-G13</f>
        <v>60000</v>
      </c>
    </row>
    <row r="14" spans="2:12" ht="18" customHeight="1" thickBot="1">
      <c r="B14" s="134">
        <v>61263</v>
      </c>
      <c r="C14" s="135" t="s">
        <v>133</v>
      </c>
      <c r="D14" s="136">
        <v>150000</v>
      </c>
      <c r="E14" s="136">
        <v>150000</v>
      </c>
      <c r="F14" s="136">
        <f>+D14-E14</f>
        <v>0</v>
      </c>
      <c r="G14" s="136">
        <f>+E14</f>
        <v>150000</v>
      </c>
      <c r="H14" s="137">
        <f>E14-G14</f>
        <v>0</v>
      </c>
    </row>
    <row r="15" spans="2:12" ht="18.75" customHeight="1">
      <c r="B15" s="340">
        <v>6131801</v>
      </c>
      <c r="C15" s="365" t="s">
        <v>134</v>
      </c>
      <c r="D15" s="346">
        <v>700000</v>
      </c>
      <c r="E15" s="125">
        <v>24000</v>
      </c>
      <c r="F15" s="346">
        <f>+D15-E15-E16-E17-E18</f>
        <v>34000</v>
      </c>
      <c r="G15" s="125">
        <v>24000</v>
      </c>
      <c r="H15" s="362">
        <f>D15-F15-G15-G16-G17-G18</f>
        <v>0</v>
      </c>
    </row>
    <row r="16" spans="2:12" ht="18.75" customHeight="1">
      <c r="B16" s="371"/>
      <c r="C16" s="373"/>
      <c r="D16" s="347"/>
      <c r="E16" s="140">
        <v>36000</v>
      </c>
      <c r="F16" s="347"/>
      <c r="G16" s="131">
        <v>36000</v>
      </c>
      <c r="H16" s="363"/>
    </row>
    <row r="17" spans="2:8" ht="18.75" customHeight="1">
      <c r="B17" s="372"/>
      <c r="C17" s="374"/>
      <c r="D17" s="347"/>
      <c r="E17" s="130">
        <v>108000</v>
      </c>
      <c r="F17" s="347"/>
      <c r="G17" s="130">
        <v>108000</v>
      </c>
      <c r="H17" s="363"/>
    </row>
    <row r="18" spans="2:8" ht="18.75" customHeight="1" thickBot="1">
      <c r="B18" s="368"/>
      <c r="C18" s="375"/>
      <c r="D18" s="348"/>
      <c r="E18" s="133">
        <v>498000</v>
      </c>
      <c r="F18" s="348"/>
      <c r="G18" s="133">
        <v>498000</v>
      </c>
      <c r="H18" s="364"/>
    </row>
    <row r="19" spans="2:8" ht="18" customHeight="1" thickBot="1">
      <c r="B19" s="134">
        <v>6133111</v>
      </c>
      <c r="C19" s="135" t="s">
        <v>135</v>
      </c>
      <c r="D19" s="136">
        <v>50000</v>
      </c>
      <c r="E19" s="136">
        <v>49980</v>
      </c>
      <c r="F19" s="136">
        <f>+D19-E19</f>
        <v>20</v>
      </c>
      <c r="G19" s="136">
        <v>0</v>
      </c>
      <c r="H19" s="137">
        <f>E19-G19</f>
        <v>49980</v>
      </c>
    </row>
    <row r="20" spans="2:8" ht="18" customHeight="1">
      <c r="B20" s="367">
        <v>6133221</v>
      </c>
      <c r="C20" s="369" t="s">
        <v>136</v>
      </c>
      <c r="D20" s="346">
        <v>200000</v>
      </c>
      <c r="E20" s="125">
        <v>33000</v>
      </c>
      <c r="F20" s="346">
        <f>+D20-E20-E21-E22</f>
        <v>0</v>
      </c>
      <c r="G20" s="125">
        <f t="shared" ref="G20:G27" si="0">+E20</f>
        <v>33000</v>
      </c>
      <c r="H20" s="362">
        <f>D20-F20-G20-G21-G22</f>
        <v>0</v>
      </c>
    </row>
    <row r="21" spans="2:8" ht="18" customHeight="1">
      <c r="B21" s="341"/>
      <c r="C21" s="344"/>
      <c r="D21" s="347"/>
      <c r="E21" s="131">
        <v>117000</v>
      </c>
      <c r="F21" s="347"/>
      <c r="G21" s="131">
        <f t="shared" si="0"/>
        <v>117000</v>
      </c>
      <c r="H21" s="363"/>
    </row>
    <row r="22" spans="2:8" ht="18" customHeight="1" thickBot="1">
      <c r="B22" s="368"/>
      <c r="C22" s="370"/>
      <c r="D22" s="348"/>
      <c r="E22" s="133">
        <v>50000</v>
      </c>
      <c r="F22" s="348"/>
      <c r="G22" s="133">
        <f t="shared" si="0"/>
        <v>50000</v>
      </c>
      <c r="H22" s="364"/>
    </row>
    <row r="23" spans="2:8" ht="18" customHeight="1" thickBot="1">
      <c r="B23" s="134">
        <v>6133231</v>
      </c>
      <c r="C23" s="141" t="s">
        <v>137</v>
      </c>
      <c r="D23" s="136">
        <v>10000</v>
      </c>
      <c r="E23" s="136">
        <v>9978.9599999999991</v>
      </c>
      <c r="F23" s="136">
        <f>+D23-E23</f>
        <v>21.040000000000873</v>
      </c>
      <c r="G23" s="136">
        <f t="shared" si="0"/>
        <v>9978.9599999999991</v>
      </c>
      <c r="H23" s="137">
        <f>E23-G23</f>
        <v>0</v>
      </c>
    </row>
    <row r="24" spans="2:8" s="113" customFormat="1" ht="18" customHeight="1">
      <c r="B24" s="340">
        <v>6133241</v>
      </c>
      <c r="C24" s="343" t="s">
        <v>138</v>
      </c>
      <c r="D24" s="346">
        <v>80000</v>
      </c>
      <c r="E24" s="125">
        <v>27500</v>
      </c>
      <c r="F24" s="346">
        <f>+D24-E24-E25-E26-E27</f>
        <v>0</v>
      </c>
      <c r="G24" s="125">
        <f t="shared" si="0"/>
        <v>27500</v>
      </c>
      <c r="H24" s="362">
        <f>D24-F24-G24-G25-G26-G27</f>
        <v>0</v>
      </c>
    </row>
    <row r="25" spans="2:8" s="113" customFormat="1" ht="18" customHeight="1">
      <c r="B25" s="341"/>
      <c r="C25" s="344"/>
      <c r="D25" s="347"/>
      <c r="E25" s="131">
        <v>12500</v>
      </c>
      <c r="F25" s="347"/>
      <c r="G25" s="131">
        <f t="shared" si="0"/>
        <v>12500</v>
      </c>
      <c r="H25" s="363"/>
    </row>
    <row r="26" spans="2:8" s="113" customFormat="1" ht="18" customHeight="1">
      <c r="B26" s="341"/>
      <c r="C26" s="344"/>
      <c r="D26" s="347"/>
      <c r="E26" s="131">
        <v>27500</v>
      </c>
      <c r="F26" s="347"/>
      <c r="G26" s="131">
        <f t="shared" si="0"/>
        <v>27500</v>
      </c>
      <c r="H26" s="363"/>
    </row>
    <row r="27" spans="2:8" s="113" customFormat="1" ht="18" customHeight="1" thickBot="1">
      <c r="B27" s="342"/>
      <c r="C27" s="345"/>
      <c r="D27" s="348"/>
      <c r="E27" s="133">
        <v>12500</v>
      </c>
      <c r="F27" s="348"/>
      <c r="G27" s="133">
        <f t="shared" si="0"/>
        <v>12500</v>
      </c>
      <c r="H27" s="364"/>
    </row>
    <row r="28" spans="2:8" ht="18" customHeight="1">
      <c r="B28" s="340">
        <v>61335</v>
      </c>
      <c r="C28" s="343" t="s">
        <v>55</v>
      </c>
      <c r="D28" s="346">
        <v>50000</v>
      </c>
      <c r="E28" s="142">
        <v>23400</v>
      </c>
      <c r="F28" s="346">
        <f>+D28-E28-E29</f>
        <v>200</v>
      </c>
      <c r="G28" s="142">
        <v>23400</v>
      </c>
      <c r="H28" s="362">
        <f>D28-F28-G28-G29</f>
        <v>26400</v>
      </c>
    </row>
    <row r="29" spans="2:8" ht="18" customHeight="1" thickBot="1">
      <c r="B29" s="342"/>
      <c r="C29" s="345"/>
      <c r="D29" s="348"/>
      <c r="E29" s="132">
        <v>26400</v>
      </c>
      <c r="F29" s="348"/>
      <c r="G29" s="132">
        <v>0</v>
      </c>
      <c r="H29" s="364"/>
    </row>
    <row r="30" spans="2:8" ht="18" customHeight="1" thickBot="1">
      <c r="B30" s="134">
        <v>6134121</v>
      </c>
      <c r="C30" s="135" t="s">
        <v>139</v>
      </c>
      <c r="D30" s="136">
        <v>25000</v>
      </c>
      <c r="E30" s="136">
        <v>19975</v>
      </c>
      <c r="F30" s="136">
        <f>+D30-E30</f>
        <v>5025</v>
      </c>
      <c r="G30" s="136">
        <v>0</v>
      </c>
      <c r="H30" s="137">
        <f>E30-G30</f>
        <v>19975</v>
      </c>
    </row>
    <row r="31" spans="2:8" ht="18" customHeight="1" thickBot="1">
      <c r="B31" s="134">
        <v>6134501</v>
      </c>
      <c r="C31" s="135" t="s">
        <v>58</v>
      </c>
      <c r="D31" s="136">
        <v>50000</v>
      </c>
      <c r="E31" s="136">
        <v>37101.78</v>
      </c>
      <c r="F31" s="136">
        <f>+D31-E31</f>
        <v>12898.220000000001</v>
      </c>
      <c r="G31" s="136">
        <f>+E31</f>
        <v>37101.78</v>
      </c>
      <c r="H31" s="137">
        <f>E31-G31</f>
        <v>0</v>
      </c>
    </row>
    <row r="32" spans="2:8" ht="16.5">
      <c r="B32" s="340">
        <v>61354</v>
      </c>
      <c r="C32" s="343" t="s">
        <v>140</v>
      </c>
      <c r="D32" s="346">
        <v>292800</v>
      </c>
      <c r="E32" s="143">
        <v>74140.41</v>
      </c>
      <c r="F32" s="346">
        <f>+D32-E32-E33-E34-E35</f>
        <v>44.669999999983702</v>
      </c>
      <c r="G32" s="125">
        <f>+E32</f>
        <v>74140.41</v>
      </c>
      <c r="H32" s="362">
        <f>D32-F32-G32-G33-G34-G35</f>
        <v>0</v>
      </c>
    </row>
    <row r="33" spans="2:12" ht="16.5">
      <c r="B33" s="341"/>
      <c r="C33" s="344"/>
      <c r="D33" s="347"/>
      <c r="E33" s="131">
        <v>74140.41</v>
      </c>
      <c r="F33" s="347"/>
      <c r="G33" s="131">
        <f>+E33</f>
        <v>74140.41</v>
      </c>
      <c r="H33" s="363"/>
    </row>
    <row r="34" spans="2:12" ht="16.5">
      <c r="B34" s="341"/>
      <c r="C34" s="344"/>
      <c r="D34" s="347"/>
      <c r="E34" s="131">
        <v>74140.41</v>
      </c>
      <c r="F34" s="347"/>
      <c r="G34" s="131">
        <f>+E34</f>
        <v>74140.41</v>
      </c>
      <c r="H34" s="363"/>
    </row>
    <row r="35" spans="2:12" ht="17.25" thickBot="1">
      <c r="B35" s="342"/>
      <c r="C35" s="345"/>
      <c r="D35" s="348"/>
      <c r="E35" s="133">
        <v>70334.100000000006</v>
      </c>
      <c r="F35" s="348"/>
      <c r="G35" s="133">
        <v>70334.100000000006</v>
      </c>
      <c r="H35" s="364"/>
    </row>
    <row r="36" spans="2:12" ht="18" customHeight="1">
      <c r="B36" s="340">
        <v>61355</v>
      </c>
      <c r="C36" s="343" t="s">
        <v>141</v>
      </c>
      <c r="D36" s="346">
        <v>77735</v>
      </c>
      <c r="E36" s="126">
        <v>19104.62</v>
      </c>
      <c r="F36" s="346">
        <f>+D36-E36-E37-E38-E39-E40</f>
        <v>82.730000000008658</v>
      </c>
      <c r="G36" s="126">
        <f>+E36</f>
        <v>19104.62</v>
      </c>
      <c r="H36" s="362">
        <f>D36-F36-G36-G37-G38-G39-G40</f>
        <v>0</v>
      </c>
    </row>
    <row r="37" spans="2:12" ht="18" customHeight="1">
      <c r="B37" s="341"/>
      <c r="C37" s="344"/>
      <c r="D37" s="347"/>
      <c r="E37" s="131">
        <v>19352.73</v>
      </c>
      <c r="F37" s="347"/>
      <c r="G37" s="131">
        <f>+E37</f>
        <v>19352.73</v>
      </c>
      <c r="H37" s="363"/>
    </row>
    <row r="38" spans="2:12" ht="18" customHeight="1">
      <c r="B38" s="341"/>
      <c r="C38" s="344"/>
      <c r="D38" s="347"/>
      <c r="E38" s="131">
        <v>19600.84</v>
      </c>
      <c r="F38" s="347"/>
      <c r="G38" s="131">
        <f>+E38</f>
        <v>19600.84</v>
      </c>
      <c r="H38" s="363"/>
    </row>
    <row r="39" spans="2:12" ht="18" customHeight="1">
      <c r="B39" s="341"/>
      <c r="C39" s="344"/>
      <c r="D39" s="347"/>
      <c r="E39" s="131">
        <v>7939.58</v>
      </c>
      <c r="F39" s="347"/>
      <c r="G39" s="131">
        <f>+E39</f>
        <v>7939.58</v>
      </c>
      <c r="H39" s="363"/>
    </row>
    <row r="40" spans="2:12" ht="18" customHeight="1" thickBot="1">
      <c r="B40" s="342"/>
      <c r="C40" s="345"/>
      <c r="D40" s="348"/>
      <c r="E40" s="133">
        <v>11654.5</v>
      </c>
      <c r="F40" s="348"/>
      <c r="G40" s="133">
        <v>11654.5</v>
      </c>
      <c r="H40" s="364"/>
    </row>
    <row r="41" spans="2:12" s="113" customFormat="1" ht="18" customHeight="1">
      <c r="B41" s="340">
        <v>6136501</v>
      </c>
      <c r="C41" s="343" t="s">
        <v>142</v>
      </c>
      <c r="D41" s="346">
        <v>150000</v>
      </c>
      <c r="E41" s="125">
        <v>53700</v>
      </c>
      <c r="F41" s="346">
        <f>+D41-E41-E42-E43</f>
        <v>16</v>
      </c>
      <c r="G41" s="125">
        <f>+E41</f>
        <v>53700</v>
      </c>
      <c r="H41" s="362">
        <f>D41-F41-G41-G42-G43</f>
        <v>46284</v>
      </c>
      <c r="J41" s="118"/>
      <c r="K41" s="118"/>
      <c r="L41" s="118"/>
    </row>
    <row r="42" spans="2:12" s="113" customFormat="1" ht="18" customHeight="1">
      <c r="B42" s="341"/>
      <c r="C42" s="344"/>
      <c r="D42" s="347"/>
      <c r="E42" s="140">
        <v>50000</v>
      </c>
      <c r="F42" s="347"/>
      <c r="G42" s="131">
        <f>+E42</f>
        <v>50000</v>
      </c>
      <c r="H42" s="363"/>
      <c r="J42" s="118"/>
      <c r="K42" s="118"/>
      <c r="L42" s="118"/>
    </row>
    <row r="43" spans="2:12" ht="18" customHeight="1" thickBot="1">
      <c r="B43" s="342"/>
      <c r="C43" s="345"/>
      <c r="D43" s="348"/>
      <c r="E43" s="133">
        <v>46284</v>
      </c>
      <c r="F43" s="348"/>
      <c r="G43" s="133">
        <v>0</v>
      </c>
      <c r="H43" s="364"/>
    </row>
    <row r="44" spans="2:12" ht="18" customHeight="1" thickBot="1">
      <c r="B44" s="134">
        <v>61415</v>
      </c>
      <c r="C44" s="135" t="s">
        <v>143</v>
      </c>
      <c r="D44" s="136">
        <v>50000</v>
      </c>
      <c r="E44" s="136">
        <v>50000</v>
      </c>
      <c r="F44" s="136">
        <f>+D44-E44</f>
        <v>0</v>
      </c>
      <c r="G44" s="136">
        <f>+E44</f>
        <v>50000</v>
      </c>
      <c r="H44" s="137">
        <f>E44-G44</f>
        <v>0</v>
      </c>
    </row>
    <row r="45" spans="2:12" ht="18" customHeight="1" thickBot="1">
      <c r="B45" s="134">
        <v>6141601</v>
      </c>
      <c r="C45" s="135" t="s">
        <v>144</v>
      </c>
      <c r="D45" s="136">
        <v>10000</v>
      </c>
      <c r="E45" s="136">
        <v>0</v>
      </c>
      <c r="F45" s="136">
        <f>+D45-E45</f>
        <v>10000</v>
      </c>
      <c r="G45" s="136">
        <v>0</v>
      </c>
      <c r="H45" s="137">
        <f>+E45-G45</f>
        <v>0</v>
      </c>
    </row>
    <row r="46" spans="2:12" ht="32.25" customHeight="1" thickBot="1">
      <c r="B46" s="134">
        <v>6143701</v>
      </c>
      <c r="C46" s="135" t="s">
        <v>145</v>
      </c>
      <c r="D46" s="136">
        <v>80000</v>
      </c>
      <c r="E46" s="136">
        <v>79980</v>
      </c>
      <c r="F46" s="136">
        <f>+D46-E46</f>
        <v>20</v>
      </c>
      <c r="G46" s="136">
        <f>+E46</f>
        <v>79980</v>
      </c>
      <c r="H46" s="137">
        <f>E46-G46</f>
        <v>0</v>
      </c>
    </row>
    <row r="47" spans="2:12" ht="18" customHeight="1" thickBot="1">
      <c r="B47" s="134">
        <v>61425</v>
      </c>
      <c r="C47" s="135" t="s">
        <v>146</v>
      </c>
      <c r="D47" s="136">
        <v>10000</v>
      </c>
      <c r="E47" s="136">
        <v>9984</v>
      </c>
      <c r="F47" s="136">
        <f>+D47-E47</f>
        <v>16</v>
      </c>
      <c r="G47" s="136">
        <f>+E47</f>
        <v>9984</v>
      </c>
      <c r="H47" s="137">
        <f>E47-G47</f>
        <v>0</v>
      </c>
    </row>
    <row r="48" spans="2:12" ht="18.75" customHeight="1">
      <c r="B48" s="340">
        <v>6143101</v>
      </c>
      <c r="C48" s="343" t="s">
        <v>64</v>
      </c>
      <c r="D48" s="346">
        <f>800000+34600+30000</f>
        <v>864600</v>
      </c>
      <c r="E48" s="143">
        <v>150000</v>
      </c>
      <c r="F48" s="346">
        <f>+D48-E48-E49-E50-E51</f>
        <v>60</v>
      </c>
      <c r="G48" s="125">
        <f>+E48</f>
        <v>150000</v>
      </c>
      <c r="H48" s="362">
        <f>D48-F48-G48-G49-G50-G51</f>
        <v>0</v>
      </c>
    </row>
    <row r="49" spans="2:8" ht="18.75" customHeight="1">
      <c r="B49" s="341"/>
      <c r="C49" s="344"/>
      <c r="D49" s="347"/>
      <c r="E49" s="131">
        <v>149960</v>
      </c>
      <c r="F49" s="347"/>
      <c r="G49" s="131">
        <f>+E49</f>
        <v>149960</v>
      </c>
      <c r="H49" s="363"/>
    </row>
    <row r="50" spans="2:8" ht="18.75" customHeight="1">
      <c r="B50" s="341"/>
      <c r="C50" s="344"/>
      <c r="D50" s="347"/>
      <c r="E50" s="131">
        <v>150000</v>
      </c>
      <c r="F50" s="347"/>
      <c r="G50" s="131">
        <f>+E50</f>
        <v>150000</v>
      </c>
      <c r="H50" s="363"/>
    </row>
    <row r="51" spans="2:8" ht="18.75" customHeight="1" thickBot="1">
      <c r="B51" s="342"/>
      <c r="C51" s="345"/>
      <c r="D51" s="348"/>
      <c r="E51" s="133">
        <v>414580</v>
      </c>
      <c r="F51" s="348"/>
      <c r="G51" s="133">
        <v>414580</v>
      </c>
      <c r="H51" s="364"/>
    </row>
    <row r="52" spans="2:8" ht="16.5">
      <c r="B52" s="340">
        <v>6143102</v>
      </c>
      <c r="C52" s="343" t="s">
        <v>147</v>
      </c>
      <c r="D52" s="346">
        <f>50000-34600</f>
        <v>15400</v>
      </c>
      <c r="E52" s="125">
        <v>2800</v>
      </c>
      <c r="F52" s="346">
        <f>+D52-E52-E53-E54-E55-E56-E57-E58-E59</f>
        <v>79</v>
      </c>
      <c r="G52" s="125">
        <f t="shared" ref="G52:G57" si="1">+E52</f>
        <v>2800</v>
      </c>
      <c r="H52" s="362">
        <f>D52-F52-G52-G53-G54-G55-G56-G57-G58-G59</f>
        <v>0</v>
      </c>
    </row>
    <row r="53" spans="2:8" ht="16.5">
      <c r="B53" s="341"/>
      <c r="C53" s="344"/>
      <c r="D53" s="347"/>
      <c r="E53" s="131">
        <v>1920</v>
      </c>
      <c r="F53" s="347"/>
      <c r="G53" s="131">
        <f t="shared" si="1"/>
        <v>1920</v>
      </c>
      <c r="H53" s="363"/>
    </row>
    <row r="54" spans="2:8" ht="16.5">
      <c r="B54" s="341"/>
      <c r="C54" s="344"/>
      <c r="D54" s="347"/>
      <c r="E54" s="131">
        <v>2800</v>
      </c>
      <c r="F54" s="347"/>
      <c r="G54" s="131">
        <f t="shared" si="1"/>
        <v>2800</v>
      </c>
      <c r="H54" s="363"/>
    </row>
    <row r="55" spans="2:8" ht="16.5">
      <c r="B55" s="341"/>
      <c r="C55" s="344"/>
      <c r="D55" s="347"/>
      <c r="E55" s="131">
        <v>1032</v>
      </c>
      <c r="F55" s="347"/>
      <c r="G55" s="131">
        <f t="shared" si="1"/>
        <v>1032</v>
      </c>
      <c r="H55" s="363"/>
    </row>
    <row r="56" spans="2:8" ht="16.5">
      <c r="B56" s="341"/>
      <c r="C56" s="344"/>
      <c r="D56" s="347"/>
      <c r="E56" s="131">
        <v>1533</v>
      </c>
      <c r="F56" s="347"/>
      <c r="G56" s="131">
        <f t="shared" si="1"/>
        <v>1533</v>
      </c>
      <c r="H56" s="363"/>
    </row>
    <row r="57" spans="2:8" ht="16.5">
      <c r="B57" s="341"/>
      <c r="C57" s="344"/>
      <c r="D57" s="347"/>
      <c r="E57" s="131">
        <v>516</v>
      </c>
      <c r="F57" s="347"/>
      <c r="G57" s="131">
        <f t="shared" si="1"/>
        <v>516</v>
      </c>
      <c r="H57" s="363"/>
    </row>
    <row r="58" spans="2:8" ht="16.5">
      <c r="B58" s="341"/>
      <c r="C58" s="344"/>
      <c r="D58" s="347"/>
      <c r="E58" s="131">
        <v>2800</v>
      </c>
      <c r="F58" s="347"/>
      <c r="G58" s="131">
        <v>2800</v>
      </c>
      <c r="H58" s="363"/>
    </row>
    <row r="59" spans="2:8" ht="17.25" thickBot="1">
      <c r="B59" s="342"/>
      <c r="C59" s="345"/>
      <c r="D59" s="348"/>
      <c r="E59" s="133">
        <v>1920</v>
      </c>
      <c r="F59" s="348"/>
      <c r="G59" s="133">
        <v>1920</v>
      </c>
      <c r="H59" s="364"/>
    </row>
    <row r="60" spans="2:8" ht="18" customHeight="1">
      <c r="B60" s="340">
        <v>6143103</v>
      </c>
      <c r="C60" s="343" t="s">
        <v>148</v>
      </c>
      <c r="D60" s="346">
        <v>50000</v>
      </c>
      <c r="E60" s="143">
        <v>5000</v>
      </c>
      <c r="F60" s="346">
        <f>+D60-E60-E61-E62</f>
        <v>0</v>
      </c>
      <c r="G60" s="125">
        <f t="shared" ref="G60:G65" si="2">+E60</f>
        <v>5000</v>
      </c>
      <c r="H60" s="362">
        <f>D60-F60-G60-G61-G62</f>
        <v>0</v>
      </c>
    </row>
    <row r="61" spans="2:8" ht="18" customHeight="1">
      <c r="B61" s="341"/>
      <c r="C61" s="344"/>
      <c r="D61" s="347"/>
      <c r="E61" s="131">
        <v>17500</v>
      </c>
      <c r="F61" s="347"/>
      <c r="G61" s="131">
        <f t="shared" si="2"/>
        <v>17500</v>
      </c>
      <c r="H61" s="363"/>
    </row>
    <row r="62" spans="2:8" ht="18" customHeight="1" thickBot="1">
      <c r="B62" s="342"/>
      <c r="C62" s="345"/>
      <c r="D62" s="348"/>
      <c r="E62" s="133">
        <v>27500</v>
      </c>
      <c r="F62" s="348"/>
      <c r="G62" s="133">
        <f t="shared" si="2"/>
        <v>27500</v>
      </c>
      <c r="H62" s="364"/>
    </row>
    <row r="63" spans="2:8" ht="18" customHeight="1" thickBot="1">
      <c r="B63" s="144">
        <v>6143601</v>
      </c>
      <c r="C63" s="145" t="s">
        <v>149</v>
      </c>
      <c r="D63" s="136">
        <v>250000</v>
      </c>
      <c r="E63" s="136">
        <v>249986</v>
      </c>
      <c r="F63" s="136">
        <f>+D63-E63</f>
        <v>14</v>
      </c>
      <c r="G63" s="136">
        <f t="shared" si="2"/>
        <v>249986</v>
      </c>
      <c r="H63" s="137"/>
    </row>
    <row r="64" spans="2:8" ht="18" customHeight="1">
      <c r="B64" s="340">
        <v>6144101</v>
      </c>
      <c r="C64" s="343" t="s">
        <v>150</v>
      </c>
      <c r="D64" s="346">
        <v>100000</v>
      </c>
      <c r="E64" s="126">
        <v>9000</v>
      </c>
      <c r="F64" s="346">
        <f>+D64-E64-E65-E66-E67-E68-E69-E70-E71</f>
        <v>27400</v>
      </c>
      <c r="G64" s="126">
        <f t="shared" si="2"/>
        <v>9000</v>
      </c>
      <c r="H64" s="362">
        <f>D64-F64-G64-G65-G66-G67-G68-G69-G70-G71</f>
        <v>0</v>
      </c>
    </row>
    <row r="65" spans="1:8" ht="18" customHeight="1">
      <c r="B65" s="341"/>
      <c r="C65" s="344"/>
      <c r="D65" s="347"/>
      <c r="E65" s="131">
        <v>9600</v>
      </c>
      <c r="F65" s="347"/>
      <c r="G65" s="131">
        <f t="shared" si="2"/>
        <v>9600</v>
      </c>
      <c r="H65" s="363"/>
    </row>
    <row r="66" spans="1:8" ht="18" customHeight="1">
      <c r="B66" s="341"/>
      <c r="C66" s="344"/>
      <c r="D66" s="347"/>
      <c r="E66" s="140">
        <v>9000</v>
      </c>
      <c r="F66" s="347"/>
      <c r="G66" s="140">
        <v>9000</v>
      </c>
      <c r="H66" s="363"/>
    </row>
    <row r="67" spans="1:8" ht="18" customHeight="1">
      <c r="B67" s="341"/>
      <c r="C67" s="344"/>
      <c r="D67" s="347"/>
      <c r="E67" s="130">
        <v>9000</v>
      </c>
      <c r="F67" s="347"/>
      <c r="G67" s="130">
        <v>9000</v>
      </c>
      <c r="H67" s="363"/>
    </row>
    <row r="68" spans="1:8" ht="18" customHeight="1">
      <c r="B68" s="341"/>
      <c r="C68" s="344"/>
      <c r="D68" s="347"/>
      <c r="E68" s="140">
        <v>9000</v>
      </c>
      <c r="F68" s="347"/>
      <c r="G68" s="140">
        <v>9000</v>
      </c>
      <c r="H68" s="363"/>
    </row>
    <row r="69" spans="1:8" ht="18" customHeight="1">
      <c r="B69" s="341"/>
      <c r="C69" s="344"/>
      <c r="D69" s="347"/>
      <c r="E69" s="130">
        <v>9000</v>
      </c>
      <c r="F69" s="347"/>
      <c r="G69" s="130">
        <v>9000</v>
      </c>
      <c r="H69" s="363"/>
    </row>
    <row r="70" spans="1:8" ht="18" customHeight="1">
      <c r="B70" s="341"/>
      <c r="C70" s="344"/>
      <c r="D70" s="347"/>
      <c r="E70" s="140">
        <v>9000</v>
      </c>
      <c r="F70" s="347"/>
      <c r="G70" s="140">
        <v>9000</v>
      </c>
      <c r="H70" s="363"/>
    </row>
    <row r="71" spans="1:8" ht="18" customHeight="1" thickBot="1">
      <c r="B71" s="342"/>
      <c r="C71" s="345"/>
      <c r="D71" s="348"/>
      <c r="E71" s="133">
        <v>9000</v>
      </c>
      <c r="F71" s="348"/>
      <c r="G71" s="133">
        <v>9000</v>
      </c>
      <c r="H71" s="364"/>
    </row>
    <row r="72" spans="1:8" ht="18" customHeight="1" thickBot="1">
      <c r="B72" s="134">
        <v>6144401</v>
      </c>
      <c r="C72" s="135" t="s">
        <v>79</v>
      </c>
      <c r="D72" s="136">
        <v>80000</v>
      </c>
      <c r="E72" s="136">
        <v>79980</v>
      </c>
      <c r="F72" s="136">
        <f>+D72-E72</f>
        <v>20</v>
      </c>
      <c r="G72" s="136">
        <v>0</v>
      </c>
      <c r="H72" s="137">
        <f>E72-G72</f>
        <v>79980</v>
      </c>
    </row>
    <row r="73" spans="1:8" ht="18" customHeight="1" thickBot="1">
      <c r="B73" s="134">
        <v>61448</v>
      </c>
      <c r="C73" s="135" t="s">
        <v>151</v>
      </c>
      <c r="D73" s="136">
        <v>10000</v>
      </c>
      <c r="E73" s="136">
        <v>9996</v>
      </c>
      <c r="F73" s="136">
        <f>+D73-E73</f>
        <v>4</v>
      </c>
      <c r="G73" s="136">
        <v>0</v>
      </c>
      <c r="H73" s="137">
        <f>E73-G73</f>
        <v>9996</v>
      </c>
    </row>
    <row r="74" spans="1:8" ht="18" customHeight="1" thickBot="1">
      <c r="B74" s="134">
        <v>6145101</v>
      </c>
      <c r="C74" s="135" t="s">
        <v>70</v>
      </c>
      <c r="D74" s="136">
        <v>10000</v>
      </c>
      <c r="E74" s="136">
        <v>10000</v>
      </c>
      <c r="F74" s="136">
        <f>+D74-E74</f>
        <v>0</v>
      </c>
      <c r="G74" s="136">
        <f t="shared" ref="G74:G79" si="3">+E74</f>
        <v>10000</v>
      </c>
      <c r="H74" s="137">
        <f>E74-G74</f>
        <v>0</v>
      </c>
    </row>
    <row r="75" spans="1:8" ht="18" customHeight="1">
      <c r="B75" s="340">
        <v>6145501</v>
      </c>
      <c r="C75" s="343" t="s">
        <v>152</v>
      </c>
      <c r="D75" s="346">
        <v>220000</v>
      </c>
      <c r="E75" s="125">
        <v>36000</v>
      </c>
      <c r="F75" s="346">
        <f>+D75-E75-E76-E77</f>
        <v>0</v>
      </c>
      <c r="G75" s="125">
        <f t="shared" si="3"/>
        <v>36000</v>
      </c>
      <c r="H75" s="362">
        <f>D75-F75-G75-G76-G77</f>
        <v>0</v>
      </c>
    </row>
    <row r="76" spans="1:8" ht="18" customHeight="1">
      <c r="B76" s="341"/>
      <c r="C76" s="344"/>
      <c r="D76" s="347"/>
      <c r="E76" s="131">
        <v>129000</v>
      </c>
      <c r="F76" s="347"/>
      <c r="G76" s="131">
        <f t="shared" si="3"/>
        <v>129000</v>
      </c>
      <c r="H76" s="363"/>
    </row>
    <row r="77" spans="1:8" ht="18" customHeight="1" thickBot="1">
      <c r="B77" s="342"/>
      <c r="C77" s="345"/>
      <c r="D77" s="348"/>
      <c r="E77" s="133">
        <v>55000</v>
      </c>
      <c r="F77" s="348"/>
      <c r="G77" s="133">
        <f t="shared" si="3"/>
        <v>55000</v>
      </c>
      <c r="H77" s="364"/>
    </row>
    <row r="78" spans="1:8" ht="26.25" customHeight="1" thickBot="1">
      <c r="B78" s="134" t="s">
        <v>153</v>
      </c>
      <c r="C78" s="135" t="s">
        <v>154</v>
      </c>
      <c r="D78" s="136">
        <v>300000</v>
      </c>
      <c r="E78" s="136">
        <v>209841.3</v>
      </c>
      <c r="F78" s="136">
        <f>+D78-E78</f>
        <v>90158.700000000012</v>
      </c>
      <c r="G78" s="136">
        <f t="shared" si="3"/>
        <v>209841.3</v>
      </c>
      <c r="H78" s="137">
        <f t="shared" ref="H78:H96" si="4">E78-G78</f>
        <v>0</v>
      </c>
    </row>
    <row r="79" spans="1:8" ht="18" customHeight="1" thickBot="1">
      <c r="B79" s="138">
        <v>6167301</v>
      </c>
      <c r="C79" s="139" t="s">
        <v>155</v>
      </c>
      <c r="D79" s="125">
        <v>60000</v>
      </c>
      <c r="E79" s="125">
        <v>16159</v>
      </c>
      <c r="F79" s="125">
        <f>+D79-E79</f>
        <v>43841</v>
      </c>
      <c r="G79" s="125">
        <f t="shared" si="3"/>
        <v>16159</v>
      </c>
      <c r="H79" s="127">
        <f t="shared" si="4"/>
        <v>0</v>
      </c>
    </row>
    <row r="80" spans="1:8" ht="18" customHeight="1" thickBot="1">
      <c r="A80" s="146"/>
      <c r="B80" s="147">
        <v>61745</v>
      </c>
      <c r="C80" s="135" t="s">
        <v>156</v>
      </c>
      <c r="D80" s="136">
        <v>70000</v>
      </c>
      <c r="E80" s="136">
        <v>54920.04</v>
      </c>
      <c r="F80" s="125">
        <f t="shared" ref="F80:F96" si="5">+D80-E80</f>
        <v>15079.96</v>
      </c>
      <c r="G80" s="136">
        <v>0</v>
      </c>
      <c r="H80" s="137">
        <f t="shared" si="4"/>
        <v>54920.04</v>
      </c>
    </row>
    <row r="81" spans="2:8" s="113" customFormat="1" ht="18" customHeight="1" thickBot="1">
      <c r="B81" s="134">
        <v>617640</v>
      </c>
      <c r="C81" s="135" t="s">
        <v>157</v>
      </c>
      <c r="D81" s="136">
        <v>10000</v>
      </c>
      <c r="E81" s="136">
        <v>9996</v>
      </c>
      <c r="F81" s="125">
        <f t="shared" si="5"/>
        <v>4</v>
      </c>
      <c r="G81" s="136">
        <v>9996</v>
      </c>
      <c r="H81" s="137">
        <f t="shared" si="4"/>
        <v>0</v>
      </c>
    </row>
    <row r="82" spans="2:8" ht="18" customHeight="1" thickBot="1">
      <c r="B82" s="134">
        <v>617660</v>
      </c>
      <c r="C82" s="135" t="s">
        <v>158</v>
      </c>
      <c r="D82" s="136">
        <v>30000</v>
      </c>
      <c r="E82" s="136">
        <v>29997.23</v>
      </c>
      <c r="F82" s="125">
        <f>+D82-E82</f>
        <v>2.7700000000004366</v>
      </c>
      <c r="G82" s="136">
        <v>0</v>
      </c>
      <c r="H82" s="137">
        <f t="shared" si="4"/>
        <v>29997.23</v>
      </c>
    </row>
    <row r="83" spans="2:8" ht="18" customHeight="1" thickBot="1">
      <c r="B83" s="340">
        <v>6176811</v>
      </c>
      <c r="C83" s="365" t="s">
        <v>26</v>
      </c>
      <c r="D83" s="346">
        <v>250000</v>
      </c>
      <c r="E83" s="136">
        <v>187200</v>
      </c>
      <c r="F83" s="346">
        <f>+D83-E83-E84</f>
        <v>52</v>
      </c>
      <c r="G83" s="136">
        <v>0</v>
      </c>
      <c r="H83" s="362">
        <f>E83+E84-G84-G83</f>
        <v>249948</v>
      </c>
    </row>
    <row r="84" spans="2:8" ht="18" customHeight="1" thickBot="1">
      <c r="B84" s="342"/>
      <c r="C84" s="366"/>
      <c r="D84" s="348"/>
      <c r="E84" s="136">
        <v>62748</v>
      </c>
      <c r="F84" s="348"/>
      <c r="G84" s="136">
        <v>0</v>
      </c>
      <c r="H84" s="364"/>
    </row>
    <row r="85" spans="2:8" ht="18" customHeight="1" thickBot="1">
      <c r="B85" s="134">
        <v>6587</v>
      </c>
      <c r="C85" s="135" t="s">
        <v>47</v>
      </c>
      <c r="D85" s="136">
        <v>10000</v>
      </c>
      <c r="E85" s="136">
        <v>0</v>
      </c>
      <c r="F85" s="125">
        <f t="shared" si="5"/>
        <v>10000</v>
      </c>
      <c r="G85" s="136">
        <v>0</v>
      </c>
      <c r="H85" s="137">
        <f t="shared" si="4"/>
        <v>0</v>
      </c>
    </row>
    <row r="86" spans="2:8" ht="18" customHeight="1" thickBot="1">
      <c r="B86" s="134">
        <v>617111</v>
      </c>
      <c r="C86" s="135" t="s">
        <v>159</v>
      </c>
      <c r="D86" s="136">
        <v>4500000</v>
      </c>
      <c r="E86" s="136">
        <f>'[4]PAIEMENTS BUDGET 2019'!R43+4273.88</f>
        <v>3324385.5</v>
      </c>
      <c r="F86" s="136">
        <f t="shared" si="5"/>
        <v>1175614.5</v>
      </c>
      <c r="G86" s="136">
        <v>3320111.62</v>
      </c>
      <c r="H86" s="137">
        <f t="shared" si="4"/>
        <v>4273.8799999998882</v>
      </c>
    </row>
    <row r="87" spans="2:8" ht="18" customHeight="1" thickBot="1">
      <c r="B87" s="134">
        <v>617112</v>
      </c>
      <c r="C87" s="135" t="s">
        <v>160</v>
      </c>
      <c r="D87" s="136">
        <v>220000</v>
      </c>
      <c r="E87" s="136">
        <f>'[4]PAIEMENTS BUDGET 2019'!R44</f>
        <v>210209.94</v>
      </c>
      <c r="F87" s="125">
        <f t="shared" si="5"/>
        <v>9790.0599999999977</v>
      </c>
      <c r="G87" s="136">
        <v>210209.94</v>
      </c>
      <c r="H87" s="137">
        <f>E87-G87</f>
        <v>0</v>
      </c>
    </row>
    <row r="88" spans="2:8" ht="18" customHeight="1" thickBot="1">
      <c r="B88" s="134">
        <v>617121</v>
      </c>
      <c r="C88" s="135" t="s">
        <v>14</v>
      </c>
      <c r="D88" s="136">
        <v>1900000</v>
      </c>
      <c r="E88" s="136">
        <f>'[4]PAIEMENTS BUDGET 2019'!R45+187446.39</f>
        <v>1351340.02</v>
      </c>
      <c r="F88" s="136">
        <f t="shared" si="5"/>
        <v>548659.98</v>
      </c>
      <c r="G88" s="136">
        <v>1163893.6299999999</v>
      </c>
      <c r="H88" s="137">
        <f t="shared" si="4"/>
        <v>187446.39000000013</v>
      </c>
    </row>
    <row r="89" spans="2:8" ht="18" customHeight="1" thickBot="1">
      <c r="B89" s="134">
        <v>617131</v>
      </c>
      <c r="C89" s="135" t="s">
        <v>161</v>
      </c>
      <c r="D89" s="136">
        <v>2500000</v>
      </c>
      <c r="E89" s="136">
        <f>'[4]PAIEMENTS BUDGET 2019'!R46+1135</f>
        <v>1842258.33</v>
      </c>
      <c r="F89" s="125">
        <f t="shared" si="5"/>
        <v>657741.66999999993</v>
      </c>
      <c r="G89" s="136">
        <v>1841123.33</v>
      </c>
      <c r="H89" s="137">
        <f t="shared" si="4"/>
        <v>1135</v>
      </c>
    </row>
    <row r="90" spans="2:8" ht="18" customHeight="1" thickBot="1">
      <c r="B90" s="134">
        <v>61742</v>
      </c>
      <c r="C90" s="135" t="s">
        <v>162</v>
      </c>
      <c r="D90" s="136">
        <v>1000000</v>
      </c>
      <c r="E90" s="136">
        <f>'[4]PAIEMENTS BUDGET 2019'!R47+800.89</f>
        <v>884598.82000000007</v>
      </c>
      <c r="F90" s="136">
        <f t="shared" si="5"/>
        <v>115401.17999999993</v>
      </c>
      <c r="G90" s="136">
        <v>883797.93</v>
      </c>
      <c r="H90" s="137">
        <f t="shared" si="4"/>
        <v>800.89000000001397</v>
      </c>
    </row>
    <row r="91" spans="2:8" ht="18" customHeight="1" thickBot="1">
      <c r="B91" s="134">
        <v>61744</v>
      </c>
      <c r="C91" s="135" t="s">
        <v>19</v>
      </c>
      <c r="D91" s="136">
        <v>100000</v>
      </c>
      <c r="E91" s="148">
        <f>'[4]PAIEMENTS BUDGET 2019'!R48</f>
        <v>85800</v>
      </c>
      <c r="F91" s="125">
        <f t="shared" si="5"/>
        <v>14200</v>
      </c>
      <c r="G91" s="148">
        <v>85800</v>
      </c>
      <c r="H91" s="137">
        <f t="shared" si="4"/>
        <v>0</v>
      </c>
    </row>
    <row r="92" spans="2:8" ht="18" customHeight="1" thickBot="1">
      <c r="B92" s="134">
        <v>617682</v>
      </c>
      <c r="C92" s="135" t="s">
        <v>163</v>
      </c>
      <c r="D92" s="136">
        <v>110000</v>
      </c>
      <c r="E92" s="136">
        <f>'[4]PAIEMENTS BUDGET 2019'!R57+88.59</f>
        <v>92373.119999999995</v>
      </c>
      <c r="F92" s="136">
        <f t="shared" si="5"/>
        <v>17626.880000000005</v>
      </c>
      <c r="G92" s="136">
        <v>92284.53</v>
      </c>
      <c r="H92" s="137">
        <f t="shared" si="4"/>
        <v>88.589999999996508</v>
      </c>
    </row>
    <row r="93" spans="2:8" ht="18" customHeight="1" thickBot="1">
      <c r="B93" s="134">
        <v>617638</v>
      </c>
      <c r="C93" s="135" t="s">
        <v>164</v>
      </c>
      <c r="D93" s="136">
        <v>400000</v>
      </c>
      <c r="E93" s="148">
        <f>'[4]PAIEMENTS BUDGET 2019'!R53</f>
        <v>400000</v>
      </c>
      <c r="F93" s="125">
        <f t="shared" si="5"/>
        <v>0</v>
      </c>
      <c r="G93" s="136">
        <v>400000</v>
      </c>
      <c r="H93" s="137">
        <f t="shared" si="4"/>
        <v>0</v>
      </c>
    </row>
    <row r="94" spans="2:8" ht="18" customHeight="1" thickBot="1">
      <c r="B94" s="134">
        <v>617632</v>
      </c>
      <c r="C94" s="135" t="s">
        <v>165</v>
      </c>
      <c r="D94" s="136">
        <v>4000</v>
      </c>
      <c r="E94" s="136">
        <f>'[4]PAIEMENTS BUDGET 2019'!R50</f>
        <v>3800</v>
      </c>
      <c r="F94" s="136">
        <f t="shared" si="5"/>
        <v>200</v>
      </c>
      <c r="G94" s="136">
        <v>3800</v>
      </c>
      <c r="H94" s="137">
        <f t="shared" si="4"/>
        <v>0</v>
      </c>
    </row>
    <row r="95" spans="2:8" ht="18" customHeight="1" thickBot="1">
      <c r="B95" s="134">
        <v>617633</v>
      </c>
      <c r="C95" s="135" t="s">
        <v>166</v>
      </c>
      <c r="D95" s="136">
        <v>4000</v>
      </c>
      <c r="E95" s="148">
        <f>'[4]PAIEMENTS BUDGET 2019'!R51</f>
        <v>1850</v>
      </c>
      <c r="F95" s="125">
        <f t="shared" si="5"/>
        <v>2150</v>
      </c>
      <c r="G95" s="136">
        <v>1850</v>
      </c>
      <c r="H95" s="137">
        <f t="shared" si="4"/>
        <v>0</v>
      </c>
    </row>
    <row r="96" spans="2:8" ht="18" customHeight="1" thickBot="1">
      <c r="B96" s="134">
        <v>617637</v>
      </c>
      <c r="C96" s="135" t="s">
        <v>167</v>
      </c>
      <c r="D96" s="136">
        <v>1000</v>
      </c>
      <c r="E96" s="136">
        <f>'[4]PAIEMENTS BUDGET 2019'!R52</f>
        <v>600</v>
      </c>
      <c r="F96" s="136">
        <f t="shared" si="5"/>
        <v>400</v>
      </c>
      <c r="G96" s="136">
        <v>600</v>
      </c>
      <c r="H96" s="137">
        <f t="shared" si="4"/>
        <v>0</v>
      </c>
    </row>
    <row r="97" spans="1:14" ht="18" customHeight="1">
      <c r="B97" s="338" t="s">
        <v>168</v>
      </c>
      <c r="C97" s="339"/>
      <c r="D97" s="149">
        <f>SUM(D6:D96)</f>
        <v>15904535</v>
      </c>
      <c r="E97" s="149">
        <f>SUM(E6:E96)</f>
        <v>13113565.789999999</v>
      </c>
      <c r="F97" s="149">
        <f>SUM(F6:F96)</f>
        <v>2790969.21</v>
      </c>
      <c r="G97" s="149">
        <f>SUM(G6:G96)</f>
        <v>12292340.77</v>
      </c>
      <c r="H97" s="149">
        <f>SUM(H6:H96)</f>
        <v>821225.02</v>
      </c>
    </row>
    <row r="98" spans="1:14" s="150" customFormat="1" ht="30" customHeight="1">
      <c r="B98" s="338" t="s">
        <v>169</v>
      </c>
      <c r="C98" s="339"/>
      <c r="D98" s="151"/>
      <c r="E98" s="152">
        <f>+(E97/D97)*100</f>
        <v>82.451739645327564</v>
      </c>
      <c r="F98" s="152">
        <f>+(F97/D97)*100</f>
        <v>17.548260354672422</v>
      </c>
      <c r="G98" s="152">
        <f>+(G97/E97)*100</f>
        <v>93.737591795007873</v>
      </c>
      <c r="H98" s="152">
        <f>+(H97/E97)*100</f>
        <v>6.2624082049921235</v>
      </c>
      <c r="J98" s="113"/>
      <c r="K98" s="113"/>
      <c r="L98" s="113"/>
    </row>
    <row r="99" spans="1:14" s="150" customFormat="1" ht="18" customHeight="1">
      <c r="B99" s="153"/>
      <c r="C99" s="154"/>
      <c r="D99" s="156"/>
      <c r="E99" s="156"/>
      <c r="F99" s="156"/>
      <c r="G99" s="156"/>
      <c r="H99" s="156"/>
      <c r="J99" s="113"/>
      <c r="K99" s="113"/>
      <c r="L99" s="113"/>
    </row>
    <row r="100" spans="1:14" ht="18" customHeight="1" thickBot="1">
      <c r="B100" s="354" t="s">
        <v>170</v>
      </c>
      <c r="C100" s="355"/>
      <c r="D100" s="157"/>
      <c r="E100" s="157"/>
      <c r="F100" s="157"/>
      <c r="G100" s="157"/>
      <c r="H100" s="158"/>
    </row>
    <row r="101" spans="1:14" ht="18" customHeight="1" thickBot="1">
      <c r="B101" s="159">
        <v>22101</v>
      </c>
      <c r="C101" s="160" t="s">
        <v>171</v>
      </c>
      <c r="D101" s="136">
        <v>600000</v>
      </c>
      <c r="E101" s="136">
        <v>480000</v>
      </c>
      <c r="F101" s="136">
        <f>+D101-E101</f>
        <v>120000</v>
      </c>
      <c r="G101" s="161">
        <v>0</v>
      </c>
      <c r="H101" s="162">
        <f>+E101-G101</f>
        <v>480000</v>
      </c>
    </row>
    <row r="102" spans="1:14" s="165" customFormat="1" ht="18" customHeight="1">
      <c r="A102" s="163"/>
      <c r="B102" s="356">
        <v>221023</v>
      </c>
      <c r="C102" s="359" t="s">
        <v>172</v>
      </c>
      <c r="D102" s="346">
        <v>1200000</v>
      </c>
      <c r="E102" s="142">
        <v>211200</v>
      </c>
      <c r="F102" s="346">
        <f>+D102-E102-E104-E103</f>
        <v>393600</v>
      </c>
      <c r="G102" s="164">
        <v>0</v>
      </c>
      <c r="H102" s="349">
        <f>D102-F102-G102-G103-G104</f>
        <v>560400</v>
      </c>
      <c r="I102" s="163"/>
      <c r="M102" s="163"/>
      <c r="N102" s="163"/>
    </row>
    <row r="103" spans="1:14" s="165" customFormat="1" ht="18" customHeight="1">
      <c r="A103" s="163"/>
      <c r="B103" s="357"/>
      <c r="C103" s="360"/>
      <c r="D103" s="347"/>
      <c r="E103" s="166">
        <v>246000</v>
      </c>
      <c r="F103" s="347"/>
      <c r="G103" s="167">
        <v>246000</v>
      </c>
      <c r="H103" s="350"/>
      <c r="I103" s="163"/>
      <c r="M103" s="163"/>
      <c r="N103" s="163"/>
    </row>
    <row r="104" spans="1:14" s="165" customFormat="1" ht="18" customHeight="1" thickBot="1">
      <c r="A104" s="163"/>
      <c r="B104" s="358"/>
      <c r="C104" s="361"/>
      <c r="D104" s="348"/>
      <c r="E104" s="133">
        <v>349200</v>
      </c>
      <c r="F104" s="348"/>
      <c r="G104" s="168">
        <v>0</v>
      </c>
      <c r="H104" s="351"/>
      <c r="I104" s="163"/>
      <c r="M104" s="163"/>
      <c r="N104" s="163"/>
    </row>
    <row r="105" spans="1:14" s="165" customFormat="1" ht="18" customHeight="1">
      <c r="A105" s="163"/>
      <c r="B105" s="340">
        <v>221030</v>
      </c>
      <c r="C105" s="352" t="s">
        <v>173</v>
      </c>
      <c r="D105" s="346">
        <v>2300000</v>
      </c>
      <c r="E105" s="142">
        <v>300000</v>
      </c>
      <c r="F105" s="346">
        <f>+D105-E105-E106</f>
        <v>1700000</v>
      </c>
      <c r="G105" s="164">
        <v>0</v>
      </c>
      <c r="H105" s="349">
        <f>D105-F105-G105-G106</f>
        <v>600000</v>
      </c>
      <c r="I105" s="163"/>
      <c r="M105" s="163"/>
      <c r="N105" s="163"/>
    </row>
    <row r="106" spans="1:14" s="165" customFormat="1" ht="18" customHeight="1" thickBot="1">
      <c r="A106" s="163"/>
      <c r="B106" s="342"/>
      <c r="C106" s="353"/>
      <c r="D106" s="348"/>
      <c r="E106" s="133">
        <v>300000</v>
      </c>
      <c r="F106" s="348"/>
      <c r="G106" s="168">
        <v>0</v>
      </c>
      <c r="H106" s="351"/>
      <c r="I106" s="163"/>
      <c r="M106" s="163"/>
      <c r="N106" s="163"/>
    </row>
    <row r="107" spans="1:14" ht="18" customHeight="1" thickBot="1">
      <c r="B107" s="138">
        <v>2128102</v>
      </c>
      <c r="C107" s="124" t="s">
        <v>174</v>
      </c>
      <c r="D107" s="142">
        <v>400000</v>
      </c>
      <c r="E107" s="142">
        <v>0</v>
      </c>
      <c r="F107" s="142">
        <f>+D107-E107</f>
        <v>400000</v>
      </c>
      <c r="G107" s="164">
        <v>0</v>
      </c>
      <c r="H107" s="169">
        <f>E107-G107</f>
        <v>0</v>
      </c>
    </row>
    <row r="108" spans="1:14" ht="18" customHeight="1" thickBot="1">
      <c r="B108" s="138">
        <v>2128401</v>
      </c>
      <c r="C108" s="124" t="s">
        <v>175</v>
      </c>
      <c r="D108" s="125">
        <v>500000</v>
      </c>
      <c r="E108" s="142">
        <v>375000</v>
      </c>
      <c r="F108" s="142">
        <f>+D108-E108</f>
        <v>125000</v>
      </c>
      <c r="G108" s="164">
        <v>0</v>
      </c>
      <c r="H108" s="169">
        <f>E108-G108</f>
        <v>375000</v>
      </c>
    </row>
    <row r="109" spans="1:14" ht="18" customHeight="1">
      <c r="B109" s="340">
        <v>22201</v>
      </c>
      <c r="C109" s="343" t="s">
        <v>176</v>
      </c>
      <c r="D109" s="346">
        <v>250000</v>
      </c>
      <c r="E109" s="142">
        <v>27200</v>
      </c>
      <c r="F109" s="346">
        <f>+D109-E109-E110-E111</f>
        <v>800</v>
      </c>
      <c r="G109" s="164">
        <v>27200</v>
      </c>
      <c r="H109" s="349">
        <f>D109-F109-G109-G110-G111</f>
        <v>196800</v>
      </c>
    </row>
    <row r="110" spans="1:14" ht="18" customHeight="1">
      <c r="B110" s="341"/>
      <c r="C110" s="344"/>
      <c r="D110" s="347"/>
      <c r="E110" s="166">
        <v>25200</v>
      </c>
      <c r="F110" s="347"/>
      <c r="G110" s="167">
        <v>25200</v>
      </c>
      <c r="H110" s="350"/>
    </row>
    <row r="111" spans="1:14" ht="18" customHeight="1" thickBot="1">
      <c r="B111" s="342"/>
      <c r="C111" s="345"/>
      <c r="D111" s="348"/>
      <c r="E111" s="133">
        <v>196800</v>
      </c>
      <c r="F111" s="348"/>
      <c r="G111" s="168">
        <v>0</v>
      </c>
      <c r="H111" s="351"/>
    </row>
    <row r="112" spans="1:14" s="113" customFormat="1" ht="23.25" customHeight="1" thickBot="1">
      <c r="B112" s="134">
        <v>2331</v>
      </c>
      <c r="C112" s="135" t="s">
        <v>177</v>
      </c>
      <c r="D112" s="136">
        <v>100000</v>
      </c>
      <c r="E112" s="136">
        <v>99996</v>
      </c>
      <c r="F112" s="136">
        <f>+D112-E112</f>
        <v>4</v>
      </c>
      <c r="G112" s="161">
        <v>0</v>
      </c>
      <c r="H112" s="162">
        <f>E112-G112</f>
        <v>99996</v>
      </c>
    </row>
    <row r="113" spans="1:14" s="113" customFormat="1" ht="23.25" customHeight="1" thickBot="1">
      <c r="B113" s="134">
        <v>23382</v>
      </c>
      <c r="C113" s="135" t="s">
        <v>178</v>
      </c>
      <c r="D113" s="136">
        <v>150000</v>
      </c>
      <c r="E113" s="136">
        <v>150000</v>
      </c>
      <c r="F113" s="136">
        <f>+D113-E113</f>
        <v>0</v>
      </c>
      <c r="G113" s="161">
        <v>0</v>
      </c>
      <c r="H113" s="162">
        <f>E113-G113</f>
        <v>150000</v>
      </c>
    </row>
    <row r="114" spans="1:14" s="113" customFormat="1" ht="17.25" thickBot="1">
      <c r="B114" s="134">
        <v>23402</v>
      </c>
      <c r="C114" s="135" t="s">
        <v>179</v>
      </c>
      <c r="D114" s="136">
        <v>1250000</v>
      </c>
      <c r="E114" s="136">
        <v>0</v>
      </c>
      <c r="F114" s="136">
        <f>+D114-E114</f>
        <v>1250000</v>
      </c>
      <c r="G114" s="161">
        <v>0</v>
      </c>
      <c r="H114" s="162">
        <f>E114-G114</f>
        <v>0</v>
      </c>
    </row>
    <row r="115" spans="1:14" s="113" customFormat="1" ht="20.25" customHeight="1" thickBot="1">
      <c r="B115" s="170">
        <v>2351</v>
      </c>
      <c r="C115" s="128" t="s">
        <v>180</v>
      </c>
      <c r="D115" s="129">
        <v>150000</v>
      </c>
      <c r="E115" s="129">
        <v>148936.79999999999</v>
      </c>
      <c r="F115" s="129">
        <f>+D115-E115</f>
        <v>1063.2000000000116</v>
      </c>
      <c r="G115" s="171">
        <v>0</v>
      </c>
      <c r="H115" s="171">
        <f>E115-G115</f>
        <v>148936.79999999999</v>
      </c>
    </row>
    <row r="116" spans="1:14" s="113" customFormat="1" ht="18" customHeight="1" thickBot="1">
      <c r="B116" s="134">
        <v>2355</v>
      </c>
      <c r="C116" s="141" t="s">
        <v>181</v>
      </c>
      <c r="D116" s="136">
        <v>200000</v>
      </c>
      <c r="E116" s="136">
        <v>199884</v>
      </c>
      <c r="F116" s="136">
        <f>+D116-E116</f>
        <v>116</v>
      </c>
      <c r="G116" s="161">
        <f>+E116</f>
        <v>199884</v>
      </c>
      <c r="H116" s="162">
        <f>E116-G116</f>
        <v>0</v>
      </c>
    </row>
    <row r="117" spans="1:14" s="113" customFormat="1" ht="18" customHeight="1">
      <c r="B117" s="340">
        <v>2356</v>
      </c>
      <c r="C117" s="343" t="s">
        <v>182</v>
      </c>
      <c r="D117" s="346">
        <v>250000</v>
      </c>
      <c r="E117" s="142">
        <v>90906</v>
      </c>
      <c r="F117" s="346">
        <f>+D117-E117-E118</f>
        <v>533.20000000001164</v>
      </c>
      <c r="G117" s="164">
        <v>90906</v>
      </c>
      <c r="H117" s="349">
        <f>D117-F117-G117-G118</f>
        <v>158560.79999999999</v>
      </c>
    </row>
    <row r="118" spans="1:14" s="113" customFormat="1" ht="18" customHeight="1" thickBot="1">
      <c r="B118" s="342"/>
      <c r="C118" s="345"/>
      <c r="D118" s="348"/>
      <c r="E118" s="133">
        <v>158560.79999999999</v>
      </c>
      <c r="F118" s="348"/>
      <c r="G118" s="168">
        <v>0</v>
      </c>
      <c r="H118" s="351"/>
    </row>
    <row r="119" spans="1:14" ht="18" customHeight="1">
      <c r="A119" s="118"/>
      <c r="B119" s="336" t="s">
        <v>183</v>
      </c>
      <c r="C119" s="337"/>
      <c r="D119" s="172">
        <f>SUM(D101:D117)</f>
        <v>7350000</v>
      </c>
      <c r="E119" s="172">
        <f>SUM(E101:E118)</f>
        <v>3358883.5999999996</v>
      </c>
      <c r="F119" s="172">
        <f>SUM(F101:F117)</f>
        <v>3991116.4000000004</v>
      </c>
      <c r="G119" s="172">
        <f>SUM(G101:G118)</f>
        <v>589190</v>
      </c>
      <c r="H119" s="172">
        <f>SUM(H101:H117)</f>
        <v>2769693.5999999996</v>
      </c>
      <c r="M119" s="118"/>
      <c r="N119" s="118"/>
    </row>
    <row r="120" spans="1:14" s="150" customFormat="1" ht="33.75" customHeight="1">
      <c r="B120" s="338" t="s">
        <v>169</v>
      </c>
      <c r="C120" s="339"/>
      <c r="D120" s="152"/>
      <c r="E120" s="152">
        <f>+(E119/D119)*100</f>
        <v>45.69909659863945</v>
      </c>
      <c r="F120" s="152">
        <f>+(F119/D119)*100</f>
        <v>54.300903401360543</v>
      </c>
      <c r="G120" s="152">
        <f>+(G119/E119)*100</f>
        <v>17.541244954127023</v>
      </c>
      <c r="H120" s="152">
        <f>+(H119/E119)*100</f>
        <v>82.458755045872977</v>
      </c>
      <c r="J120" s="113"/>
      <c r="K120" s="113"/>
      <c r="L120" s="113"/>
    </row>
    <row r="121" spans="1:14" ht="18" customHeight="1">
      <c r="A121" s="118"/>
      <c r="M121" s="118"/>
      <c r="N121" s="118"/>
    </row>
    <row r="122" spans="1:14" ht="18" customHeight="1">
      <c r="A122" s="118"/>
      <c r="M122" s="118"/>
      <c r="N122" s="118"/>
    </row>
    <row r="123" spans="1:14" s="113" customFormat="1" ht="18" customHeight="1">
      <c r="B123" s="112"/>
      <c r="D123" s="173"/>
      <c r="E123" s="173"/>
      <c r="F123" s="116"/>
      <c r="G123" s="117"/>
      <c r="H123" s="117"/>
      <c r="J123" s="118"/>
      <c r="K123" s="118"/>
      <c r="L123" s="118"/>
    </row>
    <row r="124" spans="1:14" s="113" customFormat="1" ht="30" customHeight="1">
      <c r="B124" s="112"/>
      <c r="C124" s="104"/>
      <c r="D124" s="104"/>
      <c r="E124" s="104"/>
      <c r="F124" s="116"/>
      <c r="G124" s="117"/>
      <c r="H124" s="117"/>
      <c r="J124" s="118"/>
      <c r="K124" s="118"/>
      <c r="L124" s="118"/>
    </row>
    <row r="125" spans="1:14" s="113" customFormat="1" ht="10.5" customHeight="1">
      <c r="B125" s="112"/>
      <c r="C125" s="104"/>
      <c r="D125" s="104"/>
      <c r="E125" s="104"/>
      <c r="F125" s="116"/>
      <c r="G125" s="117"/>
      <c r="H125" s="117"/>
      <c r="J125" s="118"/>
      <c r="K125" s="118"/>
      <c r="L125" s="118"/>
    </row>
    <row r="126" spans="1:14" s="113" customFormat="1" ht="18" customHeight="1">
      <c r="B126" s="112"/>
      <c r="C126" s="104"/>
      <c r="D126" s="104"/>
      <c r="E126" s="104"/>
      <c r="F126" s="116"/>
      <c r="G126" s="117"/>
      <c r="H126" s="117"/>
      <c r="J126" s="118"/>
      <c r="K126" s="118"/>
      <c r="L126" s="118"/>
    </row>
    <row r="127" spans="1:14" s="113" customFormat="1" ht="18" customHeight="1">
      <c r="B127" s="112"/>
      <c r="C127" s="104"/>
      <c r="D127" s="104"/>
      <c r="E127" s="104"/>
      <c r="F127" s="116"/>
      <c r="G127" s="117"/>
      <c r="H127" s="117"/>
      <c r="J127" s="118"/>
      <c r="K127" s="118"/>
      <c r="L127" s="118"/>
    </row>
    <row r="128" spans="1:14" s="113" customFormat="1" ht="12.75">
      <c r="B128" s="112"/>
      <c r="C128" s="174"/>
      <c r="D128" s="174"/>
      <c r="E128" s="174"/>
      <c r="F128" s="174"/>
      <c r="G128" s="174"/>
      <c r="H128" s="174"/>
      <c r="J128" s="118"/>
      <c r="K128" s="118"/>
      <c r="L128" s="118"/>
    </row>
    <row r="129" spans="2:12" s="113" customFormat="1" ht="12.75">
      <c r="B129" s="112"/>
      <c r="C129" s="174"/>
      <c r="D129" s="174"/>
      <c r="E129" s="174"/>
      <c r="F129" s="174"/>
      <c r="G129" s="174"/>
      <c r="H129" s="174"/>
      <c r="J129" s="118"/>
      <c r="K129" s="118"/>
      <c r="L129" s="118"/>
    </row>
    <row r="130" spans="2:12" s="113" customFormat="1" ht="12.75">
      <c r="B130" s="112"/>
      <c r="C130" s="174"/>
      <c r="D130" s="174"/>
      <c r="E130" s="174"/>
      <c r="F130" s="174"/>
      <c r="G130" s="174"/>
      <c r="H130" s="174"/>
      <c r="J130" s="118"/>
      <c r="K130" s="118"/>
      <c r="L130" s="118"/>
    </row>
    <row r="131" spans="2:12" s="113" customFormat="1" ht="12.75">
      <c r="B131" s="112"/>
      <c r="C131" s="174"/>
      <c r="D131" s="174"/>
      <c r="E131" s="174"/>
      <c r="F131" s="174"/>
      <c r="G131" s="174"/>
      <c r="H131" s="174"/>
      <c r="J131" s="118"/>
      <c r="K131" s="118"/>
      <c r="L131" s="118"/>
    </row>
    <row r="132" spans="2:12" s="113" customFormat="1" ht="12.75">
      <c r="B132" s="112"/>
      <c r="C132" s="174"/>
      <c r="D132" s="174"/>
      <c r="E132" s="174"/>
      <c r="F132" s="174"/>
      <c r="G132" s="174"/>
      <c r="H132" s="174"/>
      <c r="J132" s="118"/>
      <c r="K132" s="118"/>
      <c r="L132" s="118"/>
    </row>
    <row r="133" spans="2:12" s="113" customFormat="1" ht="12.75">
      <c r="B133" s="112"/>
      <c r="C133" s="174"/>
      <c r="D133" s="174"/>
      <c r="E133" s="174"/>
      <c r="F133" s="174"/>
      <c r="G133" s="174"/>
      <c r="H133" s="174"/>
      <c r="J133" s="118"/>
      <c r="K133" s="118"/>
      <c r="L133" s="118"/>
    </row>
    <row r="134" spans="2:12" s="113" customFormat="1">
      <c r="B134" s="112"/>
      <c r="D134" s="115"/>
      <c r="E134" s="115"/>
      <c r="F134" s="116"/>
      <c r="G134" s="117"/>
      <c r="H134" s="117"/>
      <c r="J134" s="118"/>
      <c r="K134" s="118"/>
      <c r="L134" s="118"/>
    </row>
    <row r="135" spans="2:12" s="113" customFormat="1">
      <c r="B135" s="112"/>
      <c r="D135" s="115"/>
      <c r="E135" s="115"/>
      <c r="F135" s="116"/>
      <c r="G135" s="117"/>
      <c r="H135" s="117"/>
      <c r="J135" s="118"/>
      <c r="K135" s="118"/>
      <c r="L135" s="118"/>
    </row>
    <row r="136" spans="2:12" s="113" customFormat="1">
      <c r="B136" s="112"/>
      <c r="D136" s="115"/>
      <c r="E136" s="115"/>
      <c r="F136" s="116"/>
      <c r="G136" s="117"/>
      <c r="H136" s="117"/>
      <c r="J136" s="118"/>
      <c r="K136" s="118"/>
      <c r="L136" s="118"/>
    </row>
    <row r="137" spans="2:12" s="113" customFormat="1">
      <c r="B137" s="112"/>
      <c r="D137" s="115"/>
      <c r="E137" s="115"/>
      <c r="F137" s="116"/>
      <c r="G137" s="117"/>
      <c r="H137" s="117"/>
      <c r="J137" s="118"/>
      <c r="K137" s="118"/>
      <c r="L137" s="118"/>
    </row>
    <row r="138" spans="2:12" s="113" customFormat="1">
      <c r="B138" s="112"/>
      <c r="D138" s="115"/>
      <c r="E138" s="115"/>
      <c r="F138" s="116"/>
      <c r="G138" s="117"/>
      <c r="H138" s="117"/>
      <c r="J138" s="118"/>
      <c r="K138" s="118"/>
      <c r="L138" s="118"/>
    </row>
    <row r="139" spans="2:12" s="113" customFormat="1">
      <c r="B139" s="112"/>
      <c r="D139" s="115"/>
      <c r="E139" s="115"/>
      <c r="F139" s="116"/>
      <c r="G139" s="117"/>
      <c r="H139" s="117"/>
      <c r="J139" s="118"/>
      <c r="K139" s="118"/>
      <c r="L139" s="118"/>
    </row>
    <row r="140" spans="2:12" s="113" customFormat="1">
      <c r="B140" s="112"/>
      <c r="D140" s="115"/>
      <c r="E140" s="115"/>
      <c r="F140" s="116"/>
      <c r="G140" s="117"/>
      <c r="H140" s="117"/>
      <c r="J140" s="118"/>
      <c r="K140" s="118"/>
      <c r="L140" s="118"/>
    </row>
    <row r="141" spans="2:12" s="113" customFormat="1">
      <c r="B141" s="112"/>
      <c r="D141" s="115"/>
      <c r="E141" s="115"/>
      <c r="F141" s="116"/>
      <c r="G141" s="117"/>
      <c r="H141" s="117"/>
      <c r="J141" s="118"/>
      <c r="K141" s="118"/>
      <c r="L141" s="118"/>
    </row>
    <row r="142" spans="2:12" s="113" customFormat="1">
      <c r="B142" s="112"/>
      <c r="D142" s="115"/>
      <c r="E142" s="115"/>
      <c r="F142" s="116"/>
      <c r="G142" s="117"/>
      <c r="H142" s="117"/>
      <c r="J142" s="118"/>
      <c r="K142" s="118"/>
      <c r="L142" s="118"/>
    </row>
    <row r="143" spans="2:12" s="113" customFormat="1">
      <c r="B143" s="112"/>
      <c r="D143" s="115"/>
      <c r="E143" s="115"/>
      <c r="F143" s="116"/>
      <c r="G143" s="117"/>
      <c r="H143" s="117"/>
      <c r="J143" s="118"/>
      <c r="K143" s="118"/>
      <c r="L143" s="118"/>
    </row>
    <row r="144" spans="2:12" s="113" customFormat="1">
      <c r="B144" s="112"/>
      <c r="D144" s="115"/>
      <c r="E144" s="115"/>
      <c r="F144" s="116"/>
      <c r="G144" s="117"/>
      <c r="H144" s="117"/>
      <c r="J144" s="118"/>
      <c r="K144" s="118"/>
      <c r="L144" s="118"/>
    </row>
    <row r="145" spans="2:12" s="113" customFormat="1">
      <c r="B145" s="112"/>
      <c r="D145" s="115"/>
      <c r="E145" s="115"/>
      <c r="F145" s="116"/>
      <c r="G145" s="117"/>
      <c r="H145" s="117"/>
      <c r="J145" s="118"/>
      <c r="K145" s="118"/>
      <c r="L145" s="118"/>
    </row>
    <row r="146" spans="2:12" s="113" customFormat="1">
      <c r="B146" s="112"/>
      <c r="D146" s="115"/>
      <c r="E146" s="115"/>
      <c r="F146" s="116"/>
      <c r="G146" s="117"/>
      <c r="H146" s="117"/>
      <c r="J146" s="118"/>
      <c r="K146" s="118"/>
      <c r="L146" s="118"/>
    </row>
    <row r="147" spans="2:12" s="113" customFormat="1">
      <c r="B147" s="112"/>
      <c r="D147" s="115"/>
      <c r="E147" s="115"/>
      <c r="F147" s="116"/>
      <c r="G147" s="117"/>
      <c r="H147" s="117"/>
      <c r="J147" s="118"/>
      <c r="K147" s="118"/>
      <c r="L147" s="118"/>
    </row>
    <row r="148" spans="2:12" s="113" customFormat="1">
      <c r="B148" s="112"/>
      <c r="D148" s="115"/>
      <c r="E148" s="115"/>
      <c r="F148" s="116"/>
      <c r="G148" s="117"/>
      <c r="H148" s="117"/>
      <c r="J148" s="118"/>
      <c r="K148" s="118"/>
      <c r="L148" s="118"/>
    </row>
    <row r="149" spans="2:12" s="113" customFormat="1">
      <c r="B149" s="112"/>
      <c r="D149" s="115"/>
      <c r="E149" s="115"/>
      <c r="F149" s="116"/>
      <c r="G149" s="117"/>
      <c r="H149" s="117"/>
      <c r="J149" s="118"/>
      <c r="K149" s="118"/>
      <c r="L149" s="118"/>
    </row>
    <row r="150" spans="2:12" s="113" customFormat="1">
      <c r="B150" s="112"/>
      <c r="D150" s="115"/>
      <c r="E150" s="115"/>
      <c r="F150" s="116"/>
      <c r="G150" s="117"/>
      <c r="H150" s="117"/>
      <c r="J150" s="118"/>
      <c r="K150" s="118"/>
      <c r="L150" s="118"/>
    </row>
    <row r="151" spans="2:12" s="113" customFormat="1">
      <c r="B151" s="112"/>
      <c r="D151" s="115"/>
      <c r="E151" s="115"/>
      <c r="F151" s="116"/>
      <c r="G151" s="117"/>
      <c r="H151" s="117"/>
      <c r="J151" s="118"/>
      <c r="K151" s="118"/>
      <c r="L151" s="118"/>
    </row>
    <row r="152" spans="2:12" s="113" customFormat="1">
      <c r="B152" s="112"/>
      <c r="D152" s="115"/>
      <c r="E152" s="115"/>
      <c r="F152" s="116"/>
      <c r="G152" s="117"/>
      <c r="H152" s="117"/>
      <c r="J152" s="118"/>
      <c r="K152" s="118"/>
      <c r="L152" s="118"/>
    </row>
    <row r="153" spans="2:12" s="113" customFormat="1">
      <c r="B153" s="112"/>
      <c r="D153" s="115"/>
      <c r="E153" s="115"/>
      <c r="F153" s="116"/>
      <c r="G153" s="117"/>
      <c r="H153" s="117"/>
      <c r="J153" s="118"/>
      <c r="K153" s="118"/>
      <c r="L153" s="118"/>
    </row>
    <row r="154" spans="2:12" s="113" customFormat="1">
      <c r="B154" s="112"/>
      <c r="D154" s="115"/>
      <c r="E154" s="115"/>
      <c r="F154" s="116"/>
      <c r="G154" s="117"/>
      <c r="H154" s="117"/>
      <c r="J154" s="118"/>
      <c r="K154" s="118"/>
      <c r="L154" s="118"/>
    </row>
    <row r="155" spans="2:12" s="113" customFormat="1">
      <c r="B155" s="112"/>
      <c r="D155" s="115"/>
      <c r="E155" s="115"/>
      <c r="F155" s="116"/>
      <c r="G155" s="117"/>
      <c r="H155" s="117"/>
      <c r="J155" s="118"/>
      <c r="K155" s="118"/>
      <c r="L155" s="118"/>
    </row>
    <row r="156" spans="2:12" s="113" customFormat="1">
      <c r="B156" s="112"/>
      <c r="D156" s="115"/>
      <c r="E156" s="115"/>
      <c r="F156" s="116"/>
      <c r="G156" s="117"/>
      <c r="H156" s="117"/>
      <c r="J156" s="118"/>
      <c r="K156" s="118"/>
      <c r="L156" s="118"/>
    </row>
    <row r="157" spans="2:12" s="113" customFormat="1">
      <c r="B157" s="112"/>
      <c r="D157" s="115"/>
      <c r="E157" s="115"/>
      <c r="F157" s="116"/>
      <c r="G157" s="117"/>
      <c r="H157" s="117"/>
      <c r="J157" s="118"/>
      <c r="K157" s="118"/>
      <c r="L157" s="118"/>
    </row>
    <row r="158" spans="2:12" s="113" customFormat="1">
      <c r="B158" s="112"/>
      <c r="D158" s="115"/>
      <c r="E158" s="115"/>
      <c r="F158" s="116"/>
      <c r="G158" s="117"/>
      <c r="H158" s="117"/>
      <c r="J158" s="118"/>
      <c r="K158" s="118"/>
      <c r="L158" s="118"/>
    </row>
    <row r="159" spans="2:12" s="113" customFormat="1">
      <c r="B159" s="112"/>
      <c r="D159" s="115"/>
      <c r="E159" s="115"/>
      <c r="F159" s="116"/>
      <c r="G159" s="117"/>
      <c r="H159" s="117"/>
      <c r="J159" s="118"/>
      <c r="K159" s="118"/>
      <c r="L159" s="118"/>
    </row>
    <row r="160" spans="2:12" s="113" customFormat="1">
      <c r="B160" s="112"/>
      <c r="D160" s="115"/>
      <c r="E160" s="115"/>
      <c r="F160" s="116"/>
      <c r="G160" s="117"/>
      <c r="H160" s="117"/>
      <c r="J160" s="118"/>
      <c r="K160" s="118"/>
      <c r="L160" s="118"/>
    </row>
    <row r="161" spans="2:12" s="113" customFormat="1">
      <c r="B161" s="112"/>
      <c r="D161" s="115"/>
      <c r="E161" s="115"/>
      <c r="F161" s="116"/>
      <c r="G161" s="117"/>
      <c r="H161" s="117"/>
      <c r="J161" s="118"/>
      <c r="K161" s="118"/>
      <c r="L161" s="118"/>
    </row>
    <row r="162" spans="2:12" s="113" customFormat="1">
      <c r="B162" s="112"/>
      <c r="D162" s="115"/>
      <c r="E162" s="115"/>
      <c r="F162" s="116"/>
      <c r="G162" s="117"/>
      <c r="H162" s="117"/>
      <c r="J162" s="118"/>
      <c r="K162" s="118"/>
      <c r="L162" s="118"/>
    </row>
    <row r="163" spans="2:12" s="113" customFormat="1">
      <c r="B163" s="112"/>
      <c r="D163" s="115"/>
      <c r="E163" s="115"/>
      <c r="F163" s="116"/>
      <c r="G163" s="117"/>
      <c r="H163" s="117"/>
      <c r="J163" s="118"/>
      <c r="K163" s="118"/>
      <c r="L163" s="118"/>
    </row>
    <row r="164" spans="2:12" s="113" customFormat="1">
      <c r="B164" s="112"/>
      <c r="D164" s="115"/>
      <c r="E164" s="115"/>
      <c r="F164" s="116"/>
      <c r="G164" s="117"/>
      <c r="H164" s="117"/>
      <c r="J164" s="118"/>
      <c r="K164" s="118"/>
      <c r="L164" s="118"/>
    </row>
    <row r="165" spans="2:12" s="113" customFormat="1">
      <c r="B165" s="112"/>
      <c r="D165" s="115"/>
      <c r="E165" s="115"/>
      <c r="F165" s="116"/>
      <c r="G165" s="117"/>
      <c r="H165" s="117"/>
      <c r="J165" s="118"/>
      <c r="K165" s="118"/>
      <c r="L165" s="118"/>
    </row>
    <row r="166" spans="2:12" s="113" customFormat="1">
      <c r="B166" s="112"/>
      <c r="D166" s="115"/>
      <c r="E166" s="115"/>
      <c r="F166" s="116"/>
      <c r="G166" s="117"/>
      <c r="H166" s="117"/>
      <c r="J166" s="118"/>
      <c r="K166" s="118"/>
      <c r="L166" s="118"/>
    </row>
    <row r="167" spans="2:12" s="113" customFormat="1">
      <c r="B167" s="112"/>
      <c r="D167" s="115"/>
      <c r="E167" s="115"/>
      <c r="F167" s="116"/>
      <c r="G167" s="117"/>
      <c r="H167" s="117"/>
      <c r="J167" s="118"/>
      <c r="K167" s="118"/>
      <c r="L167" s="118"/>
    </row>
    <row r="168" spans="2:12" s="113" customFormat="1">
      <c r="B168" s="112"/>
      <c r="D168" s="115"/>
      <c r="E168" s="115"/>
      <c r="F168" s="116"/>
      <c r="G168" s="117"/>
      <c r="H168" s="117"/>
      <c r="J168" s="118"/>
      <c r="K168" s="118"/>
      <c r="L168" s="118"/>
    </row>
    <row r="169" spans="2:12" s="113" customFormat="1">
      <c r="B169" s="112"/>
      <c r="D169" s="115"/>
      <c r="E169" s="115"/>
      <c r="F169" s="116"/>
      <c r="G169" s="117"/>
      <c r="H169" s="117"/>
      <c r="J169" s="118"/>
      <c r="K169" s="118"/>
      <c r="L169" s="118"/>
    </row>
    <row r="170" spans="2:12" s="113" customFormat="1">
      <c r="B170" s="112"/>
      <c r="D170" s="115"/>
      <c r="E170" s="115"/>
      <c r="F170" s="116"/>
      <c r="G170" s="117"/>
      <c r="H170" s="117"/>
      <c r="J170" s="118"/>
      <c r="K170" s="118"/>
      <c r="L170" s="118"/>
    </row>
    <row r="171" spans="2:12" s="113" customFormat="1">
      <c r="B171" s="112"/>
      <c r="D171" s="115"/>
      <c r="E171" s="115"/>
      <c r="F171" s="116"/>
      <c r="G171" s="117"/>
      <c r="H171" s="117"/>
      <c r="J171" s="118"/>
      <c r="K171" s="118"/>
      <c r="L171" s="118"/>
    </row>
    <row r="172" spans="2:12" s="113" customFormat="1">
      <c r="B172" s="112"/>
      <c r="D172" s="115"/>
      <c r="E172" s="115"/>
      <c r="F172" s="116"/>
      <c r="G172" s="117"/>
      <c r="H172" s="117"/>
      <c r="J172" s="118"/>
      <c r="K172" s="118"/>
      <c r="L172" s="118"/>
    </row>
    <row r="173" spans="2:12" s="113" customFormat="1">
      <c r="B173" s="112"/>
      <c r="D173" s="115"/>
      <c r="E173" s="115"/>
      <c r="F173" s="116"/>
      <c r="G173" s="117"/>
      <c r="H173" s="117"/>
      <c r="J173" s="118"/>
      <c r="K173" s="118"/>
      <c r="L173" s="118"/>
    </row>
    <row r="174" spans="2:12" s="113" customFormat="1">
      <c r="B174" s="112"/>
      <c r="D174" s="115"/>
      <c r="E174" s="115"/>
      <c r="F174" s="116"/>
      <c r="G174" s="117"/>
      <c r="H174" s="117"/>
      <c r="J174" s="118"/>
      <c r="K174" s="118"/>
      <c r="L174" s="118"/>
    </row>
    <row r="175" spans="2:12" s="113" customFormat="1">
      <c r="B175" s="112"/>
      <c r="D175" s="115"/>
      <c r="E175" s="115"/>
      <c r="F175" s="116"/>
      <c r="G175" s="117"/>
      <c r="H175" s="117"/>
      <c r="J175" s="118"/>
      <c r="K175" s="118"/>
      <c r="L175" s="118"/>
    </row>
    <row r="176" spans="2:12" s="113" customFormat="1">
      <c r="B176" s="112"/>
      <c r="D176" s="115"/>
      <c r="E176" s="115"/>
      <c r="F176" s="116"/>
      <c r="G176" s="117"/>
      <c r="H176" s="117"/>
      <c r="J176" s="118"/>
      <c r="K176" s="118"/>
      <c r="L176" s="118"/>
    </row>
    <row r="177" spans="2:12" s="113" customFormat="1">
      <c r="B177" s="112"/>
      <c r="D177" s="115"/>
      <c r="E177" s="115"/>
      <c r="F177" s="116"/>
      <c r="G177" s="117"/>
      <c r="H177" s="117"/>
      <c r="J177" s="118"/>
      <c r="K177" s="118"/>
      <c r="L177" s="118"/>
    </row>
    <row r="178" spans="2:12" s="113" customFormat="1">
      <c r="B178" s="112"/>
      <c r="D178" s="115"/>
      <c r="E178" s="115"/>
      <c r="F178" s="116"/>
      <c r="G178" s="117"/>
      <c r="H178" s="117"/>
      <c r="J178" s="118"/>
      <c r="K178" s="118"/>
      <c r="L178" s="118"/>
    </row>
    <row r="179" spans="2:12" s="113" customFormat="1">
      <c r="B179" s="112"/>
      <c r="D179" s="115"/>
      <c r="E179" s="115"/>
      <c r="F179" s="116"/>
      <c r="G179" s="117"/>
      <c r="H179" s="117"/>
      <c r="J179" s="118"/>
      <c r="K179" s="118"/>
      <c r="L179" s="118"/>
    </row>
    <row r="180" spans="2:12" s="113" customFormat="1">
      <c r="B180" s="112"/>
      <c r="D180" s="115"/>
      <c r="E180" s="115"/>
      <c r="F180" s="116"/>
      <c r="G180" s="117"/>
      <c r="H180" s="117"/>
      <c r="J180" s="118"/>
      <c r="K180" s="118"/>
      <c r="L180" s="118"/>
    </row>
    <row r="181" spans="2:12" s="113" customFormat="1">
      <c r="B181" s="112"/>
      <c r="D181" s="115"/>
      <c r="E181" s="115"/>
      <c r="F181" s="116"/>
      <c r="G181" s="117"/>
      <c r="H181" s="117"/>
      <c r="J181" s="118"/>
      <c r="K181" s="118"/>
      <c r="L181" s="118"/>
    </row>
    <row r="182" spans="2:12" s="113" customFormat="1">
      <c r="B182" s="112"/>
      <c r="D182" s="115"/>
      <c r="E182" s="115"/>
      <c r="F182" s="116"/>
      <c r="G182" s="117"/>
      <c r="H182" s="117"/>
      <c r="J182" s="118"/>
      <c r="K182" s="118"/>
      <c r="L182" s="118"/>
    </row>
    <row r="183" spans="2:12" s="113" customFormat="1">
      <c r="B183" s="112"/>
      <c r="D183" s="115"/>
      <c r="E183" s="115"/>
      <c r="F183" s="116"/>
      <c r="G183" s="117"/>
      <c r="H183" s="117"/>
      <c r="J183" s="118"/>
      <c r="K183" s="118"/>
      <c r="L183" s="118"/>
    </row>
    <row r="184" spans="2:12" s="113" customFormat="1">
      <c r="B184" s="112"/>
      <c r="D184" s="115"/>
      <c r="E184" s="115"/>
      <c r="F184" s="116"/>
      <c r="G184" s="117"/>
      <c r="H184" s="117"/>
      <c r="J184" s="118"/>
      <c r="K184" s="118"/>
      <c r="L184" s="118"/>
    </row>
    <row r="185" spans="2:12" s="113" customFormat="1">
      <c r="B185" s="112"/>
      <c r="D185" s="115"/>
      <c r="E185" s="115"/>
      <c r="F185" s="116"/>
      <c r="G185" s="117"/>
      <c r="H185" s="117"/>
      <c r="J185" s="118"/>
      <c r="K185" s="118"/>
      <c r="L185" s="118"/>
    </row>
    <row r="186" spans="2:12" s="113" customFormat="1">
      <c r="B186" s="112"/>
      <c r="D186" s="115"/>
      <c r="E186" s="115"/>
      <c r="F186" s="116"/>
      <c r="G186" s="117"/>
      <c r="H186" s="117"/>
      <c r="J186" s="118"/>
      <c r="K186" s="118"/>
      <c r="L186" s="118"/>
    </row>
    <row r="187" spans="2:12" s="113" customFormat="1">
      <c r="B187" s="112"/>
      <c r="D187" s="115"/>
      <c r="E187" s="115"/>
      <c r="F187" s="116"/>
      <c r="G187" s="117"/>
      <c r="H187" s="117"/>
      <c r="J187" s="118"/>
      <c r="K187" s="118"/>
      <c r="L187" s="118"/>
    </row>
    <row r="188" spans="2:12" s="113" customFormat="1">
      <c r="B188" s="112"/>
      <c r="D188" s="115"/>
      <c r="E188" s="115"/>
      <c r="F188" s="116"/>
      <c r="G188" s="117"/>
      <c r="H188" s="117"/>
      <c r="J188" s="118"/>
      <c r="K188" s="118"/>
      <c r="L188" s="118"/>
    </row>
    <row r="189" spans="2:12" s="113" customFormat="1">
      <c r="B189" s="112"/>
      <c r="D189" s="115"/>
      <c r="E189" s="115"/>
      <c r="F189" s="116"/>
      <c r="G189" s="117"/>
      <c r="H189" s="117"/>
      <c r="J189" s="118"/>
      <c r="K189" s="118"/>
      <c r="L189" s="118"/>
    </row>
    <row r="190" spans="2:12" s="113" customFormat="1">
      <c r="B190" s="112"/>
      <c r="D190" s="115"/>
      <c r="E190" s="115"/>
      <c r="F190" s="116"/>
      <c r="G190" s="117"/>
      <c r="H190" s="117"/>
      <c r="J190" s="118"/>
      <c r="K190" s="118"/>
      <c r="L190" s="118"/>
    </row>
    <row r="191" spans="2:12" s="113" customFormat="1">
      <c r="B191" s="112"/>
      <c r="D191" s="115"/>
      <c r="E191" s="115"/>
      <c r="F191" s="116"/>
      <c r="G191" s="117"/>
      <c r="H191" s="117"/>
      <c r="J191" s="118"/>
      <c r="K191" s="118"/>
      <c r="L191" s="118"/>
    </row>
    <row r="192" spans="2:12" s="113" customFormat="1">
      <c r="B192" s="112"/>
      <c r="D192" s="115"/>
      <c r="E192" s="115"/>
      <c r="F192" s="116"/>
      <c r="G192" s="117"/>
      <c r="H192" s="117"/>
      <c r="J192" s="118"/>
      <c r="K192" s="118"/>
      <c r="L192" s="118"/>
    </row>
    <row r="193" spans="2:12" s="113" customFormat="1">
      <c r="B193" s="112"/>
      <c r="D193" s="115"/>
      <c r="E193" s="115"/>
      <c r="F193" s="116"/>
      <c r="G193" s="117"/>
      <c r="H193" s="117"/>
      <c r="J193" s="118"/>
      <c r="K193" s="118"/>
      <c r="L193" s="118"/>
    </row>
    <row r="194" spans="2:12" s="113" customFormat="1">
      <c r="B194" s="112"/>
      <c r="D194" s="115"/>
      <c r="E194" s="115"/>
      <c r="F194" s="116"/>
      <c r="G194" s="117"/>
      <c r="H194" s="117"/>
      <c r="J194" s="118"/>
      <c r="K194" s="118"/>
      <c r="L194" s="118"/>
    </row>
    <row r="195" spans="2:12" s="113" customFormat="1">
      <c r="B195" s="112"/>
      <c r="D195" s="115"/>
      <c r="E195" s="115"/>
      <c r="F195" s="116"/>
      <c r="G195" s="117"/>
      <c r="H195" s="117"/>
      <c r="J195" s="118"/>
      <c r="K195" s="118"/>
      <c r="L195" s="118"/>
    </row>
    <row r="196" spans="2:12" s="113" customFormat="1">
      <c r="B196" s="112"/>
      <c r="D196" s="115"/>
      <c r="E196" s="115"/>
      <c r="F196" s="116"/>
      <c r="G196" s="117"/>
      <c r="H196" s="117"/>
      <c r="J196" s="118"/>
      <c r="K196" s="118"/>
      <c r="L196" s="118"/>
    </row>
    <row r="197" spans="2:12" s="113" customFormat="1">
      <c r="B197" s="112"/>
      <c r="D197" s="115"/>
      <c r="E197" s="115"/>
      <c r="F197" s="116"/>
      <c r="G197" s="117"/>
      <c r="H197" s="117"/>
      <c r="J197" s="118"/>
      <c r="K197" s="118"/>
      <c r="L197" s="118"/>
    </row>
    <row r="198" spans="2:12" s="113" customFormat="1">
      <c r="B198" s="112"/>
      <c r="D198" s="115"/>
      <c r="E198" s="115"/>
      <c r="F198" s="116"/>
      <c r="G198" s="117"/>
      <c r="H198" s="117"/>
      <c r="J198" s="118"/>
      <c r="K198" s="118"/>
      <c r="L198" s="118"/>
    </row>
    <row r="199" spans="2:12" s="113" customFormat="1">
      <c r="B199" s="112"/>
      <c r="D199" s="115"/>
      <c r="E199" s="115"/>
      <c r="F199" s="116"/>
      <c r="G199" s="117"/>
      <c r="H199" s="117"/>
      <c r="J199" s="118"/>
      <c r="K199" s="118"/>
      <c r="L199" s="118"/>
    </row>
    <row r="200" spans="2:12" s="113" customFormat="1">
      <c r="B200" s="112"/>
      <c r="D200" s="115"/>
      <c r="E200" s="115"/>
      <c r="F200" s="116"/>
      <c r="G200" s="117"/>
      <c r="H200" s="117"/>
      <c r="J200" s="118"/>
      <c r="K200" s="118"/>
      <c r="L200" s="118"/>
    </row>
    <row r="201" spans="2:12" s="113" customFormat="1">
      <c r="B201" s="112"/>
      <c r="D201" s="115"/>
      <c r="E201" s="115"/>
      <c r="F201" s="116"/>
      <c r="G201" s="117"/>
      <c r="H201" s="117"/>
      <c r="J201" s="118"/>
      <c r="K201" s="118"/>
      <c r="L201" s="118"/>
    </row>
    <row r="202" spans="2:12" s="113" customFormat="1">
      <c r="B202" s="112"/>
      <c r="D202" s="115"/>
      <c r="E202" s="115"/>
      <c r="F202" s="116"/>
      <c r="G202" s="117"/>
      <c r="H202" s="117"/>
      <c r="J202" s="118"/>
      <c r="K202" s="118"/>
      <c r="L202" s="118"/>
    </row>
    <row r="203" spans="2:12" s="113" customFormat="1">
      <c r="B203" s="112"/>
      <c r="D203" s="115"/>
      <c r="E203" s="115"/>
      <c r="F203" s="116"/>
      <c r="G203" s="117"/>
      <c r="H203" s="117"/>
      <c r="J203" s="118"/>
      <c r="K203" s="118"/>
      <c r="L203" s="118"/>
    </row>
  </sheetData>
  <autoFilter ref="B4:H97" xr:uid="{00000000-0009-0000-0000-000003000000}"/>
  <mergeCells count="97">
    <mergeCell ref="B2:C2"/>
    <mergeCell ref="B5:C5"/>
    <mergeCell ref="B6:B9"/>
    <mergeCell ref="C6:C9"/>
    <mergeCell ref="D6:D9"/>
    <mergeCell ref="H6:H9"/>
    <mergeCell ref="B15:B18"/>
    <mergeCell ref="C15:C18"/>
    <mergeCell ref="D15:D18"/>
    <mergeCell ref="F15:F18"/>
    <mergeCell ref="H15:H18"/>
    <mergeCell ref="F6:F9"/>
    <mergeCell ref="B24:B27"/>
    <mergeCell ref="C24:C27"/>
    <mergeCell ref="D24:D27"/>
    <mergeCell ref="F24:F27"/>
    <mergeCell ref="H24:H27"/>
    <mergeCell ref="B20:B22"/>
    <mergeCell ref="C20:C22"/>
    <mergeCell ref="D20:D22"/>
    <mergeCell ref="F20:F22"/>
    <mergeCell ref="H20:H22"/>
    <mergeCell ref="B32:B35"/>
    <mergeCell ref="C32:C35"/>
    <mergeCell ref="D32:D35"/>
    <mergeCell ref="F32:F35"/>
    <mergeCell ref="H32:H35"/>
    <mergeCell ref="B28:B29"/>
    <mergeCell ref="C28:C29"/>
    <mergeCell ref="D28:D29"/>
    <mergeCell ref="F28:F29"/>
    <mergeCell ref="H28:H29"/>
    <mergeCell ref="B41:B43"/>
    <mergeCell ref="C41:C43"/>
    <mergeCell ref="D41:D43"/>
    <mergeCell ref="F41:F43"/>
    <mergeCell ref="H41:H43"/>
    <mergeCell ref="B36:B40"/>
    <mergeCell ref="C36:C40"/>
    <mergeCell ref="D36:D40"/>
    <mergeCell ref="F36:F40"/>
    <mergeCell ref="H36:H40"/>
    <mergeCell ref="B52:B59"/>
    <mergeCell ref="C52:C59"/>
    <mergeCell ref="D52:D59"/>
    <mergeCell ref="F52:F59"/>
    <mergeCell ref="H52:H59"/>
    <mergeCell ref="B48:B51"/>
    <mergeCell ref="C48:C51"/>
    <mergeCell ref="D48:D51"/>
    <mergeCell ref="F48:F51"/>
    <mergeCell ref="H48:H51"/>
    <mergeCell ref="B64:B71"/>
    <mergeCell ref="C64:C71"/>
    <mergeCell ref="D64:D71"/>
    <mergeCell ref="F64:F71"/>
    <mergeCell ref="H64:H71"/>
    <mergeCell ref="B60:B62"/>
    <mergeCell ref="C60:C62"/>
    <mergeCell ref="D60:D62"/>
    <mergeCell ref="F60:F62"/>
    <mergeCell ref="H60:H62"/>
    <mergeCell ref="B83:B84"/>
    <mergeCell ref="C83:C84"/>
    <mergeCell ref="D83:D84"/>
    <mergeCell ref="F83:F84"/>
    <mergeCell ref="H83:H84"/>
    <mergeCell ref="B75:B77"/>
    <mergeCell ref="C75:C77"/>
    <mergeCell ref="D75:D77"/>
    <mergeCell ref="F75:F77"/>
    <mergeCell ref="H75:H77"/>
    <mergeCell ref="B97:C97"/>
    <mergeCell ref="B98:C98"/>
    <mergeCell ref="B100:C100"/>
    <mergeCell ref="B102:B104"/>
    <mergeCell ref="C102:C104"/>
    <mergeCell ref="F102:F104"/>
    <mergeCell ref="H102:H104"/>
    <mergeCell ref="B105:B106"/>
    <mergeCell ref="C105:C106"/>
    <mergeCell ref="D105:D106"/>
    <mergeCell ref="F105:F106"/>
    <mergeCell ref="H105:H106"/>
    <mergeCell ref="D102:D104"/>
    <mergeCell ref="F109:F111"/>
    <mergeCell ref="H109:H111"/>
    <mergeCell ref="B117:B118"/>
    <mergeCell ref="C117:C118"/>
    <mergeCell ref="D117:D118"/>
    <mergeCell ref="F117:F118"/>
    <mergeCell ref="H117:H118"/>
    <mergeCell ref="B119:C119"/>
    <mergeCell ref="B120:C120"/>
    <mergeCell ref="B109:B111"/>
    <mergeCell ref="C109:C111"/>
    <mergeCell ref="D109:D111"/>
  </mergeCells>
  <printOptions horizontalCentered="1"/>
  <pageMargins left="0" right="0" top="0" bottom="0" header="0" footer="0"/>
  <pageSetup paperSize="9" scale="60" orientation="landscape" r:id="rId1"/>
  <rowBreaks count="2" manualBreakCount="2">
    <brk id="51" max="12" man="1"/>
    <brk id="98" max="1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I188"/>
  <sheetViews>
    <sheetView view="pageBreakPreview" topLeftCell="A52" zoomScale="80" zoomScaleNormal="86" zoomScaleSheetLayoutView="80" workbookViewId="0">
      <selection activeCell="D11" sqref="D11:D13"/>
    </sheetView>
  </sheetViews>
  <sheetFormatPr defaultColWidth="11.42578125" defaultRowHeight="15"/>
  <cols>
    <col min="1" max="1" width="1.85546875" style="113" customWidth="1"/>
    <col min="2" max="2" width="17" style="112" bestFit="1" customWidth="1"/>
    <col min="3" max="3" width="63.140625" style="113" bestFit="1" customWidth="1"/>
    <col min="4" max="4" width="17.85546875" style="115" bestFit="1" customWidth="1"/>
    <col min="5" max="5" width="17.140625" style="115" bestFit="1" customWidth="1"/>
    <col min="6" max="6" width="17.42578125" style="116" bestFit="1" customWidth="1"/>
    <col min="7" max="7" width="14.5703125" style="117" bestFit="1" customWidth="1"/>
    <col min="8" max="8" width="18" style="117" bestFit="1" customWidth="1"/>
    <col min="9" max="9" width="1.5703125" style="113" customWidth="1"/>
    <col min="10" max="10" width="11.5703125" style="118" bestFit="1" customWidth="1"/>
    <col min="11" max="11" width="19.85546875" style="118" customWidth="1"/>
    <col min="12" max="12" width="55" style="118" customWidth="1"/>
    <col min="13" max="13" width="16.28515625" style="118" customWidth="1"/>
    <col min="14" max="14" width="20.28515625" style="118" customWidth="1"/>
    <col min="15" max="15" width="20.7109375" style="118" customWidth="1"/>
    <col min="16" max="31" width="11.42578125" style="118"/>
    <col min="32" max="35" width="11.42578125" style="113"/>
    <col min="36" max="224" width="11.42578125" style="118"/>
    <col min="225" max="225" width="3.85546875" style="118" customWidth="1"/>
    <col min="226" max="226" width="9" style="118" customWidth="1"/>
    <col min="227" max="227" width="10.7109375" style="118" customWidth="1"/>
    <col min="228" max="228" width="9.140625" style="118" customWidth="1"/>
    <col min="229" max="229" width="11.7109375" style="118" customWidth="1"/>
    <col min="230" max="230" width="11.140625" style="118" customWidth="1"/>
    <col min="231" max="231" width="36.85546875" style="118" customWidth="1"/>
    <col min="232" max="232" width="22.28515625" style="118" customWidth="1"/>
    <col min="233" max="236" width="12.7109375" style="118" customWidth="1"/>
    <col min="237" max="16384" width="11.42578125" style="118"/>
  </cols>
  <sheetData>
    <row r="1" spans="2:31" s="113" customFormat="1">
      <c r="B1" s="112"/>
      <c r="D1" s="115"/>
      <c r="E1" s="115"/>
      <c r="F1" s="116"/>
      <c r="G1" s="117"/>
      <c r="H1" s="117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</row>
    <row r="2" spans="2:31" s="113" customFormat="1" ht="18.75" customHeight="1">
      <c r="B2" s="376" t="s">
        <v>196</v>
      </c>
      <c r="C2" s="376"/>
      <c r="D2" s="119"/>
      <c r="E2" s="119"/>
      <c r="F2" s="119"/>
      <c r="G2" s="119"/>
      <c r="H2" s="119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</row>
    <row r="3" spans="2:31" s="113" customFormat="1" ht="15.75" thickBot="1">
      <c r="B3" s="112"/>
      <c r="D3" s="115"/>
      <c r="E3" s="115"/>
      <c r="F3" s="116"/>
      <c r="G3" s="117"/>
      <c r="H3" s="117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</row>
    <row r="4" spans="2:31" ht="44.25" customHeight="1" thickBot="1">
      <c r="B4" s="120" t="s">
        <v>121</v>
      </c>
      <c r="C4" s="121" t="s">
        <v>122</v>
      </c>
      <c r="D4" s="121" t="s">
        <v>123</v>
      </c>
      <c r="E4" s="121" t="s">
        <v>124</v>
      </c>
      <c r="F4" s="121" t="s">
        <v>125</v>
      </c>
      <c r="G4" s="121" t="s">
        <v>126</v>
      </c>
      <c r="H4" s="121" t="s">
        <v>127</v>
      </c>
    </row>
    <row r="5" spans="2:31" ht="23.25" customHeight="1">
      <c r="B5" s="336" t="s">
        <v>128</v>
      </c>
      <c r="C5" s="337"/>
      <c r="D5" s="175"/>
      <c r="E5" s="175"/>
      <c r="F5" s="175"/>
      <c r="G5" s="175"/>
      <c r="H5" s="176"/>
    </row>
    <row r="6" spans="2:31" ht="23.25" customHeight="1">
      <c r="B6" s="384">
        <v>61223</v>
      </c>
      <c r="C6" s="418" t="s">
        <v>40</v>
      </c>
      <c r="D6" s="382">
        <f>350000-110000</f>
        <v>240000</v>
      </c>
      <c r="E6" s="130">
        <v>104000</v>
      </c>
      <c r="F6" s="382">
        <f>+D6-E6-E7-E8</f>
        <v>0</v>
      </c>
      <c r="G6" s="382">
        <v>240000</v>
      </c>
      <c r="H6" s="382">
        <f>+E6+E7+E8-G6</f>
        <v>0</v>
      </c>
    </row>
    <row r="7" spans="2:31" ht="17.25" customHeight="1">
      <c r="B7" s="386"/>
      <c r="C7" s="419"/>
      <c r="D7" s="347"/>
      <c r="E7" s="130">
        <v>106000</v>
      </c>
      <c r="F7" s="347"/>
      <c r="G7" s="347"/>
      <c r="H7" s="347"/>
    </row>
    <row r="8" spans="2:31" ht="17.25" customHeight="1">
      <c r="B8" s="170"/>
      <c r="C8" s="420"/>
      <c r="D8" s="383"/>
      <c r="E8" s="131">
        <v>30000</v>
      </c>
      <c r="F8" s="383"/>
      <c r="G8" s="383"/>
      <c r="H8" s="383"/>
    </row>
    <row r="9" spans="2:31" ht="18" customHeight="1">
      <c r="B9" s="177">
        <v>61227011</v>
      </c>
      <c r="C9" s="180" t="s">
        <v>129</v>
      </c>
      <c r="D9" s="140">
        <v>100000</v>
      </c>
      <c r="E9" s="140">
        <v>99999.07</v>
      </c>
      <c r="F9" s="140">
        <f>+D9-E9</f>
        <v>0.92999999999301508</v>
      </c>
      <c r="G9" s="131">
        <v>99999.07</v>
      </c>
      <c r="H9" s="140">
        <f>+E9-G9</f>
        <v>0</v>
      </c>
    </row>
    <row r="10" spans="2:31" ht="18" customHeight="1">
      <c r="B10" s="177">
        <v>61227012</v>
      </c>
      <c r="C10" s="180" t="s">
        <v>130</v>
      </c>
      <c r="D10" s="140">
        <f>40000-20000</f>
        <v>20000</v>
      </c>
      <c r="E10" s="140">
        <v>19997.57</v>
      </c>
      <c r="F10" s="140">
        <f>+D10-E10</f>
        <v>2.430000000000291</v>
      </c>
      <c r="G10" s="140">
        <v>19997.57</v>
      </c>
      <c r="H10" s="140">
        <f>+E10-G10</f>
        <v>0</v>
      </c>
    </row>
    <row r="11" spans="2:31" ht="27.75" customHeight="1">
      <c r="B11" s="177">
        <v>61227013</v>
      </c>
      <c r="C11" s="180" t="s">
        <v>131</v>
      </c>
      <c r="D11" s="405">
        <f>120000+110000+20000</f>
        <v>250000</v>
      </c>
      <c r="E11" s="140">
        <v>134741.64000000001</v>
      </c>
      <c r="F11" s="405">
        <f>+D11-E11-E12-E13</f>
        <v>12.999999999985448</v>
      </c>
      <c r="G11" s="405">
        <f>18000+E13+E11</f>
        <v>249987</v>
      </c>
      <c r="H11" s="405">
        <f>+E11+E12+E13-G11</f>
        <v>0</v>
      </c>
    </row>
    <row r="12" spans="2:31" ht="18" customHeight="1">
      <c r="B12" s="170"/>
      <c r="C12" s="181"/>
      <c r="D12" s="347"/>
      <c r="E12" s="129">
        <v>18000</v>
      </c>
      <c r="F12" s="347"/>
      <c r="G12" s="347"/>
      <c r="H12" s="347"/>
    </row>
    <row r="13" spans="2:31" ht="18" customHeight="1">
      <c r="B13" s="178"/>
      <c r="C13" s="182"/>
      <c r="D13" s="406"/>
      <c r="E13" s="183">
        <v>97245.36</v>
      </c>
      <c r="F13" s="406"/>
      <c r="G13" s="406"/>
      <c r="H13" s="406"/>
    </row>
    <row r="14" spans="2:31" ht="18" customHeight="1">
      <c r="B14" s="177">
        <v>61263</v>
      </c>
      <c r="C14" s="180" t="s">
        <v>133</v>
      </c>
      <c r="D14" s="131">
        <v>120000</v>
      </c>
      <c r="E14" s="131">
        <v>120000</v>
      </c>
      <c r="F14" s="140">
        <f>+D14-E14</f>
        <v>0</v>
      </c>
      <c r="G14" s="131">
        <v>120000</v>
      </c>
      <c r="H14" s="140">
        <f>+D14-G14</f>
        <v>0</v>
      </c>
    </row>
    <row r="15" spans="2:31" ht="18.75" customHeight="1">
      <c r="B15" s="384">
        <v>6131801</v>
      </c>
      <c r="C15" s="413" t="s">
        <v>134</v>
      </c>
      <c r="D15" s="405">
        <v>685000</v>
      </c>
      <c r="E15" s="140">
        <f>124500*4</f>
        <v>498000</v>
      </c>
      <c r="F15" s="382">
        <f>+D15-E15-E16-E17-E18-E19</f>
        <v>89500</v>
      </c>
      <c r="G15" s="382">
        <f>150000+139500+139500+'[5]PAIEMENTS BUDGET 2018'!Q13</f>
        <v>595500</v>
      </c>
      <c r="H15" s="382">
        <f>+E15+E16+E17+E18+E19-G15</f>
        <v>0</v>
      </c>
      <c r="L15" s="184" t="s">
        <v>184</v>
      </c>
      <c r="M15" s="185" t="s">
        <v>185</v>
      </c>
      <c r="N15" s="186">
        <v>41500</v>
      </c>
      <c r="Q15" s="118">
        <v>124500</v>
      </c>
    </row>
    <row r="16" spans="2:31" ht="18.75" customHeight="1">
      <c r="B16" s="407"/>
      <c r="C16" s="373"/>
      <c r="D16" s="416"/>
      <c r="E16" s="188">
        <f>9000*4</f>
        <v>36000</v>
      </c>
      <c r="F16" s="347"/>
      <c r="G16" s="347"/>
      <c r="H16" s="405"/>
      <c r="L16" s="189"/>
      <c r="M16" s="190" t="s">
        <v>186</v>
      </c>
      <c r="N16" s="191">
        <v>2000</v>
      </c>
      <c r="Q16" s="118">
        <v>10500</v>
      </c>
    </row>
    <row r="17" spans="2:18" ht="18.75" customHeight="1">
      <c r="B17" s="411"/>
      <c r="C17" s="374"/>
      <c r="D17" s="416"/>
      <c r="E17" s="188">
        <f>6000*4</f>
        <v>24000</v>
      </c>
      <c r="F17" s="347"/>
      <c r="G17" s="347"/>
      <c r="H17" s="416"/>
      <c r="L17" s="192" t="s">
        <v>188</v>
      </c>
      <c r="M17" s="190" t="s">
        <v>187</v>
      </c>
      <c r="N17" s="191">
        <v>2000</v>
      </c>
      <c r="Q17" s="118">
        <v>6000</v>
      </c>
    </row>
    <row r="18" spans="2:18" ht="18.75" customHeight="1">
      <c r="B18" s="412"/>
      <c r="C18" s="414"/>
      <c r="D18" s="417"/>
      <c r="E18" s="193">
        <v>10500</v>
      </c>
      <c r="F18" s="347"/>
      <c r="G18" s="347"/>
      <c r="H18" s="417"/>
      <c r="L18" s="194"/>
      <c r="M18" s="195"/>
      <c r="N18" s="196"/>
    </row>
    <row r="19" spans="2:18" ht="18.75" customHeight="1">
      <c r="B19" s="408"/>
      <c r="C19" s="415"/>
      <c r="D19" s="406"/>
      <c r="E19" s="183">
        <v>27000</v>
      </c>
      <c r="F19" s="383"/>
      <c r="G19" s="383"/>
      <c r="H19" s="406"/>
      <c r="L19" s="197" t="s">
        <v>190</v>
      </c>
      <c r="M19" s="198" t="s">
        <v>189</v>
      </c>
      <c r="N19" s="199">
        <v>3500</v>
      </c>
      <c r="Q19" s="118">
        <v>3500</v>
      </c>
    </row>
    <row r="20" spans="2:18" ht="18" customHeight="1">
      <c r="B20" s="177">
        <v>6133111</v>
      </c>
      <c r="C20" s="180" t="s">
        <v>135</v>
      </c>
      <c r="D20" s="131">
        <v>50000</v>
      </c>
      <c r="E20" s="166">
        <v>49999.199999999997</v>
      </c>
      <c r="F20" s="140">
        <f>+D20-E20</f>
        <v>0.80000000000291038</v>
      </c>
      <c r="G20" s="131">
        <v>49999.199999999997</v>
      </c>
      <c r="H20" s="140">
        <f>+E20-G20</f>
        <v>0</v>
      </c>
      <c r="N20" s="200">
        <f>SUM(N15:N19)</f>
        <v>49000</v>
      </c>
      <c r="Q20" s="118">
        <f>SUM(Q15:Q19)</f>
        <v>144500</v>
      </c>
      <c r="R20" s="118">
        <f>Q20*3</f>
        <v>433500</v>
      </c>
    </row>
    <row r="21" spans="2:18" ht="18" customHeight="1">
      <c r="B21" s="407">
        <v>6133221</v>
      </c>
      <c r="C21" s="409" t="s">
        <v>136</v>
      </c>
      <c r="D21" s="405">
        <v>200000</v>
      </c>
      <c r="E21" s="140">
        <v>60000</v>
      </c>
      <c r="F21" s="405">
        <f>+D21-E21-E22</f>
        <v>0</v>
      </c>
      <c r="G21" s="405">
        <v>200000</v>
      </c>
      <c r="H21" s="405">
        <f>+E21+E22-G21</f>
        <v>0</v>
      </c>
    </row>
    <row r="22" spans="2:18" ht="18" customHeight="1">
      <c r="B22" s="408"/>
      <c r="C22" s="410"/>
      <c r="D22" s="406"/>
      <c r="E22" s="183">
        <v>140000</v>
      </c>
      <c r="F22" s="406"/>
      <c r="G22" s="406"/>
      <c r="H22" s="406"/>
    </row>
    <row r="23" spans="2:18" ht="18" customHeight="1">
      <c r="B23" s="170">
        <v>6133231</v>
      </c>
      <c r="C23" s="128" t="s">
        <v>137</v>
      </c>
      <c r="D23" s="129">
        <v>10000</v>
      </c>
      <c r="E23" s="129">
        <v>9999.6</v>
      </c>
      <c r="F23" s="179">
        <f>D23-E23</f>
        <v>0.3999999999996362</v>
      </c>
      <c r="G23" s="179">
        <v>9999.6</v>
      </c>
      <c r="H23" s="179">
        <f>+E23-G23</f>
        <v>0</v>
      </c>
    </row>
    <row r="24" spans="2:18" s="113" customFormat="1" ht="18" customHeight="1">
      <c r="B24" s="384">
        <v>6133241</v>
      </c>
      <c r="C24" s="387" t="s">
        <v>138</v>
      </c>
      <c r="D24" s="382">
        <f>80000-40000</f>
        <v>40000</v>
      </c>
      <c r="E24" s="140">
        <f>55000/2</f>
        <v>27500</v>
      </c>
      <c r="F24" s="382">
        <f>+D24-E24-E25</f>
        <v>0</v>
      </c>
      <c r="G24" s="382">
        <v>40000</v>
      </c>
      <c r="H24" s="382">
        <f>+E24+E25-G24</f>
        <v>0</v>
      </c>
    </row>
    <row r="25" spans="2:18" s="113" customFormat="1" ht="18" customHeight="1">
      <c r="B25" s="386"/>
      <c r="C25" s="388"/>
      <c r="D25" s="383"/>
      <c r="E25" s="131">
        <f>25000/2</f>
        <v>12500</v>
      </c>
      <c r="F25" s="383"/>
      <c r="G25" s="383"/>
      <c r="H25" s="383"/>
    </row>
    <row r="26" spans="2:18" ht="18" customHeight="1">
      <c r="B26" s="384">
        <v>61335</v>
      </c>
      <c r="C26" s="387" t="s">
        <v>55</v>
      </c>
      <c r="D26" s="382">
        <f>50000+40000</f>
        <v>90000</v>
      </c>
      <c r="E26" s="130">
        <v>23400</v>
      </c>
      <c r="F26" s="382">
        <f>+D26-E26-E27-E28</f>
        <v>3.1999999999970896</v>
      </c>
      <c r="G26" s="382">
        <v>11700</v>
      </c>
      <c r="H26" s="382">
        <f>+E26+E27+E28-G26</f>
        <v>78296.800000000003</v>
      </c>
    </row>
    <row r="27" spans="2:18" ht="18" customHeight="1">
      <c r="B27" s="385"/>
      <c r="C27" s="344"/>
      <c r="D27" s="347"/>
      <c r="E27" s="131">
        <v>26596.799999999999</v>
      </c>
      <c r="F27" s="347"/>
      <c r="G27" s="347"/>
      <c r="H27" s="347"/>
    </row>
    <row r="28" spans="2:18" ht="18" customHeight="1">
      <c r="B28" s="386"/>
      <c r="C28" s="388"/>
      <c r="D28" s="383"/>
      <c r="E28" s="131">
        <v>40000</v>
      </c>
      <c r="F28" s="383"/>
      <c r="G28" s="383"/>
      <c r="H28" s="383"/>
    </row>
    <row r="29" spans="2:18" ht="18" customHeight="1">
      <c r="B29" s="203">
        <v>6134121</v>
      </c>
      <c r="C29" s="204" t="s">
        <v>139</v>
      </c>
      <c r="D29" s="166">
        <v>25000</v>
      </c>
      <c r="E29" s="166">
        <v>19975</v>
      </c>
      <c r="F29" s="166">
        <f>D29-E29</f>
        <v>5025</v>
      </c>
      <c r="G29" s="166">
        <v>19975</v>
      </c>
      <c r="H29" s="166">
        <f>+E29-G29</f>
        <v>0</v>
      </c>
    </row>
    <row r="30" spans="2:18" ht="18" customHeight="1">
      <c r="B30" s="203">
        <v>6134501</v>
      </c>
      <c r="C30" s="204" t="s">
        <v>58</v>
      </c>
      <c r="D30" s="166">
        <v>50000</v>
      </c>
      <c r="E30" s="166">
        <f>11158.17+25054.62</f>
        <v>36212.79</v>
      </c>
      <c r="F30" s="166">
        <f>D30-E30</f>
        <v>13787.21</v>
      </c>
      <c r="G30" s="166">
        <f>11158.17+25054.62</f>
        <v>36212.79</v>
      </c>
      <c r="H30" s="166">
        <f>+E30-G30</f>
        <v>0</v>
      </c>
    </row>
    <row r="31" spans="2:18" ht="18" customHeight="1">
      <c r="B31" s="187">
        <v>61354</v>
      </c>
      <c r="C31" s="201" t="s">
        <v>140</v>
      </c>
      <c r="D31" s="140">
        <v>292800</v>
      </c>
      <c r="E31" s="140">
        <f>222421.23+70334.1</f>
        <v>292755.33</v>
      </c>
      <c r="F31" s="166">
        <f>D31-E31</f>
        <v>44.669999999983702</v>
      </c>
      <c r="G31" s="140">
        <v>222421.23</v>
      </c>
      <c r="H31" s="140">
        <f>+E31-G31</f>
        <v>70334.100000000006</v>
      </c>
    </row>
    <row r="32" spans="2:18" ht="18" customHeight="1">
      <c r="B32" s="187">
        <v>61355</v>
      </c>
      <c r="C32" s="201" t="s">
        <v>141</v>
      </c>
      <c r="D32" s="140">
        <v>77735</v>
      </c>
      <c r="E32" s="140">
        <f>58058.19+19600.84</f>
        <v>77659.03</v>
      </c>
      <c r="F32" s="166">
        <f>D32-E32</f>
        <v>75.970000000001164</v>
      </c>
      <c r="G32" s="140">
        <v>77659.03</v>
      </c>
      <c r="H32" s="140">
        <f>+E32-G32</f>
        <v>0</v>
      </c>
    </row>
    <row r="33" spans="2:31" s="113" customFormat="1" ht="18" customHeight="1">
      <c r="B33" s="177">
        <v>6136501</v>
      </c>
      <c r="C33" s="180" t="s">
        <v>142</v>
      </c>
      <c r="D33" s="382">
        <v>150000</v>
      </c>
      <c r="E33" s="140">
        <v>48000</v>
      </c>
      <c r="F33" s="405">
        <f>D33-E33-E35-E34</f>
        <v>0</v>
      </c>
      <c r="G33" s="405">
        <f>48000+50000</f>
        <v>98000</v>
      </c>
      <c r="H33" s="382">
        <f>+E33+E35+E34-G33</f>
        <v>52000</v>
      </c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</row>
    <row r="34" spans="2:31" s="113" customFormat="1" ht="18" customHeight="1">
      <c r="B34" s="170"/>
      <c r="C34" s="181"/>
      <c r="D34" s="347"/>
      <c r="E34" s="129">
        <v>52000</v>
      </c>
      <c r="F34" s="347"/>
      <c r="G34" s="347"/>
      <c r="H34" s="347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</row>
    <row r="35" spans="2:31" ht="18" customHeight="1">
      <c r="B35" s="178"/>
      <c r="C35" s="182"/>
      <c r="D35" s="383"/>
      <c r="E35" s="183">
        <v>50000</v>
      </c>
      <c r="F35" s="406"/>
      <c r="G35" s="406"/>
      <c r="H35" s="383"/>
    </row>
    <row r="36" spans="2:31" ht="18" customHeight="1">
      <c r="B36" s="203">
        <v>61415</v>
      </c>
      <c r="C36" s="204" t="s">
        <v>143</v>
      </c>
      <c r="D36" s="166">
        <v>30000</v>
      </c>
      <c r="E36" s="166">
        <v>30000</v>
      </c>
      <c r="F36" s="166">
        <f>D36-E36</f>
        <v>0</v>
      </c>
      <c r="G36" s="166">
        <v>30000</v>
      </c>
      <c r="H36" s="166">
        <f>+E36-G36</f>
        <v>0</v>
      </c>
    </row>
    <row r="37" spans="2:31" ht="18" customHeight="1">
      <c r="B37" s="203">
        <v>6141601</v>
      </c>
      <c r="C37" s="204" t="s">
        <v>144</v>
      </c>
      <c r="D37" s="166">
        <v>30000</v>
      </c>
      <c r="E37" s="166">
        <v>30000</v>
      </c>
      <c r="F37" s="166">
        <f t="shared" ref="F37:F45" si="0">D37-E37</f>
        <v>0</v>
      </c>
      <c r="G37" s="166">
        <f>+E37</f>
        <v>30000</v>
      </c>
      <c r="H37" s="166">
        <f>+E37-G37</f>
        <v>0</v>
      </c>
    </row>
    <row r="38" spans="2:31" ht="32.25" customHeight="1">
      <c r="B38" s="203">
        <v>6143701</v>
      </c>
      <c r="C38" s="204" t="s">
        <v>145</v>
      </c>
      <c r="D38" s="166">
        <v>80000</v>
      </c>
      <c r="E38" s="166">
        <v>79992</v>
      </c>
      <c r="F38" s="166">
        <f t="shared" si="0"/>
        <v>8</v>
      </c>
      <c r="G38" s="166">
        <v>0</v>
      </c>
      <c r="H38" s="166">
        <f>+E38-G38</f>
        <v>79992</v>
      </c>
    </row>
    <row r="39" spans="2:31" ht="18" customHeight="1">
      <c r="B39" s="177">
        <v>61425</v>
      </c>
      <c r="C39" s="180" t="s">
        <v>146</v>
      </c>
      <c r="D39" s="131">
        <v>10000</v>
      </c>
      <c r="E39" s="131">
        <v>9996</v>
      </c>
      <c r="F39" s="131">
        <f t="shared" si="0"/>
        <v>4</v>
      </c>
      <c r="G39" s="131">
        <v>0</v>
      </c>
      <c r="H39" s="166">
        <f>+E39-G39</f>
        <v>9996</v>
      </c>
    </row>
    <row r="40" spans="2:31" ht="18.75" customHeight="1">
      <c r="B40" s="384">
        <v>6143101</v>
      </c>
      <c r="C40" s="387" t="s">
        <v>64</v>
      </c>
      <c r="D40" s="382">
        <f>600000+10000+50000+30000</f>
        <v>690000</v>
      </c>
      <c r="E40" s="166">
        <v>20000</v>
      </c>
      <c r="F40" s="382">
        <f>D40-E40-E41</f>
        <v>0</v>
      </c>
      <c r="G40" s="382">
        <f>+E40+E41</f>
        <v>690000</v>
      </c>
      <c r="H40" s="382">
        <f>+E40+E41-G40</f>
        <v>0</v>
      </c>
    </row>
    <row r="41" spans="2:31" ht="18.75" customHeight="1">
      <c r="B41" s="386"/>
      <c r="C41" s="388"/>
      <c r="D41" s="383"/>
      <c r="E41" s="131">
        <f>515320+154680</f>
        <v>670000</v>
      </c>
      <c r="F41" s="383"/>
      <c r="G41" s="383"/>
      <c r="H41" s="383"/>
    </row>
    <row r="42" spans="2:31" ht="18" hidden="1" customHeight="1">
      <c r="B42" s="203">
        <v>6143102</v>
      </c>
      <c r="C42" s="180" t="s">
        <v>147</v>
      </c>
      <c r="D42" s="131">
        <v>0</v>
      </c>
      <c r="E42" s="131">
        <v>0</v>
      </c>
      <c r="F42" s="166">
        <f t="shared" si="0"/>
        <v>0</v>
      </c>
      <c r="G42" s="131">
        <v>0</v>
      </c>
      <c r="H42" s="131">
        <f>+E42-G42</f>
        <v>0</v>
      </c>
    </row>
    <row r="43" spans="2:31" ht="18" customHeight="1">
      <c r="B43" s="177">
        <v>6143103</v>
      </c>
      <c r="C43" s="387" t="s">
        <v>148</v>
      </c>
      <c r="D43" s="382">
        <f>30000-10000</f>
        <v>20000</v>
      </c>
      <c r="E43" s="140">
        <v>8000</v>
      </c>
      <c r="F43" s="382">
        <f>D43-E43-E44</f>
        <v>0</v>
      </c>
      <c r="G43" s="382">
        <v>20000</v>
      </c>
      <c r="H43" s="382">
        <f>+E43+E44-G43</f>
        <v>0</v>
      </c>
    </row>
    <row r="44" spans="2:31" ht="18" customHeight="1">
      <c r="B44" s="177"/>
      <c r="C44" s="344"/>
      <c r="D44" s="347"/>
      <c r="E44" s="140">
        <v>12000</v>
      </c>
      <c r="F44" s="347"/>
      <c r="G44" s="347"/>
      <c r="H44" s="347"/>
    </row>
    <row r="45" spans="2:31" ht="18" hidden="1" customHeight="1">
      <c r="B45" s="177">
        <v>6143531</v>
      </c>
      <c r="C45" s="202" t="s">
        <v>191</v>
      </c>
      <c r="D45" s="131">
        <v>0</v>
      </c>
      <c r="E45" s="140">
        <v>0</v>
      </c>
      <c r="F45" s="166">
        <f t="shared" si="0"/>
        <v>0</v>
      </c>
      <c r="G45" s="131">
        <v>0</v>
      </c>
      <c r="H45" s="131">
        <f>+E45-G45</f>
        <v>0</v>
      </c>
    </row>
    <row r="46" spans="2:31" ht="18" customHeight="1">
      <c r="B46" s="205">
        <v>6143601</v>
      </c>
      <c r="C46" s="206" t="s">
        <v>149</v>
      </c>
      <c r="D46" s="131">
        <v>180000</v>
      </c>
      <c r="E46" s="140">
        <v>179960</v>
      </c>
      <c r="F46" s="131">
        <f>D46-E46</f>
        <v>40</v>
      </c>
      <c r="G46" s="131">
        <v>179960</v>
      </c>
      <c r="H46" s="131">
        <f>+E46-G46</f>
        <v>0</v>
      </c>
    </row>
    <row r="47" spans="2:31" ht="18" customHeight="1">
      <c r="B47" s="177">
        <v>6144101</v>
      </c>
      <c r="C47" s="180" t="s">
        <v>150</v>
      </c>
      <c r="D47" s="382">
        <f>40000+54000</f>
        <v>94000</v>
      </c>
      <c r="E47" s="140">
        <v>9000</v>
      </c>
      <c r="F47" s="382">
        <f>D47-E47-E48-E49-E50-E51-E52-E53-E54</f>
        <v>23800</v>
      </c>
      <c r="G47" s="382">
        <f>+E47+E48+E49+E50+E54+E51+E52+E53</f>
        <v>70200</v>
      </c>
      <c r="H47" s="382">
        <f>+E47+E48+E49+E50+E51+E52+E53+E54-G47</f>
        <v>0</v>
      </c>
      <c r="J47" s="200"/>
    </row>
    <row r="48" spans="2:31" ht="18" customHeight="1">
      <c r="B48" s="170"/>
      <c r="C48" s="181"/>
      <c r="D48" s="347"/>
      <c r="E48" s="188">
        <v>9000</v>
      </c>
      <c r="F48" s="347"/>
      <c r="G48" s="347"/>
      <c r="H48" s="347"/>
    </row>
    <row r="49" spans="2:10" ht="18" customHeight="1">
      <c r="B49" s="170"/>
      <c r="C49" s="181"/>
      <c r="D49" s="347"/>
      <c r="E49" s="188">
        <v>9600</v>
      </c>
      <c r="F49" s="347"/>
      <c r="G49" s="347"/>
      <c r="H49" s="347"/>
      <c r="J49" s="200"/>
    </row>
    <row r="50" spans="2:10" ht="18" customHeight="1">
      <c r="B50" s="170"/>
      <c r="C50" s="181"/>
      <c r="D50" s="347"/>
      <c r="E50" s="188">
        <v>7200</v>
      </c>
      <c r="F50" s="347"/>
      <c r="G50" s="347"/>
      <c r="H50" s="347"/>
    </row>
    <row r="51" spans="2:10" ht="18" customHeight="1">
      <c r="B51" s="170"/>
      <c r="C51" s="181"/>
      <c r="D51" s="347"/>
      <c r="E51" s="188">
        <v>9000</v>
      </c>
      <c r="F51" s="347"/>
      <c r="G51" s="347"/>
      <c r="H51" s="347"/>
    </row>
    <row r="52" spans="2:10" ht="18" customHeight="1">
      <c r="B52" s="170"/>
      <c r="C52" s="181"/>
      <c r="D52" s="347"/>
      <c r="E52" s="188">
        <v>9000</v>
      </c>
      <c r="F52" s="347"/>
      <c r="G52" s="347"/>
      <c r="H52" s="347"/>
    </row>
    <row r="53" spans="2:10" ht="18" customHeight="1">
      <c r="B53" s="170"/>
      <c r="C53" s="181"/>
      <c r="D53" s="347"/>
      <c r="E53" s="188">
        <v>9000</v>
      </c>
      <c r="F53" s="347"/>
      <c r="G53" s="347"/>
      <c r="H53" s="347"/>
    </row>
    <row r="54" spans="2:10" ht="18" customHeight="1">
      <c r="B54" s="170"/>
      <c r="C54" s="181"/>
      <c r="D54" s="347"/>
      <c r="E54" s="188">
        <v>8400</v>
      </c>
      <c r="F54" s="347"/>
      <c r="G54" s="347"/>
      <c r="H54" s="347"/>
    </row>
    <row r="55" spans="2:10" ht="18" customHeight="1">
      <c r="B55" s="177">
        <v>6144401</v>
      </c>
      <c r="C55" s="180" t="s">
        <v>79</v>
      </c>
      <c r="D55" s="140">
        <f>80000-54000</f>
        <v>26000</v>
      </c>
      <c r="E55" s="140">
        <v>25992</v>
      </c>
      <c r="F55" s="140">
        <f>D55-E55</f>
        <v>8</v>
      </c>
      <c r="G55" s="140">
        <v>25992</v>
      </c>
      <c r="H55" s="140">
        <f>+E55-G55</f>
        <v>0</v>
      </c>
    </row>
    <row r="56" spans="2:10" ht="18" customHeight="1">
      <c r="B56" s="177">
        <v>6145101</v>
      </c>
      <c r="C56" s="180" t="s">
        <v>70</v>
      </c>
      <c r="D56" s="131">
        <v>10000</v>
      </c>
      <c r="E56" s="140">
        <v>10000</v>
      </c>
      <c r="F56" s="140">
        <f t="shared" ref="F56:F63" si="1">D56-E56</f>
        <v>0</v>
      </c>
      <c r="G56" s="131">
        <v>10000</v>
      </c>
      <c r="H56" s="131">
        <f>+E56-G56</f>
        <v>0</v>
      </c>
    </row>
    <row r="57" spans="2:10" ht="18" customHeight="1">
      <c r="B57" s="384">
        <v>6145501</v>
      </c>
      <c r="C57" s="387" t="s">
        <v>152</v>
      </c>
      <c r="D57" s="382">
        <v>220000</v>
      </c>
      <c r="E57" s="140">
        <v>90000</v>
      </c>
      <c r="F57" s="382">
        <f>D57-E57-E58</f>
        <v>0</v>
      </c>
      <c r="G57" s="382">
        <f>+E57+E58</f>
        <v>220000</v>
      </c>
      <c r="H57" s="382">
        <f>+E57+E58-G57</f>
        <v>0</v>
      </c>
    </row>
    <row r="58" spans="2:10" ht="18" customHeight="1">
      <c r="B58" s="386"/>
      <c r="C58" s="388"/>
      <c r="D58" s="383"/>
      <c r="E58" s="131">
        <v>130000</v>
      </c>
      <c r="F58" s="383"/>
      <c r="G58" s="383"/>
      <c r="H58" s="383"/>
    </row>
    <row r="59" spans="2:10" ht="26.25" customHeight="1">
      <c r="B59" s="177" t="s">
        <v>153</v>
      </c>
      <c r="C59" s="180" t="s">
        <v>154</v>
      </c>
      <c r="D59" s="131">
        <v>3000000</v>
      </c>
      <c r="E59" s="131">
        <v>2088358.31</v>
      </c>
      <c r="F59" s="140">
        <f t="shared" si="1"/>
        <v>911641.69</v>
      </c>
      <c r="G59" s="131">
        <f>+E59</f>
        <v>2088358.31</v>
      </c>
      <c r="H59" s="131">
        <f t="shared" ref="H59:H64" si="2">+E59-G59</f>
        <v>0</v>
      </c>
    </row>
    <row r="60" spans="2:10" ht="18" customHeight="1">
      <c r="B60" s="177">
        <v>6167301</v>
      </c>
      <c r="C60" s="180" t="s">
        <v>155</v>
      </c>
      <c r="D60" s="131">
        <v>60000</v>
      </c>
      <c r="E60" s="131">
        <v>14578</v>
      </c>
      <c r="F60" s="140">
        <f t="shared" si="1"/>
        <v>45422</v>
      </c>
      <c r="G60" s="131">
        <f>+E60</f>
        <v>14578</v>
      </c>
      <c r="H60" s="131">
        <f t="shared" si="2"/>
        <v>0</v>
      </c>
    </row>
    <row r="61" spans="2:10" ht="18" customHeight="1">
      <c r="B61" s="203">
        <v>61745</v>
      </c>
      <c r="C61" s="204" t="s">
        <v>156</v>
      </c>
      <c r="D61" s="166">
        <v>60000</v>
      </c>
      <c r="E61" s="166">
        <v>54920.04</v>
      </c>
      <c r="F61" s="140">
        <f t="shared" si="1"/>
        <v>5079.9599999999991</v>
      </c>
      <c r="G61" s="166">
        <f>+E61</f>
        <v>54920.04</v>
      </c>
      <c r="H61" s="131">
        <f t="shared" si="2"/>
        <v>0</v>
      </c>
    </row>
    <row r="62" spans="2:10" s="113" customFormat="1" ht="18" customHeight="1">
      <c r="B62" s="177">
        <v>617640</v>
      </c>
      <c r="C62" s="180" t="s">
        <v>157</v>
      </c>
      <c r="D62" s="140">
        <v>10000</v>
      </c>
      <c r="E62" s="140">
        <v>9996</v>
      </c>
      <c r="F62" s="140">
        <f t="shared" si="1"/>
        <v>4</v>
      </c>
      <c r="G62" s="166">
        <v>0</v>
      </c>
      <c r="H62" s="131">
        <f t="shared" si="2"/>
        <v>9996</v>
      </c>
    </row>
    <row r="63" spans="2:10" ht="18" customHeight="1">
      <c r="B63" s="203">
        <v>617660</v>
      </c>
      <c r="C63" s="204" t="s">
        <v>158</v>
      </c>
      <c r="D63" s="166">
        <v>20000</v>
      </c>
      <c r="E63" s="166">
        <v>20000</v>
      </c>
      <c r="F63" s="140">
        <f t="shared" si="1"/>
        <v>0</v>
      </c>
      <c r="G63" s="166">
        <v>0</v>
      </c>
      <c r="H63" s="131">
        <f t="shared" si="2"/>
        <v>20000</v>
      </c>
    </row>
    <row r="64" spans="2:10" ht="18" customHeight="1">
      <c r="B64" s="177">
        <v>6176811</v>
      </c>
      <c r="C64" s="180" t="s">
        <v>26</v>
      </c>
      <c r="D64" s="131">
        <v>245000</v>
      </c>
      <c r="E64" s="140">
        <v>199800</v>
      </c>
      <c r="F64" s="131">
        <f>D64-E64</f>
        <v>45200</v>
      </c>
      <c r="G64" s="131">
        <v>0</v>
      </c>
      <c r="H64" s="131">
        <f t="shared" si="2"/>
        <v>199800</v>
      </c>
    </row>
    <row r="65" spans="1:35" ht="18" customHeight="1">
      <c r="B65" s="338" t="s">
        <v>168</v>
      </c>
      <c r="C65" s="339"/>
      <c r="D65" s="149">
        <f>SUM(D6:D64)</f>
        <v>7185535</v>
      </c>
      <c r="E65" s="149">
        <f>SUM(E6:E64)</f>
        <v>6045873.7400000002</v>
      </c>
      <c r="F65" s="149">
        <f>SUM(F6:F64)</f>
        <v>1139661.2599999998</v>
      </c>
      <c r="G65" s="149">
        <f>SUM(G6:G64)</f>
        <v>5525458.8400000008</v>
      </c>
      <c r="H65" s="149">
        <f>SUM(H6:H64)</f>
        <v>520414.9</v>
      </c>
    </row>
    <row r="66" spans="1:35" s="150" customFormat="1" ht="18" customHeight="1">
      <c r="B66" s="207"/>
      <c r="C66" s="208"/>
      <c r="D66" s="210"/>
      <c r="E66" s="210"/>
      <c r="F66" s="210"/>
      <c r="G66" s="210"/>
      <c r="H66" s="210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</row>
    <row r="67" spans="1:35" s="150" customFormat="1" ht="18" customHeight="1">
      <c r="B67" s="153"/>
      <c r="C67" s="154"/>
      <c r="D67" s="156"/>
      <c r="E67" s="156"/>
      <c r="F67" s="156"/>
      <c r="G67" s="156"/>
      <c r="H67" s="156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</row>
    <row r="68" spans="1:35" ht="18" customHeight="1">
      <c r="B68" s="338" t="s">
        <v>170</v>
      </c>
      <c r="C68" s="339"/>
      <c r="D68" s="211"/>
      <c r="E68" s="211"/>
      <c r="F68" s="211"/>
      <c r="G68" s="211"/>
      <c r="H68" s="212"/>
    </row>
    <row r="69" spans="1:35" ht="18" customHeight="1">
      <c r="B69" s="213">
        <v>22101</v>
      </c>
      <c r="C69" s="214" t="s">
        <v>171</v>
      </c>
      <c r="D69" s="167">
        <v>250000</v>
      </c>
      <c r="E69" s="167">
        <v>0</v>
      </c>
      <c r="F69" s="167">
        <f>D69-E69</f>
        <v>250000</v>
      </c>
      <c r="G69" s="167">
        <v>0</v>
      </c>
      <c r="H69" s="167">
        <f>+E69-G69</f>
        <v>0</v>
      </c>
    </row>
    <row r="70" spans="1:35" s="165" customFormat="1" ht="18" customHeight="1">
      <c r="A70" s="163"/>
      <c r="B70" s="401">
        <v>221023</v>
      </c>
      <c r="C70" s="403" t="s">
        <v>172</v>
      </c>
      <c r="D70" s="397">
        <v>600000</v>
      </c>
      <c r="E70" s="167">
        <v>98160</v>
      </c>
      <c r="F70" s="397">
        <f>D70-E70-E71</f>
        <v>351840</v>
      </c>
      <c r="G70" s="397">
        <v>98160</v>
      </c>
      <c r="H70" s="397">
        <f>+E70+E71-G70</f>
        <v>150000</v>
      </c>
      <c r="I70" s="163"/>
      <c r="AF70" s="163"/>
      <c r="AG70" s="163"/>
      <c r="AH70" s="163"/>
      <c r="AI70" s="163"/>
    </row>
    <row r="71" spans="1:35" s="165" customFormat="1" ht="18" customHeight="1">
      <c r="A71" s="163"/>
      <c r="B71" s="402"/>
      <c r="C71" s="404"/>
      <c r="D71" s="398"/>
      <c r="E71" s="167">
        <v>150000</v>
      </c>
      <c r="F71" s="398"/>
      <c r="G71" s="398"/>
      <c r="H71" s="398"/>
      <c r="I71" s="163"/>
      <c r="AF71" s="163"/>
      <c r="AG71" s="163"/>
      <c r="AH71" s="163"/>
      <c r="AI71" s="163"/>
    </row>
    <row r="72" spans="1:35" s="165" customFormat="1" ht="18" customHeight="1">
      <c r="A72" s="163"/>
      <c r="B72" s="187">
        <v>221030</v>
      </c>
      <c r="C72" s="399" t="s">
        <v>173</v>
      </c>
      <c r="D72" s="397">
        <v>800000</v>
      </c>
      <c r="E72" s="167">
        <v>270000</v>
      </c>
      <c r="F72" s="397">
        <f>D72-E72-E73</f>
        <v>80000</v>
      </c>
      <c r="G72" s="397">
        <v>0</v>
      </c>
      <c r="H72" s="397">
        <f>+E72+E73-G72</f>
        <v>720000</v>
      </c>
      <c r="I72" s="163"/>
      <c r="AF72" s="163"/>
      <c r="AG72" s="163"/>
      <c r="AH72" s="163"/>
      <c r="AI72" s="163"/>
    </row>
    <row r="73" spans="1:35" s="165" customFormat="1" ht="18" customHeight="1">
      <c r="A73" s="163"/>
      <c r="B73" s="177"/>
      <c r="C73" s="400"/>
      <c r="D73" s="398"/>
      <c r="E73" s="167">
        <v>450000</v>
      </c>
      <c r="F73" s="398"/>
      <c r="G73" s="398"/>
      <c r="H73" s="398"/>
      <c r="I73" s="163"/>
      <c r="AF73" s="163"/>
      <c r="AG73" s="163"/>
      <c r="AH73" s="163"/>
      <c r="AI73" s="163"/>
    </row>
    <row r="74" spans="1:35" ht="18" customHeight="1">
      <c r="B74" s="395">
        <v>22108</v>
      </c>
      <c r="C74" s="387" t="s">
        <v>192</v>
      </c>
      <c r="D74" s="382">
        <v>1500000</v>
      </c>
      <c r="E74" s="166">
        <v>360000</v>
      </c>
      <c r="F74" s="397">
        <f>D74-E74-E75</f>
        <v>894000</v>
      </c>
      <c r="G74" s="382">
        <v>0</v>
      </c>
      <c r="H74" s="397">
        <f>+E74+E75-G74</f>
        <v>606000</v>
      </c>
    </row>
    <row r="75" spans="1:35" ht="18" customHeight="1">
      <c r="B75" s="396"/>
      <c r="C75" s="388"/>
      <c r="D75" s="383"/>
      <c r="E75" s="166">
        <v>246000</v>
      </c>
      <c r="F75" s="398"/>
      <c r="G75" s="383"/>
      <c r="H75" s="398"/>
    </row>
    <row r="76" spans="1:35" ht="18" customHeight="1">
      <c r="B76" s="385">
        <v>22201</v>
      </c>
      <c r="C76" s="387" t="s">
        <v>176</v>
      </c>
      <c r="D76" s="347">
        <v>250000</v>
      </c>
      <c r="E76" s="166">
        <v>26384.400000000001</v>
      </c>
      <c r="F76" s="392">
        <f>D76-E76-E77-E78-E79-E80</f>
        <v>5215.6000000000058</v>
      </c>
      <c r="G76" s="382">
        <f>+E76++E77+E78+E79</f>
        <v>179984.4</v>
      </c>
      <c r="H76" s="382">
        <f>+E76+E77+E78+E79+E80-G76</f>
        <v>64800</v>
      </c>
    </row>
    <row r="77" spans="1:35" ht="18" customHeight="1">
      <c r="B77" s="385"/>
      <c r="C77" s="344"/>
      <c r="D77" s="347"/>
      <c r="E77" s="166">
        <v>96000</v>
      </c>
      <c r="F77" s="393"/>
      <c r="G77" s="347"/>
      <c r="H77" s="347"/>
    </row>
    <row r="78" spans="1:35" ht="18" customHeight="1">
      <c r="B78" s="385"/>
      <c r="C78" s="344"/>
      <c r="D78" s="347"/>
      <c r="E78" s="166">
        <v>25200</v>
      </c>
      <c r="F78" s="393"/>
      <c r="G78" s="347"/>
      <c r="H78" s="347"/>
    </row>
    <row r="79" spans="1:35" ht="18" customHeight="1">
      <c r="B79" s="385"/>
      <c r="C79" s="344"/>
      <c r="D79" s="347"/>
      <c r="E79" s="166">
        <v>32400</v>
      </c>
      <c r="F79" s="393"/>
      <c r="G79" s="347"/>
      <c r="H79" s="347"/>
    </row>
    <row r="80" spans="1:35" ht="18" customHeight="1">
      <c r="B80" s="170"/>
      <c r="C80" s="388"/>
      <c r="D80" s="129"/>
      <c r="E80" s="131">
        <v>64800</v>
      </c>
      <c r="F80" s="394"/>
      <c r="G80" s="383"/>
      <c r="H80" s="383"/>
    </row>
    <row r="81" spans="1:35" s="113" customFormat="1" ht="23.25" customHeight="1">
      <c r="B81" s="177">
        <v>2331</v>
      </c>
      <c r="C81" s="180" t="s">
        <v>177</v>
      </c>
      <c r="D81" s="140">
        <v>100000</v>
      </c>
      <c r="E81" s="140">
        <v>99936</v>
      </c>
      <c r="F81" s="166">
        <f>D81-E81</f>
        <v>64</v>
      </c>
      <c r="G81" s="166">
        <v>99936</v>
      </c>
      <c r="H81" s="166">
        <f>+E81-G81</f>
        <v>0</v>
      </c>
    </row>
    <row r="82" spans="1:35" s="113" customFormat="1" ht="23.25" customHeight="1">
      <c r="B82" s="177">
        <v>23382</v>
      </c>
      <c r="C82" s="180" t="s">
        <v>178</v>
      </c>
      <c r="D82" s="382">
        <v>150000</v>
      </c>
      <c r="E82" s="140">
        <v>41400</v>
      </c>
      <c r="F82" s="389">
        <f>D82-E82-E84-E83</f>
        <v>4970.3999999999996</v>
      </c>
      <c r="G82" s="382">
        <f>41400+99960</f>
        <v>141360</v>
      </c>
      <c r="H82" s="382">
        <f>+E82+E84+E83-G82</f>
        <v>3669.6000000000058</v>
      </c>
    </row>
    <row r="83" spans="1:35" s="113" customFormat="1" ht="23.25" customHeight="1">
      <c r="B83" s="170"/>
      <c r="C83" s="181"/>
      <c r="D83" s="347"/>
      <c r="E83" s="129">
        <v>3669.6</v>
      </c>
      <c r="F83" s="390"/>
      <c r="G83" s="347"/>
      <c r="H83" s="347"/>
    </row>
    <row r="84" spans="1:35" s="113" customFormat="1" ht="18" customHeight="1">
      <c r="B84" s="178"/>
      <c r="C84" s="182"/>
      <c r="D84" s="383"/>
      <c r="E84" s="183">
        <v>99960</v>
      </c>
      <c r="F84" s="391"/>
      <c r="G84" s="383"/>
      <c r="H84" s="383"/>
    </row>
    <row r="85" spans="1:35" s="113" customFormat="1" ht="31.5" customHeight="1">
      <c r="B85" s="170">
        <v>23402</v>
      </c>
      <c r="C85" s="181" t="s">
        <v>179</v>
      </c>
      <c r="D85" s="129">
        <v>900000</v>
      </c>
      <c r="E85" s="129">
        <v>0</v>
      </c>
      <c r="F85" s="217">
        <f>D85-E85</f>
        <v>900000</v>
      </c>
      <c r="G85" s="129">
        <v>0</v>
      </c>
      <c r="H85" s="129">
        <f>+E85-G85</f>
        <v>0</v>
      </c>
    </row>
    <row r="86" spans="1:35" s="113" customFormat="1" ht="20.25" customHeight="1">
      <c r="B86" s="384">
        <v>2351</v>
      </c>
      <c r="C86" s="387" t="s">
        <v>180</v>
      </c>
      <c r="D86" s="382">
        <v>150000</v>
      </c>
      <c r="E86" s="140">
        <v>9552</v>
      </c>
      <c r="F86" s="382">
        <f>D86-E86-E87</f>
        <v>768</v>
      </c>
      <c r="G86" s="382">
        <f>+E86+E87</f>
        <v>149232</v>
      </c>
      <c r="H86" s="382">
        <f>+E86+E87-G86</f>
        <v>0</v>
      </c>
    </row>
    <row r="87" spans="1:35" s="113" customFormat="1" ht="20.25" customHeight="1">
      <c r="B87" s="385"/>
      <c r="C87" s="344"/>
      <c r="D87" s="347"/>
      <c r="E87" s="140">
        <v>139680</v>
      </c>
      <c r="F87" s="347"/>
      <c r="G87" s="347"/>
      <c r="H87" s="347"/>
    </row>
    <row r="88" spans="1:35" s="113" customFormat="1" ht="18" customHeight="1">
      <c r="B88" s="384">
        <v>2355</v>
      </c>
      <c r="C88" s="387" t="s">
        <v>181</v>
      </c>
      <c r="D88" s="382">
        <v>200000</v>
      </c>
      <c r="E88" s="140">
        <v>99936</v>
      </c>
      <c r="F88" s="382">
        <f>D88-E88-E89-E90</f>
        <v>7.0400000000081491</v>
      </c>
      <c r="G88" s="382">
        <f>99936+9696.96</f>
        <v>109632.95999999999</v>
      </c>
      <c r="H88" s="382">
        <f>+E88+E89+E90-G88</f>
        <v>90360</v>
      </c>
    </row>
    <row r="89" spans="1:35" s="113" customFormat="1" ht="18" customHeight="1">
      <c r="B89" s="385"/>
      <c r="C89" s="344"/>
      <c r="D89" s="347"/>
      <c r="E89" s="140">
        <v>9696.9599999999991</v>
      </c>
      <c r="F89" s="347"/>
      <c r="G89" s="347"/>
      <c r="H89" s="347"/>
    </row>
    <row r="90" spans="1:35" s="113" customFormat="1" ht="18" customHeight="1">
      <c r="B90" s="386"/>
      <c r="C90" s="388"/>
      <c r="D90" s="383"/>
      <c r="E90" s="140">
        <v>90360</v>
      </c>
      <c r="F90" s="383"/>
      <c r="G90" s="383"/>
      <c r="H90" s="383"/>
    </row>
    <row r="91" spans="1:35" s="113" customFormat="1" ht="18" customHeight="1">
      <c r="B91" s="177">
        <v>2356</v>
      </c>
      <c r="C91" s="180" t="s">
        <v>182</v>
      </c>
      <c r="D91" s="382">
        <v>100000</v>
      </c>
      <c r="E91" s="140">
        <v>35880</v>
      </c>
      <c r="F91" s="382">
        <f>D91-E91-E92</f>
        <v>160</v>
      </c>
      <c r="G91" s="382">
        <f>+E91+E92</f>
        <v>99840</v>
      </c>
      <c r="H91" s="382">
        <f>+E91+E92-G91</f>
        <v>0</v>
      </c>
    </row>
    <row r="92" spans="1:35" s="113" customFormat="1" ht="18" customHeight="1">
      <c r="B92" s="178"/>
      <c r="C92" s="182"/>
      <c r="D92" s="383"/>
      <c r="E92" s="183">
        <v>63960</v>
      </c>
      <c r="F92" s="383"/>
      <c r="G92" s="383"/>
      <c r="H92" s="383"/>
    </row>
    <row r="93" spans="1:35" s="118" customFormat="1" ht="18" customHeight="1">
      <c r="B93" s="338" t="s">
        <v>183</v>
      </c>
      <c r="C93" s="339"/>
      <c r="D93" s="149">
        <f>SUM(D69:D91)</f>
        <v>5000000</v>
      </c>
      <c r="E93" s="149">
        <f>SUM(E69:E92)</f>
        <v>2512974.96</v>
      </c>
      <c r="F93" s="149">
        <f>SUM(F69:F91)</f>
        <v>2487025.04</v>
      </c>
      <c r="G93" s="149">
        <f>SUM(G69:G91)</f>
        <v>878145.36</v>
      </c>
      <c r="H93" s="149">
        <f>SUM(H69:H91)</f>
        <v>1634829.6</v>
      </c>
      <c r="I93" s="113"/>
    </row>
    <row r="94" spans="1:35" ht="18" customHeight="1">
      <c r="A94" s="118"/>
      <c r="AF94" s="118"/>
      <c r="AG94" s="118"/>
      <c r="AH94" s="118"/>
      <c r="AI94" s="118"/>
    </row>
    <row r="95" spans="1:35" ht="18" customHeight="1">
      <c r="A95" s="118"/>
      <c r="AF95" s="118"/>
      <c r="AG95" s="118"/>
      <c r="AH95" s="118"/>
      <c r="AI95" s="118"/>
    </row>
    <row r="96" spans="1:35" ht="18" customHeight="1">
      <c r="A96" s="118"/>
      <c r="AF96" s="118"/>
      <c r="AG96" s="118"/>
      <c r="AH96" s="118"/>
      <c r="AI96" s="118"/>
    </row>
    <row r="97" spans="2:31" s="113" customFormat="1" ht="18" customHeight="1">
      <c r="B97" s="112"/>
      <c r="D97" s="115"/>
      <c r="E97" s="115"/>
      <c r="F97" s="116"/>
      <c r="G97" s="117"/>
      <c r="H97" s="117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</row>
    <row r="98" spans="2:31" s="113" customFormat="1" ht="30" customHeight="1">
      <c r="B98" s="112"/>
      <c r="C98" s="104"/>
      <c r="D98" s="104"/>
      <c r="E98" s="104"/>
      <c r="F98" s="116"/>
      <c r="G98" s="117"/>
      <c r="H98" s="117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</row>
    <row r="99" spans="2:31" s="113" customFormat="1" ht="10.5" customHeight="1">
      <c r="B99" s="112"/>
      <c r="C99" s="104"/>
      <c r="D99" s="104"/>
      <c r="E99" s="104"/>
      <c r="F99" s="116"/>
      <c r="G99" s="117"/>
      <c r="H99" s="117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</row>
    <row r="100" spans="2:31" s="113" customFormat="1" ht="18" customHeight="1">
      <c r="B100" s="112"/>
      <c r="C100" s="104"/>
      <c r="D100" s="104"/>
      <c r="E100" s="104"/>
      <c r="F100" s="116"/>
      <c r="G100" s="117"/>
      <c r="H100" s="117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</row>
    <row r="101" spans="2:31" s="113" customFormat="1" ht="18" customHeight="1">
      <c r="B101" s="112"/>
      <c r="C101" s="104"/>
      <c r="D101" s="104"/>
      <c r="E101" s="104"/>
      <c r="F101" s="116"/>
      <c r="G101" s="117"/>
      <c r="H101" s="117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</row>
    <row r="102" spans="2:31" s="113" customFormat="1">
      <c r="B102" s="112"/>
      <c r="C102" s="104"/>
      <c r="D102" s="104"/>
      <c r="E102" s="104"/>
      <c r="F102" s="116"/>
      <c r="G102" s="117"/>
      <c r="H102" s="117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</row>
    <row r="103" spans="2:31" s="113" customFormat="1">
      <c r="B103" s="112"/>
      <c r="C103" s="104"/>
      <c r="D103" s="104"/>
      <c r="E103" s="104"/>
      <c r="F103" s="116"/>
      <c r="G103" s="117"/>
      <c r="H103" s="117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</row>
    <row r="104" spans="2:31" s="113" customFormat="1" ht="12.75">
      <c r="B104" s="112"/>
      <c r="C104" s="104"/>
      <c r="D104" s="104"/>
      <c r="E104" s="104"/>
      <c r="F104" s="174"/>
      <c r="G104" s="174"/>
      <c r="H104" s="174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</row>
    <row r="105" spans="2:31" s="113" customFormat="1" ht="12.75">
      <c r="B105" s="112"/>
      <c r="C105" s="174" t="s">
        <v>185</v>
      </c>
      <c r="D105" s="174"/>
      <c r="E105" s="174"/>
      <c r="F105" s="174">
        <v>207500</v>
      </c>
      <c r="G105" s="174" t="e">
        <f>F105+#REF!</f>
        <v>#REF!</v>
      </c>
      <c r="H105" s="174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</row>
    <row r="106" spans="2:31" s="113" customFormat="1" ht="12.75">
      <c r="B106" s="112"/>
      <c r="C106" s="174" t="s">
        <v>189</v>
      </c>
      <c r="D106" s="174"/>
      <c r="E106" s="174"/>
      <c r="F106" s="174">
        <v>17500</v>
      </c>
      <c r="G106" s="174" t="e">
        <f>F106+#REF!</f>
        <v>#REF!</v>
      </c>
      <c r="H106" s="174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</row>
    <row r="107" spans="2:31" s="113" customFormat="1" ht="12.75">
      <c r="B107" s="112"/>
      <c r="C107" s="174" t="s">
        <v>187</v>
      </c>
      <c r="D107" s="174"/>
      <c r="E107" s="174"/>
      <c r="F107" s="174">
        <v>10000</v>
      </c>
      <c r="G107" s="174" t="e">
        <f>F107+#REF!</f>
        <v>#REF!</v>
      </c>
      <c r="H107" s="174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</row>
    <row r="108" spans="2:31" s="113" customFormat="1" ht="12.75">
      <c r="B108" s="112"/>
      <c r="C108" s="174" t="s">
        <v>193</v>
      </c>
      <c r="D108" s="174"/>
      <c r="E108" s="174"/>
      <c r="F108" s="174">
        <v>15000</v>
      </c>
      <c r="G108" s="174" t="e">
        <f>F108+#REF!</f>
        <v>#REF!</v>
      </c>
      <c r="H108" s="174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</row>
    <row r="109" spans="2:31" s="113" customFormat="1" ht="12.75">
      <c r="B109" s="112"/>
      <c r="C109" s="174"/>
      <c r="D109" s="174"/>
      <c r="E109" s="174"/>
      <c r="F109" s="174"/>
      <c r="G109" s="174"/>
      <c r="H109" s="174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</row>
    <row r="110" spans="2:31" s="113" customFormat="1" ht="12.75">
      <c r="B110" s="112"/>
      <c r="C110" s="174"/>
      <c r="D110" s="174"/>
      <c r="E110" s="174"/>
      <c r="F110" s="174"/>
      <c r="G110" s="174"/>
      <c r="H110" s="174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118"/>
      <c r="AE110" s="118"/>
    </row>
    <row r="111" spans="2:31" s="113" customFormat="1" ht="12.75">
      <c r="B111" s="112"/>
      <c r="C111" s="174"/>
      <c r="D111" s="174"/>
      <c r="E111" s="174"/>
      <c r="F111" s="174"/>
      <c r="G111" s="174"/>
      <c r="H111" s="174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  <c r="AC111" s="118"/>
      <c r="AD111" s="118"/>
      <c r="AE111" s="118"/>
    </row>
    <row r="112" spans="2:31" s="113" customFormat="1" ht="12.75">
      <c r="B112" s="112"/>
      <c r="C112" s="174"/>
      <c r="D112" s="174"/>
      <c r="E112" s="174"/>
      <c r="F112" s="174"/>
      <c r="G112" s="174"/>
      <c r="H112" s="174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</row>
    <row r="113" spans="2:31" s="113" customFormat="1" ht="12.75">
      <c r="B113" s="112"/>
      <c r="C113" s="174"/>
      <c r="D113" s="174"/>
      <c r="E113" s="174"/>
      <c r="F113" s="174"/>
      <c r="G113" s="174"/>
      <c r="H113" s="174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</row>
    <row r="114" spans="2:31" s="113" customFormat="1" ht="12.75">
      <c r="B114" s="112"/>
      <c r="C114" s="174"/>
      <c r="D114" s="174"/>
      <c r="E114" s="174"/>
      <c r="F114" s="174"/>
      <c r="G114" s="174"/>
      <c r="H114" s="174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  <c r="AB114" s="118"/>
      <c r="AC114" s="118"/>
      <c r="AD114" s="118"/>
      <c r="AE114" s="118"/>
    </row>
    <row r="115" spans="2:31" s="113" customFormat="1" ht="12.75">
      <c r="B115" s="112"/>
      <c r="C115" s="174"/>
      <c r="D115" s="174"/>
      <c r="E115" s="174"/>
      <c r="F115" s="174"/>
      <c r="G115" s="174"/>
      <c r="H115" s="174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  <c r="AB115" s="118"/>
      <c r="AC115" s="118"/>
      <c r="AD115" s="118"/>
      <c r="AE115" s="118"/>
    </row>
    <row r="116" spans="2:31" s="113" customFormat="1" ht="12.75">
      <c r="B116" s="112"/>
      <c r="C116" s="174"/>
      <c r="D116" s="174"/>
      <c r="E116" s="174"/>
      <c r="F116" s="174"/>
      <c r="G116" s="174"/>
      <c r="H116" s="174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  <c r="AC116" s="118"/>
      <c r="AD116" s="118"/>
      <c r="AE116" s="118"/>
    </row>
    <row r="117" spans="2:31" s="113" customFormat="1" ht="12.75">
      <c r="B117" s="112"/>
      <c r="C117" s="174"/>
      <c r="D117" s="174"/>
      <c r="E117" s="174"/>
      <c r="F117" s="174"/>
      <c r="G117" s="174"/>
      <c r="H117" s="174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</row>
    <row r="118" spans="2:31" s="113" customFormat="1" ht="12.75">
      <c r="B118" s="112"/>
      <c r="C118" s="174"/>
      <c r="D118" s="174"/>
      <c r="E118" s="174"/>
      <c r="F118" s="174"/>
      <c r="G118" s="174"/>
      <c r="H118" s="174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AD118" s="118"/>
      <c r="AE118" s="118"/>
    </row>
    <row r="119" spans="2:31" s="113" customFormat="1">
      <c r="B119" s="112"/>
      <c r="D119" s="115"/>
      <c r="E119" s="115"/>
      <c r="F119" s="116"/>
      <c r="G119" s="117"/>
      <c r="H119" s="117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18"/>
      <c r="AE119" s="118"/>
    </row>
    <row r="120" spans="2:31" s="113" customFormat="1">
      <c r="B120" s="112"/>
      <c r="D120" s="115"/>
      <c r="E120" s="115"/>
      <c r="F120" s="116"/>
      <c r="G120" s="117"/>
      <c r="H120" s="117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</row>
    <row r="121" spans="2:31" s="113" customFormat="1">
      <c r="B121" s="112"/>
      <c r="D121" s="115"/>
      <c r="E121" s="115"/>
      <c r="F121" s="116"/>
      <c r="G121" s="117"/>
      <c r="H121" s="117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</row>
    <row r="122" spans="2:31" s="113" customFormat="1">
      <c r="B122" s="112"/>
      <c r="D122" s="115"/>
      <c r="E122" s="115"/>
      <c r="F122" s="116"/>
      <c r="G122" s="117"/>
      <c r="H122" s="117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</row>
    <row r="123" spans="2:31" s="113" customFormat="1">
      <c r="B123" s="112"/>
      <c r="D123" s="115"/>
      <c r="E123" s="115"/>
      <c r="F123" s="116"/>
      <c r="G123" s="117"/>
      <c r="H123" s="117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  <c r="AA123" s="118"/>
      <c r="AB123" s="118"/>
      <c r="AC123" s="118"/>
      <c r="AD123" s="118"/>
      <c r="AE123" s="118"/>
    </row>
    <row r="124" spans="2:31" s="113" customFormat="1">
      <c r="B124" s="112"/>
      <c r="D124" s="115"/>
      <c r="E124" s="115"/>
      <c r="F124" s="116"/>
      <c r="G124" s="117"/>
      <c r="H124" s="117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  <c r="AA124" s="118"/>
      <c r="AB124" s="118"/>
      <c r="AC124" s="118"/>
      <c r="AD124" s="118"/>
      <c r="AE124" s="118"/>
    </row>
    <row r="125" spans="2:31" s="113" customFormat="1">
      <c r="B125" s="112"/>
      <c r="D125" s="115"/>
      <c r="E125" s="115"/>
      <c r="F125" s="116"/>
      <c r="G125" s="117"/>
      <c r="H125" s="117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  <c r="AA125" s="118"/>
      <c r="AB125" s="118"/>
      <c r="AC125" s="118"/>
      <c r="AD125" s="118"/>
      <c r="AE125" s="118"/>
    </row>
    <row r="126" spans="2:31" s="113" customFormat="1">
      <c r="B126" s="112"/>
      <c r="D126" s="115"/>
      <c r="E126" s="115"/>
      <c r="F126" s="116"/>
      <c r="G126" s="117"/>
      <c r="H126" s="117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</row>
    <row r="127" spans="2:31" s="113" customFormat="1">
      <c r="B127" s="112"/>
      <c r="D127" s="115"/>
      <c r="E127" s="115"/>
      <c r="F127" s="116"/>
      <c r="G127" s="117"/>
      <c r="H127" s="117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  <c r="AB127" s="118"/>
      <c r="AC127" s="118"/>
      <c r="AD127" s="118"/>
      <c r="AE127" s="118"/>
    </row>
    <row r="128" spans="2:31" s="113" customFormat="1">
      <c r="B128" s="112"/>
      <c r="D128" s="115"/>
      <c r="E128" s="115"/>
      <c r="F128" s="116"/>
      <c r="G128" s="117"/>
      <c r="H128" s="117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  <c r="AB128" s="118"/>
      <c r="AC128" s="118"/>
      <c r="AD128" s="118"/>
      <c r="AE128" s="118"/>
    </row>
    <row r="129" spans="2:31" s="113" customFormat="1">
      <c r="B129" s="112"/>
      <c r="D129" s="115"/>
      <c r="E129" s="115"/>
      <c r="F129" s="116"/>
      <c r="G129" s="117"/>
      <c r="H129" s="117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  <c r="AB129" s="118"/>
      <c r="AC129" s="118"/>
      <c r="AD129" s="118"/>
      <c r="AE129" s="118"/>
    </row>
    <row r="130" spans="2:31" s="113" customFormat="1">
      <c r="B130" s="112"/>
      <c r="D130" s="115"/>
      <c r="E130" s="115"/>
      <c r="F130" s="116"/>
      <c r="G130" s="117"/>
      <c r="H130" s="117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  <c r="AE130" s="118"/>
    </row>
    <row r="131" spans="2:31" s="113" customFormat="1">
      <c r="B131" s="112"/>
      <c r="D131" s="115"/>
      <c r="E131" s="115"/>
      <c r="F131" s="116"/>
      <c r="G131" s="117"/>
      <c r="H131" s="117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  <c r="AA131" s="118"/>
      <c r="AB131" s="118"/>
      <c r="AC131" s="118"/>
      <c r="AD131" s="118"/>
      <c r="AE131" s="118"/>
    </row>
    <row r="132" spans="2:31" s="113" customFormat="1">
      <c r="B132" s="112"/>
      <c r="D132" s="115"/>
      <c r="E132" s="115"/>
      <c r="F132" s="116"/>
      <c r="G132" s="117"/>
      <c r="H132" s="117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  <c r="AB132" s="118"/>
      <c r="AC132" s="118"/>
      <c r="AD132" s="118"/>
      <c r="AE132" s="118"/>
    </row>
    <row r="133" spans="2:31" s="113" customFormat="1">
      <c r="B133" s="112"/>
      <c r="D133" s="115"/>
      <c r="E133" s="115"/>
      <c r="F133" s="116"/>
      <c r="G133" s="117"/>
      <c r="H133" s="117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  <c r="AB133" s="118"/>
      <c r="AC133" s="118"/>
      <c r="AD133" s="118"/>
      <c r="AE133" s="118"/>
    </row>
    <row r="134" spans="2:31" s="113" customFormat="1">
      <c r="B134" s="112"/>
      <c r="D134" s="115"/>
      <c r="E134" s="115"/>
      <c r="F134" s="116"/>
      <c r="G134" s="117"/>
      <c r="H134" s="117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  <c r="AE134" s="118"/>
    </row>
    <row r="135" spans="2:31" s="113" customFormat="1">
      <c r="B135" s="112"/>
      <c r="D135" s="115"/>
      <c r="E135" s="115"/>
      <c r="F135" s="116"/>
      <c r="G135" s="117"/>
      <c r="H135" s="117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  <c r="AB135" s="118"/>
      <c r="AC135" s="118"/>
      <c r="AD135" s="118"/>
      <c r="AE135" s="118"/>
    </row>
    <row r="136" spans="2:31" s="113" customFormat="1">
      <c r="B136" s="112"/>
      <c r="D136" s="115"/>
      <c r="E136" s="115"/>
      <c r="F136" s="116"/>
      <c r="G136" s="117"/>
      <c r="H136" s="117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  <c r="AB136" s="118"/>
      <c r="AC136" s="118"/>
      <c r="AD136" s="118"/>
      <c r="AE136" s="118"/>
    </row>
    <row r="137" spans="2:31" s="113" customFormat="1">
      <c r="B137" s="112"/>
      <c r="D137" s="115"/>
      <c r="E137" s="115"/>
      <c r="F137" s="116"/>
      <c r="G137" s="117"/>
      <c r="H137" s="117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  <c r="AB137" s="118"/>
      <c r="AC137" s="118"/>
      <c r="AD137" s="118"/>
      <c r="AE137" s="118"/>
    </row>
    <row r="138" spans="2:31" s="113" customFormat="1">
      <c r="B138" s="112"/>
      <c r="D138" s="115"/>
      <c r="E138" s="115"/>
      <c r="F138" s="116"/>
      <c r="G138" s="117"/>
      <c r="H138" s="117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  <c r="AA138" s="118"/>
      <c r="AB138" s="118"/>
      <c r="AC138" s="118"/>
      <c r="AD138" s="118"/>
      <c r="AE138" s="118"/>
    </row>
    <row r="139" spans="2:31" s="113" customFormat="1">
      <c r="B139" s="112"/>
      <c r="D139" s="115"/>
      <c r="E139" s="115"/>
      <c r="F139" s="116"/>
      <c r="G139" s="117"/>
      <c r="H139" s="117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  <c r="AA139" s="118"/>
      <c r="AB139" s="118"/>
      <c r="AC139" s="118"/>
      <c r="AD139" s="118"/>
      <c r="AE139" s="118"/>
    </row>
    <row r="140" spans="2:31" s="113" customFormat="1">
      <c r="B140" s="112"/>
      <c r="D140" s="115"/>
      <c r="E140" s="115"/>
      <c r="F140" s="116"/>
      <c r="G140" s="117"/>
      <c r="H140" s="117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  <c r="AB140" s="118"/>
      <c r="AC140" s="118"/>
      <c r="AD140" s="118"/>
      <c r="AE140" s="118"/>
    </row>
    <row r="141" spans="2:31" s="113" customFormat="1">
      <c r="B141" s="112"/>
      <c r="D141" s="115"/>
      <c r="E141" s="115"/>
      <c r="F141" s="116"/>
      <c r="G141" s="117"/>
      <c r="H141" s="117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  <c r="AC141" s="118"/>
      <c r="AD141" s="118"/>
      <c r="AE141" s="118"/>
    </row>
    <row r="142" spans="2:31" s="113" customFormat="1">
      <c r="B142" s="112"/>
      <c r="D142" s="115"/>
      <c r="E142" s="115"/>
      <c r="F142" s="116"/>
      <c r="G142" s="117"/>
      <c r="H142" s="117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  <c r="AA142" s="118"/>
      <c r="AB142" s="118"/>
      <c r="AC142" s="118"/>
      <c r="AD142" s="118"/>
      <c r="AE142" s="118"/>
    </row>
    <row r="143" spans="2:31" s="113" customFormat="1">
      <c r="B143" s="112"/>
      <c r="D143" s="115"/>
      <c r="E143" s="115"/>
      <c r="F143" s="116"/>
      <c r="G143" s="117"/>
      <c r="H143" s="117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  <c r="AB143" s="118"/>
      <c r="AC143" s="118"/>
      <c r="AD143" s="118"/>
      <c r="AE143" s="118"/>
    </row>
    <row r="144" spans="2:31" s="113" customFormat="1">
      <c r="B144" s="112"/>
      <c r="D144" s="115"/>
      <c r="E144" s="115"/>
      <c r="F144" s="116"/>
      <c r="G144" s="117"/>
      <c r="H144" s="117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  <c r="AA144" s="118"/>
      <c r="AB144" s="118"/>
      <c r="AC144" s="118"/>
      <c r="AD144" s="118"/>
      <c r="AE144" s="118"/>
    </row>
    <row r="145" spans="2:31" s="113" customFormat="1">
      <c r="B145" s="112"/>
      <c r="D145" s="115"/>
      <c r="E145" s="115"/>
      <c r="F145" s="116"/>
      <c r="G145" s="117"/>
      <c r="H145" s="117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  <c r="AA145" s="118"/>
      <c r="AB145" s="118"/>
      <c r="AC145" s="118"/>
      <c r="AD145" s="118"/>
      <c r="AE145" s="118"/>
    </row>
    <row r="146" spans="2:31" s="113" customFormat="1">
      <c r="B146" s="112"/>
      <c r="D146" s="115"/>
      <c r="E146" s="115"/>
      <c r="F146" s="116"/>
      <c r="G146" s="117"/>
      <c r="H146" s="117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18"/>
      <c r="AE146" s="118"/>
    </row>
    <row r="147" spans="2:31" s="113" customFormat="1">
      <c r="B147" s="112"/>
      <c r="D147" s="115"/>
      <c r="E147" s="115"/>
      <c r="F147" s="116"/>
      <c r="G147" s="117"/>
      <c r="H147" s="117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  <c r="AB147" s="118"/>
      <c r="AC147" s="118"/>
      <c r="AD147" s="118"/>
      <c r="AE147" s="118"/>
    </row>
    <row r="148" spans="2:31" s="113" customFormat="1">
      <c r="B148" s="112"/>
      <c r="D148" s="115"/>
      <c r="E148" s="115"/>
      <c r="F148" s="116"/>
      <c r="G148" s="117"/>
      <c r="H148" s="117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  <c r="AE148" s="118"/>
    </row>
    <row r="149" spans="2:31" s="113" customFormat="1">
      <c r="B149" s="112"/>
      <c r="D149" s="115"/>
      <c r="E149" s="115"/>
      <c r="F149" s="116"/>
      <c r="G149" s="117"/>
      <c r="H149" s="117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  <c r="AA149" s="118"/>
      <c r="AB149" s="118"/>
      <c r="AC149" s="118"/>
      <c r="AD149" s="118"/>
      <c r="AE149" s="118"/>
    </row>
    <row r="150" spans="2:31" s="113" customFormat="1">
      <c r="B150" s="112"/>
      <c r="D150" s="115"/>
      <c r="E150" s="115"/>
      <c r="F150" s="116"/>
      <c r="G150" s="117"/>
      <c r="H150" s="117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  <c r="AA150" s="118"/>
      <c r="AB150" s="118"/>
      <c r="AC150" s="118"/>
      <c r="AD150" s="118"/>
      <c r="AE150" s="118"/>
    </row>
    <row r="151" spans="2:31" s="113" customFormat="1">
      <c r="B151" s="112"/>
      <c r="D151" s="115"/>
      <c r="E151" s="115"/>
      <c r="F151" s="116"/>
      <c r="G151" s="117"/>
      <c r="H151" s="117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  <c r="AA151" s="118"/>
      <c r="AB151" s="118"/>
      <c r="AC151" s="118"/>
      <c r="AD151" s="118"/>
      <c r="AE151" s="118"/>
    </row>
    <row r="152" spans="2:31" s="113" customFormat="1">
      <c r="B152" s="112"/>
      <c r="D152" s="115"/>
      <c r="E152" s="115"/>
      <c r="F152" s="116"/>
      <c r="G152" s="117"/>
      <c r="H152" s="117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  <c r="AA152" s="118"/>
      <c r="AB152" s="118"/>
      <c r="AC152" s="118"/>
      <c r="AD152" s="118"/>
      <c r="AE152" s="118"/>
    </row>
    <row r="153" spans="2:31" s="113" customFormat="1">
      <c r="B153" s="112"/>
      <c r="D153" s="115"/>
      <c r="E153" s="115"/>
      <c r="F153" s="116"/>
      <c r="G153" s="117"/>
      <c r="H153" s="117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18"/>
      <c r="AE153" s="118"/>
    </row>
    <row r="154" spans="2:31" s="113" customFormat="1">
      <c r="B154" s="112"/>
      <c r="D154" s="115"/>
      <c r="E154" s="115"/>
      <c r="F154" s="116"/>
      <c r="G154" s="117"/>
      <c r="H154" s="117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  <c r="AA154" s="118"/>
      <c r="AB154" s="118"/>
      <c r="AC154" s="118"/>
      <c r="AD154" s="118"/>
      <c r="AE154" s="118"/>
    </row>
    <row r="155" spans="2:31" s="113" customFormat="1">
      <c r="B155" s="112"/>
      <c r="D155" s="115"/>
      <c r="E155" s="115"/>
      <c r="F155" s="116"/>
      <c r="G155" s="117"/>
      <c r="H155" s="117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  <c r="AA155" s="118"/>
      <c r="AB155" s="118"/>
      <c r="AC155" s="118"/>
      <c r="AD155" s="118"/>
      <c r="AE155" s="118"/>
    </row>
    <row r="156" spans="2:31" s="113" customFormat="1">
      <c r="B156" s="112"/>
      <c r="D156" s="115"/>
      <c r="E156" s="115"/>
      <c r="F156" s="116"/>
      <c r="G156" s="117"/>
      <c r="H156" s="117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  <c r="AB156" s="118"/>
      <c r="AC156" s="118"/>
      <c r="AD156" s="118"/>
      <c r="AE156" s="118"/>
    </row>
    <row r="157" spans="2:31" s="113" customFormat="1">
      <c r="B157" s="112"/>
      <c r="D157" s="115"/>
      <c r="E157" s="115"/>
      <c r="F157" s="116"/>
      <c r="G157" s="117"/>
      <c r="H157" s="117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  <c r="AA157" s="118"/>
      <c r="AB157" s="118"/>
      <c r="AC157" s="118"/>
      <c r="AD157" s="118"/>
      <c r="AE157" s="118"/>
    </row>
    <row r="158" spans="2:31" s="113" customFormat="1">
      <c r="B158" s="112"/>
      <c r="D158" s="115"/>
      <c r="E158" s="115"/>
      <c r="F158" s="116"/>
      <c r="G158" s="117"/>
      <c r="H158" s="117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  <c r="AA158" s="118"/>
      <c r="AB158" s="118"/>
      <c r="AC158" s="118"/>
      <c r="AD158" s="118"/>
      <c r="AE158" s="118"/>
    </row>
    <row r="159" spans="2:31" s="113" customFormat="1">
      <c r="B159" s="112"/>
      <c r="D159" s="115"/>
      <c r="E159" s="115"/>
      <c r="F159" s="116"/>
      <c r="G159" s="117"/>
      <c r="H159" s="117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  <c r="AA159" s="118"/>
      <c r="AB159" s="118"/>
      <c r="AC159" s="118"/>
      <c r="AD159" s="118"/>
      <c r="AE159" s="118"/>
    </row>
    <row r="160" spans="2:31" s="113" customFormat="1">
      <c r="B160" s="112"/>
      <c r="D160" s="115"/>
      <c r="E160" s="115"/>
      <c r="F160" s="116"/>
      <c r="G160" s="117"/>
      <c r="H160" s="117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18"/>
      <c r="AE160" s="118"/>
    </row>
    <row r="161" spans="2:31" s="113" customFormat="1">
      <c r="B161" s="112"/>
      <c r="D161" s="115"/>
      <c r="E161" s="115"/>
      <c r="F161" s="116"/>
      <c r="G161" s="117"/>
      <c r="H161" s="117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18"/>
      <c r="AE161" s="118"/>
    </row>
    <row r="162" spans="2:31" s="113" customFormat="1">
      <c r="B162" s="112"/>
      <c r="D162" s="115"/>
      <c r="E162" s="115"/>
      <c r="F162" s="116"/>
      <c r="G162" s="117"/>
      <c r="H162" s="117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</row>
    <row r="163" spans="2:31" s="113" customFormat="1">
      <c r="B163" s="112"/>
      <c r="D163" s="115"/>
      <c r="E163" s="115"/>
      <c r="F163" s="116"/>
      <c r="G163" s="117"/>
      <c r="H163" s="117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</row>
    <row r="164" spans="2:31" s="113" customFormat="1">
      <c r="B164" s="112"/>
      <c r="D164" s="115"/>
      <c r="E164" s="115"/>
      <c r="F164" s="116"/>
      <c r="G164" s="117"/>
      <c r="H164" s="117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</row>
    <row r="165" spans="2:31" s="113" customFormat="1">
      <c r="B165" s="112"/>
      <c r="D165" s="115"/>
      <c r="E165" s="115"/>
      <c r="F165" s="116"/>
      <c r="G165" s="117"/>
      <c r="H165" s="117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  <c r="AB165" s="118"/>
      <c r="AC165" s="118"/>
      <c r="AD165" s="118"/>
      <c r="AE165" s="118"/>
    </row>
    <row r="166" spans="2:31" s="113" customFormat="1">
      <c r="B166" s="112"/>
      <c r="D166" s="115"/>
      <c r="E166" s="115"/>
      <c r="F166" s="116"/>
      <c r="G166" s="117"/>
      <c r="H166" s="117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  <c r="AB166" s="118"/>
      <c r="AC166" s="118"/>
      <c r="AD166" s="118"/>
      <c r="AE166" s="118"/>
    </row>
    <row r="167" spans="2:31" s="113" customFormat="1">
      <c r="B167" s="112"/>
      <c r="D167" s="115"/>
      <c r="E167" s="115"/>
      <c r="F167" s="116"/>
      <c r="G167" s="117"/>
      <c r="H167" s="117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  <c r="AC167" s="118"/>
      <c r="AD167" s="118"/>
      <c r="AE167" s="118"/>
    </row>
    <row r="168" spans="2:31" s="113" customFormat="1">
      <c r="B168" s="112"/>
      <c r="D168" s="115"/>
      <c r="E168" s="115"/>
      <c r="F168" s="116"/>
      <c r="G168" s="117"/>
      <c r="H168" s="117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  <c r="AB168" s="118"/>
      <c r="AC168" s="118"/>
      <c r="AD168" s="118"/>
      <c r="AE168" s="118"/>
    </row>
    <row r="169" spans="2:31" s="113" customFormat="1">
      <c r="B169" s="112"/>
      <c r="D169" s="115"/>
      <c r="E169" s="115"/>
      <c r="F169" s="116"/>
      <c r="G169" s="117"/>
      <c r="H169" s="117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18"/>
      <c r="AE169" s="118"/>
    </row>
    <row r="170" spans="2:31" s="113" customFormat="1">
      <c r="B170" s="112"/>
      <c r="D170" s="115"/>
      <c r="E170" s="115"/>
      <c r="F170" s="116"/>
      <c r="G170" s="117"/>
      <c r="H170" s="117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  <c r="AB170" s="118"/>
      <c r="AC170" s="118"/>
      <c r="AD170" s="118"/>
      <c r="AE170" s="118"/>
    </row>
    <row r="171" spans="2:31" s="113" customFormat="1">
      <c r="B171" s="112"/>
      <c r="D171" s="115"/>
      <c r="E171" s="115"/>
      <c r="F171" s="116"/>
      <c r="G171" s="117"/>
      <c r="H171" s="117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  <c r="AA171" s="118"/>
      <c r="AB171" s="118"/>
      <c r="AC171" s="118"/>
      <c r="AD171" s="118"/>
      <c r="AE171" s="118"/>
    </row>
    <row r="172" spans="2:31" s="113" customFormat="1">
      <c r="B172" s="112"/>
      <c r="D172" s="115"/>
      <c r="E172" s="115"/>
      <c r="F172" s="116"/>
      <c r="G172" s="117"/>
      <c r="H172" s="117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  <c r="AA172" s="118"/>
      <c r="AB172" s="118"/>
      <c r="AC172" s="118"/>
      <c r="AD172" s="118"/>
      <c r="AE172" s="118"/>
    </row>
    <row r="173" spans="2:31" s="113" customFormat="1">
      <c r="B173" s="112"/>
      <c r="D173" s="115"/>
      <c r="E173" s="115"/>
      <c r="F173" s="116"/>
      <c r="G173" s="117"/>
      <c r="H173" s="117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  <c r="AA173" s="118"/>
      <c r="AB173" s="118"/>
      <c r="AC173" s="118"/>
      <c r="AD173" s="118"/>
      <c r="AE173" s="118"/>
    </row>
    <row r="174" spans="2:31" s="113" customFormat="1">
      <c r="B174" s="112"/>
      <c r="D174" s="115"/>
      <c r="E174" s="115"/>
      <c r="F174" s="116"/>
      <c r="G174" s="117"/>
      <c r="H174" s="117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</row>
    <row r="175" spans="2:31" s="113" customFormat="1">
      <c r="B175" s="112"/>
      <c r="D175" s="115"/>
      <c r="E175" s="115"/>
      <c r="F175" s="116"/>
      <c r="G175" s="117"/>
      <c r="H175" s="117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</row>
    <row r="176" spans="2:31" s="113" customFormat="1">
      <c r="B176" s="112"/>
      <c r="D176" s="115"/>
      <c r="E176" s="115"/>
      <c r="F176" s="116"/>
      <c r="G176" s="117"/>
      <c r="H176" s="117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</row>
    <row r="177" spans="2:31" s="113" customFormat="1">
      <c r="B177" s="112"/>
      <c r="D177" s="115"/>
      <c r="E177" s="115"/>
      <c r="F177" s="116"/>
      <c r="G177" s="117"/>
      <c r="H177" s="117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</row>
    <row r="178" spans="2:31" s="113" customFormat="1">
      <c r="B178" s="112"/>
      <c r="D178" s="115"/>
      <c r="E178" s="115"/>
      <c r="F178" s="116"/>
      <c r="G178" s="117"/>
      <c r="H178" s="117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  <c r="AE178" s="118"/>
    </row>
    <row r="179" spans="2:31" s="113" customFormat="1">
      <c r="B179" s="112"/>
      <c r="D179" s="115"/>
      <c r="E179" s="115"/>
      <c r="F179" s="116"/>
      <c r="G179" s="117"/>
      <c r="H179" s="117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  <c r="AA179" s="118"/>
      <c r="AB179" s="118"/>
      <c r="AC179" s="118"/>
      <c r="AD179" s="118"/>
      <c r="AE179" s="118"/>
    </row>
    <row r="180" spans="2:31" s="113" customFormat="1">
      <c r="B180" s="112"/>
      <c r="D180" s="115"/>
      <c r="E180" s="115"/>
      <c r="F180" s="116"/>
      <c r="G180" s="117"/>
      <c r="H180" s="117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  <c r="AA180" s="118"/>
      <c r="AB180" s="118"/>
      <c r="AC180" s="118"/>
      <c r="AD180" s="118"/>
      <c r="AE180" s="118"/>
    </row>
    <row r="181" spans="2:31" s="113" customFormat="1">
      <c r="B181" s="112"/>
      <c r="D181" s="115"/>
      <c r="E181" s="115"/>
      <c r="F181" s="116"/>
      <c r="G181" s="117"/>
      <c r="H181" s="117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  <c r="AA181" s="118"/>
      <c r="AB181" s="118"/>
      <c r="AC181" s="118"/>
      <c r="AD181" s="118"/>
      <c r="AE181" s="118"/>
    </row>
    <row r="182" spans="2:31" s="113" customFormat="1">
      <c r="B182" s="112"/>
      <c r="D182" s="115"/>
      <c r="E182" s="115"/>
      <c r="F182" s="116"/>
      <c r="G182" s="117"/>
      <c r="H182" s="117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  <c r="AA182" s="118"/>
      <c r="AB182" s="118"/>
      <c r="AC182" s="118"/>
      <c r="AD182" s="118"/>
      <c r="AE182" s="118"/>
    </row>
    <row r="183" spans="2:31" s="113" customFormat="1">
      <c r="B183" s="112"/>
      <c r="D183" s="115"/>
      <c r="E183" s="115"/>
      <c r="F183" s="116"/>
      <c r="G183" s="117"/>
      <c r="H183" s="117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118"/>
      <c r="AE183" s="118"/>
    </row>
    <row r="184" spans="2:31" s="113" customFormat="1">
      <c r="B184" s="112"/>
      <c r="D184" s="115"/>
      <c r="E184" s="115"/>
      <c r="F184" s="116"/>
      <c r="G184" s="117"/>
      <c r="H184" s="117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  <c r="AA184" s="118"/>
      <c r="AB184" s="118"/>
      <c r="AC184" s="118"/>
      <c r="AD184" s="118"/>
      <c r="AE184" s="118"/>
    </row>
    <row r="185" spans="2:31" s="113" customFormat="1">
      <c r="B185" s="112"/>
      <c r="D185" s="115"/>
      <c r="E185" s="115"/>
      <c r="F185" s="116"/>
      <c r="G185" s="117"/>
      <c r="H185" s="117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  <c r="AA185" s="118"/>
      <c r="AB185" s="118"/>
      <c r="AC185" s="118"/>
      <c r="AD185" s="118"/>
      <c r="AE185" s="118"/>
    </row>
    <row r="186" spans="2:31" s="113" customFormat="1">
      <c r="B186" s="112"/>
      <c r="D186" s="115"/>
      <c r="E186" s="115"/>
      <c r="F186" s="116"/>
      <c r="G186" s="117"/>
      <c r="H186" s="117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  <c r="AA186" s="118"/>
      <c r="AB186" s="118"/>
      <c r="AC186" s="118"/>
      <c r="AD186" s="118"/>
      <c r="AE186" s="118"/>
    </row>
    <row r="187" spans="2:31" s="113" customFormat="1">
      <c r="B187" s="112"/>
      <c r="D187" s="115"/>
      <c r="E187" s="115"/>
      <c r="F187" s="116"/>
      <c r="G187" s="117"/>
      <c r="H187" s="117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  <c r="AA187" s="118"/>
      <c r="AB187" s="118"/>
      <c r="AC187" s="118"/>
      <c r="AD187" s="118"/>
      <c r="AE187" s="118"/>
    </row>
    <row r="188" spans="2:31" s="113" customFormat="1">
      <c r="B188" s="112"/>
      <c r="D188" s="115"/>
      <c r="E188" s="115"/>
      <c r="F188" s="116"/>
      <c r="G188" s="117"/>
      <c r="H188" s="117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  <c r="AA188" s="118"/>
      <c r="AB188" s="118"/>
      <c r="AC188" s="118"/>
      <c r="AD188" s="118"/>
      <c r="AE188" s="118"/>
    </row>
  </sheetData>
  <autoFilter ref="B4:H65" xr:uid="{00000000-0009-0000-0000-000004000000}"/>
  <mergeCells count="107">
    <mergeCell ref="G6:G8"/>
    <mergeCell ref="H6:H8"/>
    <mergeCell ref="D11:D13"/>
    <mergeCell ref="F11:F13"/>
    <mergeCell ref="G11:G13"/>
    <mergeCell ref="H11:H13"/>
    <mergeCell ref="B2:C2"/>
    <mergeCell ref="B5:C5"/>
    <mergeCell ref="B6:B7"/>
    <mergeCell ref="C6:C8"/>
    <mergeCell ref="D6:D8"/>
    <mergeCell ref="F6:F8"/>
    <mergeCell ref="B21:B22"/>
    <mergeCell ref="C21:C22"/>
    <mergeCell ref="D21:D22"/>
    <mergeCell ref="F21:F22"/>
    <mergeCell ref="G21:G22"/>
    <mergeCell ref="H21:H22"/>
    <mergeCell ref="B15:B19"/>
    <mergeCell ref="C15:C19"/>
    <mergeCell ref="D15:D19"/>
    <mergeCell ref="F15:F19"/>
    <mergeCell ref="G15:G19"/>
    <mergeCell ref="H15:H19"/>
    <mergeCell ref="B26:B28"/>
    <mergeCell ref="C26:C28"/>
    <mergeCell ref="D26:D28"/>
    <mergeCell ref="F26:F28"/>
    <mergeCell ref="G26:G28"/>
    <mergeCell ref="H26:H28"/>
    <mergeCell ref="B24:B25"/>
    <mergeCell ref="C24:C25"/>
    <mergeCell ref="D24:D25"/>
    <mergeCell ref="F24:F25"/>
    <mergeCell ref="G24:G25"/>
    <mergeCell ref="H24:H25"/>
    <mergeCell ref="D33:D35"/>
    <mergeCell ref="F33:F35"/>
    <mergeCell ref="G33:G35"/>
    <mergeCell ref="H33:H35"/>
    <mergeCell ref="B40:B41"/>
    <mergeCell ref="C40:C41"/>
    <mergeCell ref="D40:D41"/>
    <mergeCell ref="F40:F41"/>
    <mergeCell ref="G40:G41"/>
    <mergeCell ref="H40:H41"/>
    <mergeCell ref="B57:B58"/>
    <mergeCell ref="C57:C58"/>
    <mergeCell ref="D57:D58"/>
    <mergeCell ref="F57:F58"/>
    <mergeCell ref="G57:G58"/>
    <mergeCell ref="H57:H58"/>
    <mergeCell ref="C43:C44"/>
    <mergeCell ref="D43:D44"/>
    <mergeCell ref="F43:F44"/>
    <mergeCell ref="G43:G44"/>
    <mergeCell ref="H43:H44"/>
    <mergeCell ref="D47:D54"/>
    <mergeCell ref="F47:F54"/>
    <mergeCell ref="G47:G54"/>
    <mergeCell ref="H47:H54"/>
    <mergeCell ref="G70:G71"/>
    <mergeCell ref="H70:H71"/>
    <mergeCell ref="C72:C73"/>
    <mergeCell ref="D72:D73"/>
    <mergeCell ref="F72:F73"/>
    <mergeCell ref="G72:G73"/>
    <mergeCell ref="H72:H73"/>
    <mergeCell ref="B65:C65"/>
    <mergeCell ref="B68:C68"/>
    <mergeCell ref="B70:B71"/>
    <mergeCell ref="C70:C71"/>
    <mergeCell ref="D70:D71"/>
    <mergeCell ref="F70:F71"/>
    <mergeCell ref="B76:B79"/>
    <mergeCell ref="C76:C80"/>
    <mergeCell ref="D76:D79"/>
    <mergeCell ref="F76:F80"/>
    <mergeCell ref="G76:G80"/>
    <mergeCell ref="H76:H80"/>
    <mergeCell ref="B74:B75"/>
    <mergeCell ref="C74:C75"/>
    <mergeCell ref="D74:D75"/>
    <mergeCell ref="F74:F75"/>
    <mergeCell ref="G74:G75"/>
    <mergeCell ref="H74:H75"/>
    <mergeCell ref="D82:D84"/>
    <mergeCell ref="F82:F84"/>
    <mergeCell ref="G82:G84"/>
    <mergeCell ref="H82:H84"/>
    <mergeCell ref="B86:B87"/>
    <mergeCell ref="C86:C87"/>
    <mergeCell ref="D86:D87"/>
    <mergeCell ref="F86:F87"/>
    <mergeCell ref="G86:G87"/>
    <mergeCell ref="H86:H87"/>
    <mergeCell ref="D91:D92"/>
    <mergeCell ref="F91:F92"/>
    <mergeCell ref="G91:G92"/>
    <mergeCell ref="H91:H92"/>
    <mergeCell ref="B93:C93"/>
    <mergeCell ref="B88:B90"/>
    <mergeCell ref="C88:C90"/>
    <mergeCell ref="D88:D90"/>
    <mergeCell ref="F88:F90"/>
    <mergeCell ref="G88:G90"/>
    <mergeCell ref="H88:H90"/>
  </mergeCells>
  <printOptions horizontalCentered="1"/>
  <pageMargins left="0" right="0" top="0" bottom="0" header="0" footer="0"/>
  <pageSetup paperSize="9" scale="60" orientation="landscape" verticalDpi="200" r:id="rId1"/>
  <rowBreaks count="2" manualBreakCount="2">
    <brk id="41" max="12" man="1"/>
    <brk id="80" max="1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I167"/>
  <sheetViews>
    <sheetView view="pageBreakPreview" zoomScale="90" zoomScaleNormal="86" zoomScaleSheetLayoutView="90" workbookViewId="0">
      <pane xSplit="9" ySplit="4" topLeftCell="J43" activePane="bottomRight" state="frozen"/>
      <selection pane="topRight" activeCell="N1" sqref="N1"/>
      <selection pane="bottomLeft" activeCell="A5" sqref="A5"/>
      <selection pane="bottomRight" activeCell="K54" sqref="K54"/>
    </sheetView>
  </sheetViews>
  <sheetFormatPr defaultColWidth="11.42578125" defaultRowHeight="15"/>
  <cols>
    <col min="1" max="1" width="1.85546875" style="113" customWidth="1"/>
    <col min="2" max="2" width="15.5703125" style="114" bestFit="1" customWidth="1"/>
    <col min="3" max="3" width="57.5703125" style="113" bestFit="1" customWidth="1"/>
    <col min="4" max="4" width="17.140625" style="219" bestFit="1" customWidth="1"/>
    <col min="5" max="5" width="16.7109375" style="219" bestFit="1" customWidth="1"/>
    <col min="6" max="6" width="16.7109375" style="116" bestFit="1" customWidth="1"/>
    <col min="7" max="7" width="13.85546875" style="117" bestFit="1" customWidth="1"/>
    <col min="8" max="8" width="17.42578125" style="117" bestFit="1" customWidth="1"/>
    <col min="9" max="9" width="1.5703125" style="113" customWidth="1"/>
    <col min="10" max="10" width="11.5703125" style="118" bestFit="1" customWidth="1"/>
    <col min="11" max="11" width="19.85546875" style="118" customWidth="1"/>
    <col min="12" max="12" width="55" style="118" customWidth="1"/>
    <col min="13" max="13" width="16.28515625" style="118" customWidth="1"/>
    <col min="14" max="14" width="20.28515625" style="118" customWidth="1"/>
    <col min="15" max="15" width="20.7109375" style="118" customWidth="1"/>
    <col min="16" max="31" width="11.42578125" style="118"/>
    <col min="32" max="35" width="11.42578125" style="113"/>
    <col min="36" max="224" width="11.42578125" style="118"/>
    <col min="225" max="225" width="3.85546875" style="118" customWidth="1"/>
    <col min="226" max="226" width="9" style="118" customWidth="1"/>
    <col min="227" max="227" width="10.7109375" style="118" customWidth="1"/>
    <col min="228" max="228" width="9.140625" style="118" customWidth="1"/>
    <col min="229" max="229" width="11.7109375" style="118" customWidth="1"/>
    <col min="230" max="230" width="11.140625" style="118" customWidth="1"/>
    <col min="231" max="231" width="36.85546875" style="118" customWidth="1"/>
    <col min="232" max="232" width="22.28515625" style="118" customWidth="1"/>
    <col min="233" max="236" width="12.7109375" style="118" customWidth="1"/>
    <col min="237" max="16384" width="11.42578125" style="118"/>
  </cols>
  <sheetData>
    <row r="1" spans="1:35" s="113" customFormat="1">
      <c r="B1" s="114"/>
      <c r="D1" s="219"/>
      <c r="E1" s="219"/>
      <c r="F1" s="116"/>
      <c r="G1" s="117"/>
      <c r="H1" s="117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</row>
    <row r="2" spans="1:35" s="113" customFormat="1" ht="18.75" customHeight="1">
      <c r="B2" s="376" t="s">
        <v>197</v>
      </c>
      <c r="C2" s="376"/>
      <c r="D2" s="220"/>
      <c r="E2" s="220"/>
      <c r="F2" s="119"/>
      <c r="G2" s="119"/>
      <c r="H2" s="119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</row>
    <row r="3" spans="1:35" s="113" customFormat="1" ht="15.75" thickBot="1">
      <c r="B3" s="114"/>
      <c r="D3" s="219"/>
      <c r="E3" s="219"/>
      <c r="F3" s="116"/>
      <c r="G3" s="117"/>
      <c r="H3" s="117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</row>
    <row r="4" spans="1:35" ht="44.25" customHeight="1" thickBot="1">
      <c r="B4" s="221" t="s">
        <v>121</v>
      </c>
      <c r="C4" s="121" t="s">
        <v>122</v>
      </c>
      <c r="D4" s="121" t="s">
        <v>123</v>
      </c>
      <c r="E4" s="121" t="s">
        <v>124</v>
      </c>
      <c r="F4" s="121" t="s">
        <v>125</v>
      </c>
      <c r="G4" s="121" t="s">
        <v>126</v>
      </c>
      <c r="H4" s="121" t="s">
        <v>127</v>
      </c>
    </row>
    <row r="5" spans="1:35" s="225" customFormat="1" ht="23.25" customHeight="1">
      <c r="A5" s="222"/>
      <c r="B5" s="336" t="s">
        <v>128</v>
      </c>
      <c r="C5" s="337"/>
      <c r="D5" s="223"/>
      <c r="E5" s="223"/>
      <c r="F5" s="223"/>
      <c r="G5" s="223"/>
      <c r="H5" s="224"/>
      <c r="I5" s="222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222"/>
      <c r="AG5" s="222"/>
      <c r="AH5" s="222"/>
      <c r="AI5" s="222"/>
    </row>
    <row r="6" spans="1:35" ht="18" customHeight="1">
      <c r="B6" s="395">
        <v>61223</v>
      </c>
      <c r="C6" s="387" t="s">
        <v>40</v>
      </c>
      <c r="D6" s="435">
        <f>'[6]BUDGET Fonct'!E10</f>
        <v>250000</v>
      </c>
      <c r="E6" s="130">
        <v>100000</v>
      </c>
      <c r="F6" s="382">
        <f>D6-E6-E7</f>
        <v>0</v>
      </c>
      <c r="G6" s="382">
        <v>250000</v>
      </c>
      <c r="H6" s="382">
        <f>E6+E7-G6</f>
        <v>0</v>
      </c>
    </row>
    <row r="7" spans="1:35" ht="25.5" customHeight="1">
      <c r="B7" s="396"/>
      <c r="C7" s="388"/>
      <c r="D7" s="383"/>
      <c r="E7" s="130">
        <v>150000</v>
      </c>
      <c r="F7" s="383"/>
      <c r="G7" s="383"/>
      <c r="H7" s="383"/>
    </row>
    <row r="8" spans="1:35" ht="18" customHeight="1">
      <c r="B8" s="216">
        <v>61227011</v>
      </c>
      <c r="C8" s="180" t="s">
        <v>129</v>
      </c>
      <c r="D8" s="140">
        <v>122530</v>
      </c>
      <c r="E8" s="140">
        <v>122529.7</v>
      </c>
      <c r="F8" s="140">
        <f>+D8-E8</f>
        <v>0.30000000000291038</v>
      </c>
      <c r="G8" s="131">
        <v>0</v>
      </c>
      <c r="H8" s="140">
        <f>E8-G8</f>
        <v>122529.7</v>
      </c>
    </row>
    <row r="9" spans="1:35" ht="18" customHeight="1">
      <c r="B9" s="216">
        <v>61227012</v>
      </c>
      <c r="C9" s="180" t="s">
        <v>130</v>
      </c>
      <c r="D9" s="140">
        <f>'[6]BUDGET Fonct'!E13 - 22530-9125</f>
        <v>8345</v>
      </c>
      <c r="E9" s="140">
        <v>8344.44</v>
      </c>
      <c r="F9" s="140">
        <f>D9-E9</f>
        <v>0.55999999999949068</v>
      </c>
      <c r="G9" s="140">
        <v>0</v>
      </c>
      <c r="H9" s="140">
        <f>E9-G9</f>
        <v>8344.44</v>
      </c>
    </row>
    <row r="10" spans="1:35" ht="18" customHeight="1">
      <c r="B10" s="216">
        <v>61227013</v>
      </c>
      <c r="C10" s="180" t="s">
        <v>131</v>
      </c>
      <c r="D10" s="405">
        <v>129125</v>
      </c>
      <c r="E10" s="140">
        <v>51042.9</v>
      </c>
      <c r="F10" s="405">
        <f>D10-E10-E11</f>
        <v>295.70000000001164</v>
      </c>
      <c r="G10" s="405">
        <v>0</v>
      </c>
      <c r="H10" s="405">
        <f>E10+E11-G10</f>
        <v>128829.29999999999</v>
      </c>
    </row>
    <row r="11" spans="1:35" ht="18" customHeight="1">
      <c r="B11" s="226"/>
      <c r="C11" s="182"/>
      <c r="D11" s="406"/>
      <c r="E11" s="183">
        <v>77786.399999999994</v>
      </c>
      <c r="F11" s="406"/>
      <c r="G11" s="406"/>
      <c r="H11" s="406"/>
    </row>
    <row r="12" spans="1:35" ht="18" customHeight="1">
      <c r="B12" s="216">
        <v>61263</v>
      </c>
      <c r="C12" s="180" t="s">
        <v>133</v>
      </c>
      <c r="D12" s="131">
        <f>'[6]BUDGET Fonct'!E20</f>
        <v>120000</v>
      </c>
      <c r="E12" s="131">
        <v>120000</v>
      </c>
      <c r="F12" s="140">
        <f>D12-E12</f>
        <v>0</v>
      </c>
      <c r="G12" s="131">
        <v>0</v>
      </c>
      <c r="H12" s="140">
        <f>E12-G12</f>
        <v>120000</v>
      </c>
    </row>
    <row r="13" spans="1:35" ht="18.75" customHeight="1">
      <c r="B13" s="395">
        <v>6131801</v>
      </c>
      <c r="C13" s="413" t="s">
        <v>134</v>
      </c>
      <c r="D13" s="405">
        <f>'[6]BUDGET Fonct'!E24</f>
        <v>645000</v>
      </c>
      <c r="E13" s="140">
        <v>498000</v>
      </c>
      <c r="F13" s="382">
        <f>+D13-E13-E14-E15-E16</f>
        <v>45000</v>
      </c>
      <c r="G13" s="140">
        <f>290500+207500</f>
        <v>498000</v>
      </c>
      <c r="H13" s="382">
        <f>E13+E14+E15+E16-G13-G14-G15-G16</f>
        <v>0</v>
      </c>
      <c r="L13" s="184" t="s">
        <v>184</v>
      </c>
      <c r="M13" s="227" t="s">
        <v>185</v>
      </c>
      <c r="N13" s="228">
        <v>41500</v>
      </c>
      <c r="Q13" s="118">
        <v>124500</v>
      </c>
    </row>
    <row r="14" spans="1:35" ht="18.75" customHeight="1">
      <c r="B14" s="432"/>
      <c r="C14" s="373"/>
      <c r="D14" s="416"/>
      <c r="E14" s="188">
        <v>42000</v>
      </c>
      <c r="F14" s="347"/>
      <c r="G14" s="188">
        <f>24500+17500</f>
        <v>42000</v>
      </c>
      <c r="H14" s="405"/>
      <c r="L14" s="230"/>
      <c r="M14" s="231" t="s">
        <v>186</v>
      </c>
      <c r="N14" s="232">
        <v>2000</v>
      </c>
      <c r="Q14" s="118">
        <v>10500</v>
      </c>
    </row>
    <row r="15" spans="1:35" ht="18.75" customHeight="1">
      <c r="B15" s="434"/>
      <c r="C15" s="374"/>
      <c r="D15" s="416"/>
      <c r="E15" s="188">
        <v>24000</v>
      </c>
      <c r="F15" s="347"/>
      <c r="G15" s="188">
        <f>14000+10000</f>
        <v>24000</v>
      </c>
      <c r="H15" s="416"/>
      <c r="L15" s="233" t="s">
        <v>188</v>
      </c>
      <c r="M15" s="231" t="s">
        <v>187</v>
      </c>
      <c r="N15" s="232">
        <v>2000</v>
      </c>
      <c r="Q15" s="118">
        <v>6000</v>
      </c>
    </row>
    <row r="16" spans="1:35" ht="18.75" customHeight="1">
      <c r="B16" s="433"/>
      <c r="C16" s="415"/>
      <c r="D16" s="406"/>
      <c r="E16" s="183">
        <v>36000</v>
      </c>
      <c r="F16" s="383"/>
      <c r="G16" s="183">
        <f>21000+15000</f>
        <v>36000</v>
      </c>
      <c r="H16" s="406"/>
      <c r="L16" s="234" t="s">
        <v>190</v>
      </c>
      <c r="M16" s="235" t="s">
        <v>189</v>
      </c>
      <c r="N16" s="236">
        <v>3500</v>
      </c>
      <c r="Q16" s="118">
        <v>3500</v>
      </c>
    </row>
    <row r="17" spans="1:35" ht="18" customHeight="1">
      <c r="B17" s="237">
        <v>6133111</v>
      </c>
      <c r="C17" s="180" t="s">
        <v>135</v>
      </c>
      <c r="D17" s="131">
        <f>'[6]BUDGET Fonct'!E27 +10000</f>
        <v>60000</v>
      </c>
      <c r="E17" s="166">
        <v>59988</v>
      </c>
      <c r="F17" s="140">
        <f>D17-E17</f>
        <v>12</v>
      </c>
      <c r="G17" s="131">
        <v>0</v>
      </c>
      <c r="H17" s="140">
        <f>E17-G17</f>
        <v>59988</v>
      </c>
      <c r="N17" s="200">
        <f>SUM(N13:N16)</f>
        <v>49000</v>
      </c>
      <c r="Q17" s="118">
        <f>SUM(Q13:Q16)</f>
        <v>144500</v>
      </c>
      <c r="R17" s="118">
        <f>Q17*3</f>
        <v>433500</v>
      </c>
    </row>
    <row r="18" spans="1:35" ht="18" customHeight="1">
      <c r="B18" s="432">
        <v>6133221</v>
      </c>
      <c r="C18" s="409" t="s">
        <v>136</v>
      </c>
      <c r="D18" s="405">
        <f>'[6]BUDGET Fonct'!E28</f>
        <v>145000</v>
      </c>
      <c r="E18" s="140">
        <v>60000</v>
      </c>
      <c r="F18" s="405">
        <f>D18-E18-E19</f>
        <v>0</v>
      </c>
      <c r="G18" s="405">
        <v>145000</v>
      </c>
      <c r="H18" s="405">
        <f>E18+E19-G18</f>
        <v>0</v>
      </c>
    </row>
    <row r="19" spans="1:35" ht="18" customHeight="1">
      <c r="B19" s="433"/>
      <c r="C19" s="410"/>
      <c r="D19" s="406"/>
      <c r="E19" s="183">
        <v>85000</v>
      </c>
      <c r="F19" s="406"/>
      <c r="G19" s="406"/>
      <c r="H19" s="406"/>
    </row>
    <row r="20" spans="1:35" s="218" customFormat="1" ht="18" customHeight="1">
      <c r="B20" s="216">
        <v>6133241</v>
      </c>
      <c r="C20" s="180" t="s">
        <v>138</v>
      </c>
      <c r="D20" s="140">
        <f>'[6]BUDGET Fonct'!E30</f>
        <v>80000</v>
      </c>
      <c r="E20" s="140">
        <v>80000</v>
      </c>
      <c r="F20" s="166">
        <f t="shared" ref="F20:F26" si="0">D20-E20</f>
        <v>0</v>
      </c>
      <c r="G20" s="166">
        <v>0</v>
      </c>
      <c r="H20" s="166">
        <f t="shared" ref="H20:H24" si="1">E20-G20</f>
        <v>80000</v>
      </c>
    </row>
    <row r="21" spans="1:35" s="238" customFormat="1" ht="18" customHeight="1">
      <c r="A21" s="218"/>
      <c r="B21" s="395">
        <v>61335</v>
      </c>
      <c r="C21" s="418" t="s">
        <v>55</v>
      </c>
      <c r="D21" s="382">
        <f>'[6]BUDGET Fonct'!E31</f>
        <v>50000</v>
      </c>
      <c r="E21" s="130">
        <v>23400</v>
      </c>
      <c r="F21" s="405">
        <f>+D21-E21-E22</f>
        <v>0</v>
      </c>
      <c r="G21" s="131">
        <v>11700</v>
      </c>
      <c r="H21" s="382">
        <f>E21+E22-G21-G22</f>
        <v>38300</v>
      </c>
      <c r="I21" s="218"/>
      <c r="AF21" s="218"/>
      <c r="AG21" s="218"/>
      <c r="AH21" s="218"/>
      <c r="AI21" s="218"/>
    </row>
    <row r="22" spans="1:35" s="238" customFormat="1" ht="18" customHeight="1">
      <c r="A22" s="218"/>
      <c r="B22" s="396"/>
      <c r="C22" s="420"/>
      <c r="D22" s="383"/>
      <c r="E22" s="131">
        <v>26600</v>
      </c>
      <c r="F22" s="406"/>
      <c r="G22" s="131">
        <v>0</v>
      </c>
      <c r="H22" s="383"/>
      <c r="I22" s="218"/>
      <c r="AF22" s="218"/>
      <c r="AG22" s="218"/>
      <c r="AH22" s="218"/>
      <c r="AI22" s="218"/>
    </row>
    <row r="23" spans="1:35" ht="18" customHeight="1">
      <c r="B23" s="239">
        <v>6134121</v>
      </c>
      <c r="C23" s="204" t="s">
        <v>139</v>
      </c>
      <c r="D23" s="166">
        <f>'[6]BUDGET Fonct'!E33</f>
        <v>25000</v>
      </c>
      <c r="E23" s="166">
        <v>16877.099999999999</v>
      </c>
      <c r="F23" s="166">
        <f t="shared" si="0"/>
        <v>8122.9000000000015</v>
      </c>
      <c r="G23" s="166">
        <v>16877.099999999999</v>
      </c>
      <c r="H23" s="166">
        <f t="shared" si="1"/>
        <v>0</v>
      </c>
    </row>
    <row r="24" spans="1:35" ht="18" customHeight="1">
      <c r="B24" s="239">
        <v>6134501</v>
      </c>
      <c r="C24" s="204" t="s">
        <v>58</v>
      </c>
      <c r="D24" s="166">
        <f>'[6]BUDGET Fonct'!E34</f>
        <v>50000</v>
      </c>
      <c r="E24" s="166">
        <v>23458.52</v>
      </c>
      <c r="F24" s="166">
        <f t="shared" si="0"/>
        <v>26541.48</v>
      </c>
      <c r="G24" s="166">
        <f>22171.49+1287.03</f>
        <v>23458.52</v>
      </c>
      <c r="H24" s="166">
        <f t="shared" si="1"/>
        <v>0</v>
      </c>
    </row>
    <row r="25" spans="1:35" s="241" customFormat="1" ht="18" customHeight="1">
      <c r="A25" s="240"/>
      <c r="B25" s="229">
        <v>61354</v>
      </c>
      <c r="C25" s="201" t="s">
        <v>140</v>
      </c>
      <c r="D25" s="140">
        <f>'[6]BUDGET Fonct'!E36</f>
        <v>293000</v>
      </c>
      <c r="E25" s="140">
        <v>244928.14</v>
      </c>
      <c r="F25" s="166">
        <f t="shared" si="0"/>
        <v>48071.859999999986</v>
      </c>
      <c r="G25" s="140">
        <v>222421.23</v>
      </c>
      <c r="H25" s="140">
        <f>E25-G25</f>
        <v>22506.910000000003</v>
      </c>
      <c r="I25" s="240"/>
      <c r="AF25" s="240"/>
      <c r="AG25" s="240"/>
      <c r="AH25" s="240"/>
      <c r="AI25" s="240"/>
    </row>
    <row r="26" spans="1:35" s="241" customFormat="1" ht="18" customHeight="1">
      <c r="A26" s="240"/>
      <c r="B26" s="229">
        <v>61355</v>
      </c>
      <c r="C26" s="201" t="s">
        <v>141</v>
      </c>
      <c r="D26" s="140">
        <f>'[6]BUDGET Fonct'!E37</f>
        <v>77535</v>
      </c>
      <c r="E26" s="140">
        <v>77162.81</v>
      </c>
      <c r="F26" s="166">
        <f t="shared" si="0"/>
        <v>372.19000000000233</v>
      </c>
      <c r="G26" s="140">
        <v>77162.81</v>
      </c>
      <c r="H26" s="140">
        <f>E26-G26</f>
        <v>0</v>
      </c>
      <c r="I26" s="240"/>
      <c r="AF26" s="240"/>
      <c r="AG26" s="240"/>
      <c r="AH26" s="240"/>
      <c r="AI26" s="240"/>
    </row>
    <row r="27" spans="1:35" s="113" customFormat="1" ht="18" customHeight="1">
      <c r="B27" s="216">
        <v>6136501</v>
      </c>
      <c r="C27" s="180" t="s">
        <v>142</v>
      </c>
      <c r="D27" s="405">
        <f>'[6]BUDGET Fonct'!E39</f>
        <v>150000</v>
      </c>
      <c r="E27" s="140">
        <v>48000</v>
      </c>
      <c r="F27" s="405">
        <f>D27-E27-E28-E29</f>
        <v>0</v>
      </c>
      <c r="G27" s="405">
        <v>0</v>
      </c>
      <c r="H27" s="382">
        <f>E27+E28+E29-G27</f>
        <v>150000</v>
      </c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</row>
    <row r="28" spans="1:35" ht="18" customHeight="1">
      <c r="B28" s="242"/>
      <c r="C28" s="181"/>
      <c r="D28" s="416"/>
      <c r="E28" s="188">
        <v>50000</v>
      </c>
      <c r="F28" s="416"/>
      <c r="G28" s="416"/>
      <c r="H28" s="347"/>
    </row>
    <row r="29" spans="1:35" ht="18" customHeight="1">
      <c r="B29" s="226"/>
      <c r="C29" s="182"/>
      <c r="D29" s="406"/>
      <c r="E29" s="183">
        <v>52000</v>
      </c>
      <c r="F29" s="406"/>
      <c r="G29" s="406"/>
      <c r="H29" s="383"/>
    </row>
    <row r="30" spans="1:35" s="238" customFormat="1" ht="18" customHeight="1">
      <c r="A30" s="218"/>
      <c r="B30" s="239">
        <v>61415</v>
      </c>
      <c r="C30" s="204" t="s">
        <v>143</v>
      </c>
      <c r="D30" s="166">
        <f>'[6]BUDGET Fonct'!E43</f>
        <v>30000</v>
      </c>
      <c r="E30" s="166">
        <v>30000</v>
      </c>
      <c r="F30" s="166">
        <f t="shared" ref="F30:F33" si="2">D30-E30</f>
        <v>0</v>
      </c>
      <c r="G30" s="166">
        <v>0</v>
      </c>
      <c r="H30" s="166">
        <f t="shared" ref="H30:H33" si="3">E30-G30</f>
        <v>30000</v>
      </c>
      <c r="I30" s="218"/>
      <c r="AF30" s="218"/>
      <c r="AG30" s="218"/>
      <c r="AH30" s="218"/>
      <c r="AI30" s="218"/>
    </row>
    <row r="31" spans="1:35" ht="18" customHeight="1">
      <c r="B31" s="239">
        <v>6141601</v>
      </c>
      <c r="C31" s="204" t="s">
        <v>144</v>
      </c>
      <c r="D31" s="166">
        <f>'[6]BUDGET Fonct'!E44</f>
        <v>30000</v>
      </c>
      <c r="E31" s="166">
        <v>30000</v>
      </c>
      <c r="F31" s="166">
        <f t="shared" si="2"/>
        <v>0</v>
      </c>
      <c r="G31" s="166">
        <v>0</v>
      </c>
      <c r="H31" s="166">
        <f t="shared" si="3"/>
        <v>30000</v>
      </c>
    </row>
    <row r="32" spans="1:35" ht="18" customHeight="1">
      <c r="B32" s="239">
        <v>6143701</v>
      </c>
      <c r="C32" s="204" t="s">
        <v>145</v>
      </c>
      <c r="D32" s="166">
        <f>'[6]BUDGET Fonct'!E45</f>
        <v>80000</v>
      </c>
      <c r="E32" s="166">
        <v>80000</v>
      </c>
      <c r="F32" s="166">
        <f>D32-E32</f>
        <v>0</v>
      </c>
      <c r="G32" s="166">
        <v>0</v>
      </c>
      <c r="H32" s="166">
        <f t="shared" si="3"/>
        <v>80000</v>
      </c>
    </row>
    <row r="33" spans="1:35" s="244" customFormat="1" ht="18" customHeight="1">
      <c r="A33" s="243"/>
      <c r="B33" s="239">
        <v>61425</v>
      </c>
      <c r="C33" s="204" t="s">
        <v>146</v>
      </c>
      <c r="D33" s="166">
        <f>'[6]BUDGET Fonct'!E47</f>
        <v>10000</v>
      </c>
      <c r="E33" s="166">
        <v>9996</v>
      </c>
      <c r="F33" s="166">
        <f t="shared" si="2"/>
        <v>4</v>
      </c>
      <c r="G33" s="166">
        <v>0</v>
      </c>
      <c r="H33" s="166">
        <f t="shared" si="3"/>
        <v>9996</v>
      </c>
      <c r="I33" s="243"/>
      <c r="AF33" s="243"/>
      <c r="AG33" s="243"/>
      <c r="AH33" s="243"/>
      <c r="AI33" s="243"/>
    </row>
    <row r="34" spans="1:35" ht="18" customHeight="1">
      <c r="B34" s="395">
        <v>6143101</v>
      </c>
      <c r="C34" s="387" t="s">
        <v>64</v>
      </c>
      <c r="D34" s="382">
        <v>510000</v>
      </c>
      <c r="E34" s="166">
        <v>20000</v>
      </c>
      <c r="F34" s="382">
        <f>D34-E34-E35</f>
        <v>20</v>
      </c>
      <c r="G34" s="382">
        <v>319960</v>
      </c>
      <c r="H34" s="382">
        <f>E34+E35-G34</f>
        <v>190020</v>
      </c>
    </row>
    <row r="35" spans="1:35" ht="18" customHeight="1">
      <c r="B35" s="396"/>
      <c r="C35" s="388"/>
      <c r="D35" s="383"/>
      <c r="E35" s="131">
        <f>190020+319960-20000</f>
        <v>489980</v>
      </c>
      <c r="F35" s="383"/>
      <c r="G35" s="383"/>
      <c r="H35" s="383"/>
    </row>
    <row r="36" spans="1:35" s="238" customFormat="1" ht="18" customHeight="1">
      <c r="A36" s="218"/>
      <c r="B36" s="216">
        <v>6143103</v>
      </c>
      <c r="C36" s="202" t="s">
        <v>148</v>
      </c>
      <c r="D36" s="140">
        <f>'[6]BUDGET Fonct'!E51</f>
        <v>20000</v>
      </c>
      <c r="E36" s="140">
        <v>20000</v>
      </c>
      <c r="F36" s="131">
        <f>D36-E36</f>
        <v>0</v>
      </c>
      <c r="G36" s="131">
        <v>20000</v>
      </c>
      <c r="H36" s="131">
        <f>E36-G36</f>
        <v>0</v>
      </c>
      <c r="I36" s="218"/>
      <c r="AF36" s="218"/>
      <c r="AG36" s="218"/>
      <c r="AH36" s="218"/>
      <c r="AI36" s="218"/>
    </row>
    <row r="37" spans="1:35" s="238" customFormat="1" ht="18" customHeight="1">
      <c r="A37" s="218"/>
      <c r="B37" s="428">
        <v>6143601</v>
      </c>
      <c r="C37" s="430" t="s">
        <v>149</v>
      </c>
      <c r="D37" s="382">
        <v>160000</v>
      </c>
      <c r="E37" s="140">
        <v>16720</v>
      </c>
      <c r="F37" s="382">
        <f>D37-E37-E38-E39</f>
        <v>3.3600000000005821</v>
      </c>
      <c r="G37" s="382">
        <v>0</v>
      </c>
      <c r="H37" s="382">
        <f>E37+E38+E39-G37</f>
        <v>159996.64000000001</v>
      </c>
      <c r="I37" s="218"/>
      <c r="AF37" s="218"/>
      <c r="AG37" s="218"/>
      <c r="AH37" s="218"/>
      <c r="AI37" s="218"/>
    </row>
    <row r="38" spans="1:35" s="238" customFormat="1" ht="18" customHeight="1">
      <c r="A38" s="218"/>
      <c r="B38" s="429"/>
      <c r="C38" s="431"/>
      <c r="D38" s="347"/>
      <c r="E38" s="183">
        <v>37950</v>
      </c>
      <c r="F38" s="347"/>
      <c r="G38" s="347"/>
      <c r="H38" s="347"/>
      <c r="I38" s="218"/>
      <c r="AF38" s="218"/>
      <c r="AG38" s="218"/>
      <c r="AH38" s="218"/>
      <c r="AI38" s="218"/>
    </row>
    <row r="39" spans="1:35" s="238" customFormat="1" ht="18" customHeight="1">
      <c r="A39" s="218"/>
      <c r="B39" s="429"/>
      <c r="C39" s="431"/>
      <c r="D39" s="347"/>
      <c r="E39" s="183">
        <v>105326.64</v>
      </c>
      <c r="F39" s="347"/>
      <c r="G39" s="347"/>
      <c r="H39" s="347"/>
      <c r="I39" s="218"/>
      <c r="AF39" s="218"/>
      <c r="AG39" s="218"/>
      <c r="AH39" s="218"/>
      <c r="AI39" s="218"/>
    </row>
    <row r="40" spans="1:35" s="238" customFormat="1" ht="18" customHeight="1">
      <c r="A40" s="218"/>
      <c r="B40" s="237">
        <v>6144101</v>
      </c>
      <c r="C40" s="180" t="s">
        <v>150</v>
      </c>
      <c r="D40" s="382">
        <f>'[6]BUDGET Fonct'!E55+15900</f>
        <v>55900</v>
      </c>
      <c r="E40" s="140">
        <v>6480</v>
      </c>
      <c r="F40" s="382">
        <f>D40-E40-E41-E42-E43-E44-E45-E46-E47</f>
        <v>67</v>
      </c>
      <c r="G40" s="382">
        <v>0</v>
      </c>
      <c r="H40" s="382">
        <f>E40+E41+E42+E43+E44+E45+E46+E47-G40</f>
        <v>55833</v>
      </c>
      <c r="I40" s="218"/>
      <c r="J40" s="245">
        <f>SUM(E40:E47)</f>
        <v>55833</v>
      </c>
      <c r="AF40" s="218"/>
      <c r="AG40" s="218"/>
      <c r="AH40" s="218"/>
      <c r="AI40" s="218"/>
    </row>
    <row r="41" spans="1:35" s="238" customFormat="1" ht="18" customHeight="1">
      <c r="A41" s="218"/>
      <c r="B41" s="242"/>
      <c r="C41" s="181"/>
      <c r="D41" s="347"/>
      <c r="E41" s="188">
        <v>4200</v>
      </c>
      <c r="F41" s="347"/>
      <c r="G41" s="347"/>
      <c r="H41" s="347"/>
      <c r="I41" s="218"/>
      <c r="AF41" s="218"/>
      <c r="AG41" s="218"/>
      <c r="AH41" s="218"/>
      <c r="AI41" s="218"/>
    </row>
    <row r="42" spans="1:35" s="238" customFormat="1" ht="18" customHeight="1">
      <c r="A42" s="218"/>
      <c r="B42" s="242"/>
      <c r="C42" s="181"/>
      <c r="D42" s="347"/>
      <c r="E42" s="188">
        <v>9600</v>
      </c>
      <c r="F42" s="347"/>
      <c r="G42" s="347"/>
      <c r="H42" s="347"/>
      <c r="I42" s="218"/>
      <c r="J42" s="245"/>
      <c r="AF42" s="218"/>
      <c r="AG42" s="218"/>
      <c r="AH42" s="218"/>
      <c r="AI42" s="218"/>
    </row>
    <row r="43" spans="1:35" s="238" customFormat="1" ht="18" customHeight="1">
      <c r="A43" s="218"/>
      <c r="B43" s="242"/>
      <c r="C43" s="181"/>
      <c r="D43" s="347"/>
      <c r="E43" s="188">
        <v>9600</v>
      </c>
      <c r="F43" s="347"/>
      <c r="G43" s="347"/>
      <c r="H43" s="347"/>
      <c r="I43" s="218"/>
      <c r="AF43" s="218"/>
      <c r="AG43" s="218"/>
      <c r="AH43" s="218"/>
      <c r="AI43" s="218"/>
    </row>
    <row r="44" spans="1:35" s="238" customFormat="1" ht="18" customHeight="1">
      <c r="A44" s="218"/>
      <c r="B44" s="242"/>
      <c r="C44" s="181"/>
      <c r="D44" s="347"/>
      <c r="E44" s="188">
        <v>4200</v>
      </c>
      <c r="F44" s="347"/>
      <c r="G44" s="347"/>
      <c r="H44" s="347"/>
      <c r="I44" s="218"/>
      <c r="AF44" s="218"/>
      <c r="AG44" s="218"/>
      <c r="AH44" s="218"/>
      <c r="AI44" s="218"/>
    </row>
    <row r="45" spans="1:35" s="238" customFormat="1" ht="18" customHeight="1">
      <c r="A45" s="218"/>
      <c r="B45" s="242"/>
      <c r="C45" s="181"/>
      <c r="D45" s="347"/>
      <c r="E45" s="188">
        <v>8100</v>
      </c>
      <c r="F45" s="347"/>
      <c r="G45" s="347"/>
      <c r="H45" s="347"/>
      <c r="I45" s="218"/>
      <c r="J45" s="245"/>
      <c r="AF45" s="218"/>
      <c r="AG45" s="218"/>
      <c r="AH45" s="218"/>
      <c r="AI45" s="218"/>
    </row>
    <row r="46" spans="1:35" s="238" customFormat="1" ht="18" customHeight="1">
      <c r="A46" s="218"/>
      <c r="B46" s="242"/>
      <c r="C46" s="181"/>
      <c r="D46" s="347"/>
      <c r="E46" s="188">
        <v>9000</v>
      </c>
      <c r="F46" s="347"/>
      <c r="G46" s="347"/>
      <c r="H46" s="347"/>
      <c r="I46" s="218"/>
      <c r="AF46" s="218"/>
      <c r="AG46" s="218"/>
      <c r="AH46" s="218"/>
      <c r="AI46" s="218"/>
    </row>
    <row r="47" spans="1:35" s="238" customFormat="1" ht="18" customHeight="1">
      <c r="A47" s="218"/>
      <c r="B47" s="242"/>
      <c r="C47" s="181"/>
      <c r="D47" s="347"/>
      <c r="E47" s="188">
        <v>4653</v>
      </c>
      <c r="F47" s="347"/>
      <c r="G47" s="347"/>
      <c r="H47" s="347"/>
      <c r="I47" s="218"/>
      <c r="AF47" s="218"/>
      <c r="AG47" s="218"/>
      <c r="AH47" s="218"/>
      <c r="AI47" s="218"/>
    </row>
    <row r="48" spans="1:35" ht="18" customHeight="1">
      <c r="B48" s="237">
        <v>6144401</v>
      </c>
      <c r="C48" s="180" t="s">
        <v>79</v>
      </c>
      <c r="D48" s="405">
        <f>'[6]BUDGET Fonct'!E57-15900</f>
        <v>64100</v>
      </c>
      <c r="E48" s="140">
        <f>75680-15900</f>
        <v>59780</v>
      </c>
      <c r="F48" s="405">
        <f>D48-E48-E49</f>
        <v>0</v>
      </c>
      <c r="G48" s="405">
        <v>0</v>
      </c>
      <c r="H48" s="405">
        <f>E48+E49-G48</f>
        <v>64100</v>
      </c>
    </row>
    <row r="49" spans="1:35" ht="18" customHeight="1">
      <c r="B49" s="242"/>
      <c r="C49" s="181"/>
      <c r="D49" s="416"/>
      <c r="E49" s="188">
        <v>4320</v>
      </c>
      <c r="F49" s="416"/>
      <c r="G49" s="416"/>
      <c r="H49" s="416"/>
    </row>
    <row r="50" spans="1:35" ht="18" customHeight="1">
      <c r="B50" s="216">
        <v>6145501</v>
      </c>
      <c r="C50" s="180" t="s">
        <v>152</v>
      </c>
      <c r="D50" s="131">
        <f>'[6]BUDGET Fonct'!E60</f>
        <v>220000</v>
      </c>
      <c r="E50" s="140">
        <v>220000</v>
      </c>
      <c r="F50" s="131">
        <f>D50-E50</f>
        <v>0</v>
      </c>
      <c r="G50" s="131">
        <v>165000</v>
      </c>
      <c r="H50" s="131">
        <f>E50-G50</f>
        <v>55000</v>
      </c>
    </row>
    <row r="51" spans="1:35" s="244" customFormat="1" ht="18" customHeight="1">
      <c r="A51" s="243"/>
      <c r="B51" s="216">
        <v>6167301</v>
      </c>
      <c r="C51" s="180" t="s">
        <v>155</v>
      </c>
      <c r="D51" s="131">
        <f>'[6]BUDGET Fonct'!E71</f>
        <v>60000</v>
      </c>
      <c r="E51" s="131">
        <v>11050</v>
      </c>
      <c r="F51" s="131">
        <f t="shared" ref="F51:F55" si="4">D51-E51</f>
        <v>48950</v>
      </c>
      <c r="G51" s="131">
        <v>11050</v>
      </c>
      <c r="H51" s="131">
        <f t="shared" ref="H51:H55" si="5">E51-G51</f>
        <v>0</v>
      </c>
      <c r="I51" s="243"/>
      <c r="AF51" s="243"/>
      <c r="AG51" s="243"/>
      <c r="AH51" s="243"/>
      <c r="AI51" s="243"/>
    </row>
    <row r="52" spans="1:35" ht="18" customHeight="1">
      <c r="B52" s="239">
        <v>61745</v>
      </c>
      <c r="C52" s="204" t="s">
        <v>156</v>
      </c>
      <c r="D52" s="166">
        <f>'[6]BUDGET Fonct'!E85</f>
        <v>60000</v>
      </c>
      <c r="E52" s="166">
        <v>40632.29</v>
      </c>
      <c r="F52" s="166">
        <f t="shared" si="4"/>
        <v>19367.71</v>
      </c>
      <c r="G52" s="166">
        <v>0</v>
      </c>
      <c r="H52" s="166">
        <f t="shared" si="5"/>
        <v>40632.29</v>
      </c>
    </row>
    <row r="53" spans="1:35" s="243" customFormat="1" ht="18" customHeight="1">
      <c r="B53" s="216">
        <v>617640</v>
      </c>
      <c r="C53" s="180" t="s">
        <v>157</v>
      </c>
      <c r="D53" s="140">
        <f>'[6]BUDGET Fonct'!E92</f>
        <v>10000</v>
      </c>
      <c r="E53" s="140">
        <v>10000</v>
      </c>
      <c r="F53" s="166">
        <f t="shared" si="4"/>
        <v>0</v>
      </c>
      <c r="G53" s="166">
        <v>0</v>
      </c>
      <c r="H53" s="166">
        <f t="shared" si="5"/>
        <v>10000</v>
      </c>
    </row>
    <row r="54" spans="1:35" ht="18" customHeight="1">
      <c r="B54" s="239">
        <v>617660</v>
      </c>
      <c r="C54" s="204" t="s">
        <v>158</v>
      </c>
      <c r="D54" s="166">
        <v>20000</v>
      </c>
      <c r="E54" s="166">
        <v>20000</v>
      </c>
      <c r="F54" s="166">
        <f t="shared" si="4"/>
        <v>0</v>
      </c>
      <c r="G54" s="166">
        <v>0</v>
      </c>
      <c r="H54" s="166">
        <f t="shared" si="5"/>
        <v>20000</v>
      </c>
    </row>
    <row r="55" spans="1:35" ht="18" customHeight="1">
      <c r="B55" s="216">
        <v>6176811</v>
      </c>
      <c r="C55" s="180" t="s">
        <v>26</v>
      </c>
      <c r="D55" s="166">
        <v>200000</v>
      </c>
      <c r="E55" s="166">
        <v>200000</v>
      </c>
      <c r="F55" s="166">
        <f t="shared" si="4"/>
        <v>0</v>
      </c>
      <c r="G55" s="166">
        <v>0</v>
      </c>
      <c r="H55" s="166">
        <f t="shared" si="5"/>
        <v>200000</v>
      </c>
    </row>
    <row r="56" spans="1:35" s="225" customFormat="1" ht="30" customHeight="1">
      <c r="A56" s="222"/>
      <c r="B56" s="338" t="s">
        <v>168</v>
      </c>
      <c r="C56" s="339"/>
      <c r="D56" s="149">
        <f>SUM(D6:D55)</f>
        <v>3735535</v>
      </c>
      <c r="E56" s="149">
        <f>SUM(E6:E55)</f>
        <v>3538705.9400000004</v>
      </c>
      <c r="F56" s="149">
        <f>SUM(F6:F55)</f>
        <v>196829.06</v>
      </c>
      <c r="G56" s="149">
        <f>SUM(G6:G55)</f>
        <v>1862629.6600000001</v>
      </c>
      <c r="H56" s="149">
        <f>SUM(H6:H55)</f>
        <v>1676076.2800000003</v>
      </c>
      <c r="I56" s="222"/>
      <c r="AF56" s="222"/>
      <c r="AG56" s="222"/>
      <c r="AH56" s="222"/>
      <c r="AI56" s="222"/>
    </row>
    <row r="57" spans="1:35" s="150" customFormat="1" ht="6" customHeight="1">
      <c r="B57" s="209"/>
      <c r="C57" s="208"/>
      <c r="D57" s="210"/>
      <c r="E57" s="210"/>
      <c r="F57" s="210"/>
      <c r="G57" s="210"/>
      <c r="H57" s="210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</row>
    <row r="58" spans="1:35" s="150" customFormat="1" ht="6" customHeight="1">
      <c r="B58" s="155"/>
      <c r="C58" s="154"/>
      <c r="D58" s="156"/>
      <c r="E58" s="156"/>
      <c r="F58" s="156"/>
      <c r="G58" s="156"/>
      <c r="H58" s="156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</row>
    <row r="59" spans="1:35" s="225" customFormat="1" ht="23.25" customHeight="1">
      <c r="A59" s="222"/>
      <c r="B59" s="338" t="s">
        <v>170</v>
      </c>
      <c r="C59" s="339"/>
      <c r="D59" s="246"/>
      <c r="E59" s="246"/>
      <c r="F59" s="246"/>
      <c r="G59" s="246"/>
      <c r="H59" s="247"/>
      <c r="I59" s="222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222"/>
      <c r="AG59" s="222"/>
      <c r="AH59" s="222"/>
      <c r="AI59" s="222"/>
    </row>
    <row r="60" spans="1:35" s="225" customFormat="1" ht="23.25" customHeight="1">
      <c r="A60" s="222"/>
      <c r="B60" s="248">
        <v>22101</v>
      </c>
      <c r="C60" s="214" t="s">
        <v>194</v>
      </c>
      <c r="D60" s="249">
        <v>600000</v>
      </c>
      <c r="E60" s="249">
        <v>249600</v>
      </c>
      <c r="F60" s="249">
        <f>D60-E60</f>
        <v>350400</v>
      </c>
      <c r="G60" s="249">
        <v>0</v>
      </c>
      <c r="H60" s="249">
        <f>E60-G60</f>
        <v>249600</v>
      </c>
      <c r="I60" s="222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222"/>
      <c r="AG60" s="222"/>
      <c r="AH60" s="222"/>
      <c r="AI60" s="222"/>
    </row>
    <row r="61" spans="1:35" s="251" customFormat="1" ht="18" customHeight="1">
      <c r="A61" s="250"/>
      <c r="B61" s="248">
        <v>221023</v>
      </c>
      <c r="C61" s="214" t="s">
        <v>172</v>
      </c>
      <c r="D61" s="249">
        <f>'[6]BUDGET Invest'!G15</f>
        <v>250000</v>
      </c>
      <c r="E61" s="249">
        <v>248400</v>
      </c>
      <c r="F61" s="249">
        <f>D61-E61</f>
        <v>1600</v>
      </c>
      <c r="G61" s="249">
        <v>0</v>
      </c>
      <c r="H61" s="249">
        <f>E61-G61</f>
        <v>248400</v>
      </c>
      <c r="I61" s="250"/>
      <c r="AF61" s="250"/>
      <c r="AG61" s="250"/>
      <c r="AH61" s="250"/>
      <c r="AI61" s="250"/>
    </row>
    <row r="62" spans="1:35" s="253" customFormat="1" ht="34.5" customHeight="1">
      <c r="A62" s="252"/>
      <c r="B62" s="229">
        <v>221030</v>
      </c>
      <c r="C62" s="215" t="s">
        <v>173</v>
      </c>
      <c r="D62" s="249">
        <f>'[6]BUDGET Invest'!G16</f>
        <v>250000</v>
      </c>
      <c r="E62" s="249">
        <v>210000</v>
      </c>
      <c r="F62" s="249">
        <f>D62-E62</f>
        <v>40000</v>
      </c>
      <c r="G62" s="249">
        <v>0</v>
      </c>
      <c r="H62" s="249">
        <f>E62-G62</f>
        <v>210000</v>
      </c>
      <c r="I62" s="252"/>
      <c r="AF62" s="252"/>
      <c r="AG62" s="252"/>
      <c r="AH62" s="252"/>
      <c r="AI62" s="252"/>
    </row>
    <row r="63" spans="1:35" ht="40.5" customHeight="1">
      <c r="B63" s="239">
        <v>22108</v>
      </c>
      <c r="C63" s="204" t="s">
        <v>192</v>
      </c>
      <c r="D63" s="254">
        <f>'[6]BUDGET Invest'!G17</f>
        <v>1150000</v>
      </c>
      <c r="E63" s="254">
        <v>420000</v>
      </c>
      <c r="F63" s="254">
        <f>D63-E63</f>
        <v>730000</v>
      </c>
      <c r="G63" s="254">
        <v>0</v>
      </c>
      <c r="H63" s="254">
        <f>E63-G63</f>
        <v>420000</v>
      </c>
    </row>
    <row r="64" spans="1:35" s="238" customFormat="1" ht="18" customHeight="1">
      <c r="A64" s="218"/>
      <c r="B64" s="395">
        <v>22201</v>
      </c>
      <c r="C64" s="413" t="s">
        <v>176</v>
      </c>
      <c r="D64" s="423">
        <f>'[6]BUDGET Invest'!G19</f>
        <v>100000</v>
      </c>
      <c r="E64" s="256">
        <v>22800</v>
      </c>
      <c r="F64" s="421">
        <f>D64-E64-E65</f>
        <v>0</v>
      </c>
      <c r="G64" s="421">
        <v>0</v>
      </c>
      <c r="H64" s="423">
        <f>E64+E65+-G64</f>
        <v>100000</v>
      </c>
      <c r="I64" s="218"/>
      <c r="AF64" s="218"/>
      <c r="AG64" s="218"/>
      <c r="AH64" s="218"/>
      <c r="AI64" s="218"/>
    </row>
    <row r="65" spans="1:35" s="238" customFormat="1" ht="18" customHeight="1">
      <c r="A65" s="218"/>
      <c r="B65" s="426"/>
      <c r="C65" s="427"/>
      <c r="D65" s="424"/>
      <c r="E65" s="257">
        <v>77200</v>
      </c>
      <c r="F65" s="422"/>
      <c r="G65" s="422"/>
      <c r="H65" s="424"/>
      <c r="I65" s="218"/>
      <c r="AF65" s="218"/>
      <c r="AG65" s="218"/>
      <c r="AH65" s="218"/>
      <c r="AI65" s="218"/>
    </row>
    <row r="66" spans="1:35" s="243" customFormat="1" ht="18" customHeight="1">
      <c r="B66" s="216">
        <v>2331</v>
      </c>
      <c r="C66" s="180" t="s">
        <v>177</v>
      </c>
      <c r="D66" s="256">
        <f>'[6]BUDGET Invest'!G29</f>
        <v>100000</v>
      </c>
      <c r="E66" s="256">
        <v>99996</v>
      </c>
      <c r="F66" s="258">
        <f t="shared" ref="F66:F71" si="6">D66-E66</f>
        <v>4</v>
      </c>
      <c r="G66" s="258">
        <v>0</v>
      </c>
      <c r="H66" s="258">
        <f>E66-G66</f>
        <v>99996</v>
      </c>
    </row>
    <row r="67" spans="1:35" s="243" customFormat="1" ht="18" customHeight="1">
      <c r="B67" s="216">
        <v>23382</v>
      </c>
      <c r="C67" s="180" t="s">
        <v>178</v>
      </c>
      <c r="D67" s="255">
        <f>'[6]BUDGET Invest'!G31</f>
        <v>150000</v>
      </c>
      <c r="E67" s="256">
        <v>150000</v>
      </c>
      <c r="F67" s="255">
        <f>D67-E67</f>
        <v>0</v>
      </c>
      <c r="G67" s="255">
        <v>0</v>
      </c>
      <c r="H67" s="255">
        <f>E67-G67</f>
        <v>150000</v>
      </c>
    </row>
    <row r="68" spans="1:35" s="243" customFormat="1" ht="18" customHeight="1">
      <c r="B68" s="237">
        <v>2351</v>
      </c>
      <c r="C68" s="180" t="s">
        <v>180</v>
      </c>
      <c r="D68" s="423">
        <f>'[6]BUDGET Invest'!G36</f>
        <v>150000</v>
      </c>
      <c r="E68" s="256">
        <v>21600</v>
      </c>
      <c r="F68" s="423">
        <f>D68-E68-E69</f>
        <v>24</v>
      </c>
      <c r="G68" s="423">
        <v>0</v>
      </c>
      <c r="H68" s="423">
        <f>E68+E69-G68</f>
        <v>149976</v>
      </c>
    </row>
    <row r="69" spans="1:35" s="243" customFormat="1" ht="18" customHeight="1">
      <c r="B69" s="226"/>
      <c r="C69" s="182"/>
      <c r="D69" s="425"/>
      <c r="E69" s="259">
        <v>128376</v>
      </c>
      <c r="F69" s="425"/>
      <c r="G69" s="425"/>
      <c r="H69" s="425"/>
    </row>
    <row r="70" spans="1:35" s="243" customFormat="1" ht="18" customHeight="1">
      <c r="B70" s="216">
        <v>2355</v>
      </c>
      <c r="C70" s="180" t="s">
        <v>181</v>
      </c>
      <c r="D70" s="256">
        <f>'[6]BUDGET Invest'!G38</f>
        <v>200000</v>
      </c>
      <c r="E70" s="256">
        <v>199980</v>
      </c>
      <c r="F70" s="258">
        <f t="shared" si="6"/>
        <v>20</v>
      </c>
      <c r="G70" s="258">
        <v>0</v>
      </c>
      <c r="H70" s="258">
        <f>E70-G70</f>
        <v>199980</v>
      </c>
    </row>
    <row r="71" spans="1:35" s="243" customFormat="1" ht="18" customHeight="1">
      <c r="B71" s="216">
        <v>2356</v>
      </c>
      <c r="C71" s="180" t="s">
        <v>182</v>
      </c>
      <c r="D71" s="255">
        <f>'[6]BUDGET Invest'!G39</f>
        <v>100000</v>
      </c>
      <c r="E71" s="256">
        <v>99999.6</v>
      </c>
      <c r="F71" s="255">
        <f t="shared" si="6"/>
        <v>0.39999999999417923</v>
      </c>
      <c r="G71" s="255">
        <v>0</v>
      </c>
      <c r="H71" s="255">
        <f>E71-G71</f>
        <v>99999.6</v>
      </c>
    </row>
    <row r="72" spans="1:35" s="225" customFormat="1" ht="30" customHeight="1">
      <c r="A72" s="222"/>
      <c r="B72" s="338" t="s">
        <v>183</v>
      </c>
      <c r="C72" s="339"/>
      <c r="D72" s="149">
        <f>SUM(D60:D71)</f>
        <v>3050000</v>
      </c>
      <c r="E72" s="149">
        <f>SUM(E60:E71)</f>
        <v>1927951.6</v>
      </c>
      <c r="F72" s="149">
        <f t="shared" ref="F72:H72" si="7">SUM(F60:F71)</f>
        <v>1122048.3999999999</v>
      </c>
      <c r="G72" s="149">
        <f t="shared" si="7"/>
        <v>0</v>
      </c>
      <c r="H72" s="149">
        <f t="shared" si="7"/>
        <v>1927951.6</v>
      </c>
      <c r="I72" s="222"/>
      <c r="AF72" s="222"/>
      <c r="AG72" s="222"/>
      <c r="AH72" s="222"/>
      <c r="AI72" s="222"/>
    </row>
    <row r="73" spans="1:35" ht="10.5" customHeight="1"/>
    <row r="74" spans="1:35" ht="18" customHeight="1"/>
    <row r="75" spans="1:35" ht="18" customHeight="1"/>
    <row r="76" spans="1:35" s="113" customFormat="1">
      <c r="B76" s="114"/>
      <c r="D76" s="219"/>
      <c r="E76" s="219"/>
      <c r="F76" s="116"/>
      <c r="G76" s="117"/>
      <c r="H76" s="117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</row>
    <row r="77" spans="1:35" s="113" customFormat="1">
      <c r="B77" s="114"/>
      <c r="C77" s="104"/>
      <c r="D77" s="104"/>
      <c r="E77" s="104"/>
      <c r="F77" s="116"/>
      <c r="G77" s="117"/>
      <c r="H77" s="117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</row>
    <row r="78" spans="1:35" s="113" customFormat="1">
      <c r="B78" s="114"/>
      <c r="C78" s="104"/>
      <c r="D78" s="104"/>
      <c r="E78" s="104"/>
      <c r="F78" s="116"/>
      <c r="G78" s="117"/>
      <c r="H78" s="117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</row>
    <row r="79" spans="1:35" s="113" customFormat="1">
      <c r="B79" s="114"/>
      <c r="C79" s="104"/>
      <c r="D79" s="104"/>
      <c r="E79" s="104"/>
      <c r="F79" s="116"/>
      <c r="G79" s="117"/>
      <c r="H79" s="117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</row>
    <row r="80" spans="1:35" s="113" customFormat="1">
      <c r="B80" s="114"/>
      <c r="C80" s="104"/>
      <c r="D80" s="104"/>
      <c r="E80" s="104"/>
      <c r="F80" s="116"/>
      <c r="G80" s="117"/>
      <c r="H80" s="117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</row>
    <row r="81" spans="2:31" s="113" customFormat="1">
      <c r="B81" s="114"/>
      <c r="C81" s="104"/>
      <c r="D81" s="104"/>
      <c r="E81" s="104"/>
      <c r="F81" s="116"/>
      <c r="G81" s="117"/>
      <c r="H81" s="117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</row>
    <row r="82" spans="2:31" s="113" customFormat="1">
      <c r="B82" s="114"/>
      <c r="C82" s="104"/>
      <c r="D82" s="104"/>
      <c r="E82" s="104"/>
      <c r="F82" s="116"/>
      <c r="G82" s="117"/>
      <c r="H82" s="117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</row>
    <row r="83" spans="2:31" s="113" customFormat="1" ht="12.75">
      <c r="B83" s="114"/>
      <c r="C83" s="104"/>
      <c r="D83" s="104"/>
      <c r="E83" s="104"/>
      <c r="F83" s="174"/>
      <c r="G83" s="174"/>
      <c r="H83" s="174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</row>
    <row r="84" spans="2:31" s="113" customFormat="1" ht="12.75">
      <c r="B84" s="114"/>
      <c r="C84" s="174" t="s">
        <v>185</v>
      </c>
      <c r="D84" s="174"/>
      <c r="E84" s="174"/>
      <c r="F84" s="174">
        <v>207500</v>
      </c>
      <c r="G84" s="174" t="e">
        <f>F84+#REF!</f>
        <v>#REF!</v>
      </c>
      <c r="H84" s="174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  <c r="AC84" s="118"/>
      <c r="AD84" s="118"/>
      <c r="AE84" s="118"/>
    </row>
    <row r="85" spans="2:31" s="113" customFormat="1" ht="12.75">
      <c r="B85" s="114"/>
      <c r="C85" s="174" t="s">
        <v>189</v>
      </c>
      <c r="D85" s="174"/>
      <c r="E85" s="174"/>
      <c r="F85" s="174">
        <v>17500</v>
      </c>
      <c r="G85" s="174" t="e">
        <f>F85+#REF!</f>
        <v>#REF!</v>
      </c>
      <c r="H85" s="174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</row>
    <row r="86" spans="2:31" s="113" customFormat="1" ht="12.75">
      <c r="B86" s="114"/>
      <c r="C86" s="174" t="s">
        <v>187</v>
      </c>
      <c r="D86" s="174"/>
      <c r="E86" s="174"/>
      <c r="F86" s="174">
        <v>10000</v>
      </c>
      <c r="G86" s="174" t="e">
        <f>F86+#REF!</f>
        <v>#REF!</v>
      </c>
      <c r="H86" s="174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</row>
    <row r="87" spans="2:31" s="113" customFormat="1" ht="12.75">
      <c r="B87" s="114"/>
      <c r="C87" s="174" t="s">
        <v>193</v>
      </c>
      <c r="D87" s="174"/>
      <c r="E87" s="174"/>
      <c r="F87" s="174">
        <v>15000</v>
      </c>
      <c r="G87" s="174" t="e">
        <f>F87+#REF!</f>
        <v>#REF!</v>
      </c>
      <c r="H87" s="174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</row>
    <row r="88" spans="2:31" s="113" customFormat="1" ht="12.75">
      <c r="B88" s="114"/>
      <c r="C88" s="174"/>
      <c r="D88" s="174"/>
      <c r="E88" s="174"/>
      <c r="F88" s="174"/>
      <c r="G88" s="174"/>
      <c r="H88" s="174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</row>
    <row r="89" spans="2:31" s="113" customFormat="1" ht="12.75">
      <c r="B89" s="114"/>
      <c r="C89" s="174"/>
      <c r="D89" s="174"/>
      <c r="E89" s="174"/>
      <c r="F89" s="174"/>
      <c r="G89" s="174"/>
      <c r="H89" s="174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</row>
    <row r="90" spans="2:31" s="113" customFormat="1" ht="12.75">
      <c r="B90" s="114"/>
      <c r="C90" s="174"/>
      <c r="D90" s="174"/>
      <c r="E90" s="174"/>
      <c r="F90" s="174"/>
      <c r="G90" s="174"/>
      <c r="H90" s="174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</row>
    <row r="91" spans="2:31" s="113" customFormat="1" ht="12.75">
      <c r="B91" s="114"/>
      <c r="C91" s="174"/>
      <c r="D91" s="174"/>
      <c r="E91" s="174"/>
      <c r="F91" s="174"/>
      <c r="G91" s="174"/>
      <c r="H91" s="174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</row>
    <row r="92" spans="2:31" s="113" customFormat="1" ht="12.75">
      <c r="B92" s="114"/>
      <c r="C92" s="174"/>
      <c r="D92" s="174"/>
      <c r="E92" s="174"/>
      <c r="F92" s="174"/>
      <c r="G92" s="174"/>
      <c r="H92" s="174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</row>
    <row r="93" spans="2:31" s="113" customFormat="1" ht="12.75">
      <c r="B93" s="114"/>
      <c r="C93" s="174"/>
      <c r="D93" s="174"/>
      <c r="E93" s="174"/>
      <c r="F93" s="174"/>
      <c r="G93" s="174"/>
      <c r="H93" s="174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</row>
    <row r="94" spans="2:31" s="113" customFormat="1" ht="12.75">
      <c r="B94" s="114"/>
      <c r="C94" s="174"/>
      <c r="D94" s="174"/>
      <c r="E94" s="174"/>
      <c r="F94" s="174"/>
      <c r="G94" s="174"/>
      <c r="H94" s="174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</row>
    <row r="95" spans="2:31" s="113" customFormat="1" ht="12.75">
      <c r="B95" s="114"/>
      <c r="C95" s="174"/>
      <c r="D95" s="174"/>
      <c r="E95" s="174"/>
      <c r="F95" s="174"/>
      <c r="G95" s="174"/>
      <c r="H95" s="174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</row>
    <row r="96" spans="2:31" s="113" customFormat="1" ht="12.75">
      <c r="B96" s="114"/>
      <c r="C96" s="174"/>
      <c r="D96" s="174"/>
      <c r="E96" s="174"/>
      <c r="F96" s="174"/>
      <c r="G96" s="174"/>
      <c r="H96" s="174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</row>
    <row r="97" spans="2:31" s="113" customFormat="1" ht="12.75">
      <c r="B97" s="114"/>
      <c r="C97" s="174"/>
      <c r="D97" s="174"/>
      <c r="E97" s="174"/>
      <c r="F97" s="174"/>
      <c r="G97" s="174"/>
      <c r="H97" s="174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</row>
    <row r="98" spans="2:31" s="113" customFormat="1">
      <c r="B98" s="114"/>
      <c r="D98" s="219"/>
      <c r="E98" s="219"/>
      <c r="F98" s="116"/>
      <c r="G98" s="117"/>
      <c r="H98" s="117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</row>
    <row r="99" spans="2:31" s="113" customFormat="1">
      <c r="B99" s="114"/>
      <c r="D99" s="219"/>
      <c r="E99" s="219"/>
      <c r="F99" s="116"/>
      <c r="G99" s="117"/>
      <c r="H99" s="117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</row>
    <row r="100" spans="2:31" s="113" customFormat="1">
      <c r="B100" s="114"/>
      <c r="D100" s="219"/>
      <c r="E100" s="219"/>
      <c r="F100" s="116"/>
      <c r="G100" s="117"/>
      <c r="H100" s="117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</row>
    <row r="101" spans="2:31" s="113" customFormat="1">
      <c r="B101" s="114"/>
      <c r="D101" s="219"/>
      <c r="E101" s="219"/>
      <c r="F101" s="116"/>
      <c r="G101" s="117"/>
      <c r="H101" s="117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</row>
    <row r="102" spans="2:31" s="113" customFormat="1">
      <c r="B102" s="114"/>
      <c r="D102" s="219"/>
      <c r="E102" s="219"/>
      <c r="F102" s="116"/>
      <c r="G102" s="117"/>
      <c r="H102" s="117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</row>
    <row r="103" spans="2:31" s="113" customFormat="1">
      <c r="B103" s="114"/>
      <c r="D103" s="219"/>
      <c r="E103" s="219"/>
      <c r="F103" s="116"/>
      <c r="G103" s="117"/>
      <c r="H103" s="117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</row>
    <row r="104" spans="2:31" s="113" customFormat="1">
      <c r="B104" s="114"/>
      <c r="D104" s="219"/>
      <c r="E104" s="219"/>
      <c r="F104" s="116"/>
      <c r="G104" s="117"/>
      <c r="H104" s="117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</row>
    <row r="105" spans="2:31" s="113" customFormat="1">
      <c r="B105" s="114"/>
      <c r="D105" s="219"/>
      <c r="E105" s="219"/>
      <c r="F105" s="116"/>
      <c r="G105" s="117"/>
      <c r="H105" s="117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</row>
    <row r="106" spans="2:31" s="113" customFormat="1">
      <c r="B106" s="114"/>
      <c r="D106" s="219"/>
      <c r="E106" s="219"/>
      <c r="F106" s="116"/>
      <c r="G106" s="117"/>
      <c r="H106" s="117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</row>
    <row r="107" spans="2:31" s="113" customFormat="1">
      <c r="B107" s="114"/>
      <c r="D107" s="219"/>
      <c r="E107" s="219"/>
      <c r="F107" s="116"/>
      <c r="G107" s="117"/>
      <c r="H107" s="117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</row>
    <row r="108" spans="2:31" s="113" customFormat="1">
      <c r="B108" s="114"/>
      <c r="D108" s="219"/>
      <c r="E108" s="219"/>
      <c r="F108" s="116"/>
      <c r="G108" s="117"/>
      <c r="H108" s="117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</row>
    <row r="109" spans="2:31" s="113" customFormat="1">
      <c r="B109" s="114"/>
      <c r="D109" s="219"/>
      <c r="E109" s="219"/>
      <c r="F109" s="116"/>
      <c r="G109" s="117"/>
      <c r="H109" s="117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</row>
    <row r="110" spans="2:31" s="113" customFormat="1">
      <c r="B110" s="114"/>
      <c r="D110" s="219"/>
      <c r="E110" s="219"/>
      <c r="F110" s="116"/>
      <c r="G110" s="117"/>
      <c r="H110" s="117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118"/>
      <c r="AE110" s="118"/>
    </row>
    <row r="111" spans="2:31" s="113" customFormat="1">
      <c r="B111" s="114"/>
      <c r="D111" s="219"/>
      <c r="E111" s="219"/>
      <c r="F111" s="116"/>
      <c r="G111" s="117"/>
      <c r="H111" s="117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  <c r="AC111" s="118"/>
      <c r="AD111" s="118"/>
      <c r="AE111" s="118"/>
    </row>
    <row r="112" spans="2:31" s="113" customFormat="1">
      <c r="B112" s="114"/>
      <c r="D112" s="219"/>
      <c r="E112" s="219"/>
      <c r="F112" s="116"/>
      <c r="G112" s="117"/>
      <c r="H112" s="117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</row>
    <row r="113" spans="2:31" s="113" customFormat="1">
      <c r="B113" s="114"/>
      <c r="D113" s="219"/>
      <c r="E113" s="219"/>
      <c r="F113" s="116"/>
      <c r="G113" s="117"/>
      <c r="H113" s="117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</row>
    <row r="114" spans="2:31" s="113" customFormat="1">
      <c r="B114" s="114"/>
      <c r="D114" s="219"/>
      <c r="E114" s="219"/>
      <c r="F114" s="116"/>
      <c r="G114" s="117"/>
      <c r="H114" s="117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  <c r="AB114" s="118"/>
      <c r="AC114" s="118"/>
      <c r="AD114" s="118"/>
      <c r="AE114" s="118"/>
    </row>
    <row r="115" spans="2:31" s="113" customFormat="1">
      <c r="B115" s="114"/>
      <c r="D115" s="219"/>
      <c r="E115" s="219"/>
      <c r="F115" s="116"/>
      <c r="G115" s="117"/>
      <c r="H115" s="117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  <c r="AB115" s="118"/>
      <c r="AC115" s="118"/>
      <c r="AD115" s="118"/>
      <c r="AE115" s="118"/>
    </row>
    <row r="116" spans="2:31" s="113" customFormat="1">
      <c r="B116" s="114"/>
      <c r="D116" s="219"/>
      <c r="E116" s="219"/>
      <c r="F116" s="116"/>
      <c r="G116" s="117"/>
      <c r="H116" s="117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  <c r="AC116" s="118"/>
      <c r="AD116" s="118"/>
      <c r="AE116" s="118"/>
    </row>
    <row r="117" spans="2:31" s="113" customFormat="1">
      <c r="B117" s="114"/>
      <c r="D117" s="219"/>
      <c r="E117" s="219"/>
      <c r="F117" s="116"/>
      <c r="G117" s="117"/>
      <c r="H117" s="117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</row>
    <row r="118" spans="2:31" s="113" customFormat="1">
      <c r="B118" s="114"/>
      <c r="D118" s="219"/>
      <c r="E118" s="219"/>
      <c r="F118" s="116"/>
      <c r="G118" s="117"/>
      <c r="H118" s="117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AD118" s="118"/>
      <c r="AE118" s="118"/>
    </row>
    <row r="119" spans="2:31" s="113" customFormat="1">
      <c r="B119" s="114"/>
      <c r="D119" s="219"/>
      <c r="E119" s="219"/>
      <c r="F119" s="116"/>
      <c r="G119" s="117"/>
      <c r="H119" s="117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18"/>
      <c r="AE119" s="118"/>
    </row>
    <row r="120" spans="2:31" s="113" customFormat="1">
      <c r="B120" s="114"/>
      <c r="D120" s="219"/>
      <c r="E120" s="219"/>
      <c r="F120" s="116"/>
      <c r="G120" s="117"/>
      <c r="H120" s="117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</row>
    <row r="121" spans="2:31" s="113" customFormat="1">
      <c r="B121" s="114"/>
      <c r="D121" s="219"/>
      <c r="E121" s="219"/>
      <c r="F121" s="116"/>
      <c r="G121" s="117"/>
      <c r="H121" s="117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</row>
    <row r="122" spans="2:31" s="113" customFormat="1">
      <c r="B122" s="114"/>
      <c r="D122" s="219"/>
      <c r="E122" s="219"/>
      <c r="F122" s="116"/>
      <c r="G122" s="117"/>
      <c r="H122" s="117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</row>
    <row r="123" spans="2:31" s="113" customFormat="1">
      <c r="B123" s="114"/>
      <c r="D123" s="219"/>
      <c r="E123" s="219"/>
      <c r="F123" s="116"/>
      <c r="G123" s="117"/>
      <c r="H123" s="117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  <c r="AA123" s="118"/>
      <c r="AB123" s="118"/>
      <c r="AC123" s="118"/>
      <c r="AD123" s="118"/>
      <c r="AE123" s="118"/>
    </row>
    <row r="124" spans="2:31" s="113" customFormat="1">
      <c r="B124" s="114"/>
      <c r="D124" s="219"/>
      <c r="E124" s="219"/>
      <c r="F124" s="116"/>
      <c r="G124" s="117"/>
      <c r="H124" s="117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  <c r="AA124" s="118"/>
      <c r="AB124" s="118"/>
      <c r="AC124" s="118"/>
      <c r="AD124" s="118"/>
      <c r="AE124" s="118"/>
    </row>
    <row r="125" spans="2:31" s="113" customFormat="1">
      <c r="B125" s="114"/>
      <c r="D125" s="219"/>
      <c r="E125" s="219"/>
      <c r="F125" s="116"/>
      <c r="G125" s="117"/>
      <c r="H125" s="117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  <c r="AA125" s="118"/>
      <c r="AB125" s="118"/>
      <c r="AC125" s="118"/>
      <c r="AD125" s="118"/>
      <c r="AE125" s="118"/>
    </row>
    <row r="126" spans="2:31" s="113" customFormat="1">
      <c r="B126" s="114"/>
      <c r="D126" s="219"/>
      <c r="E126" s="219"/>
      <c r="F126" s="116"/>
      <c r="G126" s="117"/>
      <c r="H126" s="117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</row>
    <row r="127" spans="2:31" s="113" customFormat="1">
      <c r="B127" s="114"/>
      <c r="D127" s="219"/>
      <c r="E127" s="219"/>
      <c r="F127" s="116"/>
      <c r="G127" s="117"/>
      <c r="H127" s="117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  <c r="AB127" s="118"/>
      <c r="AC127" s="118"/>
      <c r="AD127" s="118"/>
      <c r="AE127" s="118"/>
    </row>
    <row r="128" spans="2:31" s="113" customFormat="1">
      <c r="B128" s="114"/>
      <c r="D128" s="219"/>
      <c r="E128" s="219"/>
      <c r="F128" s="116"/>
      <c r="G128" s="117"/>
      <c r="H128" s="117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  <c r="AB128" s="118"/>
      <c r="AC128" s="118"/>
      <c r="AD128" s="118"/>
      <c r="AE128" s="118"/>
    </row>
    <row r="129" spans="2:31" s="113" customFormat="1">
      <c r="B129" s="114"/>
      <c r="D129" s="219"/>
      <c r="E129" s="219"/>
      <c r="F129" s="116"/>
      <c r="G129" s="117"/>
      <c r="H129" s="117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  <c r="AB129" s="118"/>
      <c r="AC129" s="118"/>
      <c r="AD129" s="118"/>
      <c r="AE129" s="118"/>
    </row>
    <row r="130" spans="2:31" s="113" customFormat="1">
      <c r="B130" s="114"/>
      <c r="D130" s="219"/>
      <c r="E130" s="219"/>
      <c r="F130" s="116"/>
      <c r="G130" s="117"/>
      <c r="H130" s="117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  <c r="AE130" s="118"/>
    </row>
    <row r="131" spans="2:31" s="113" customFormat="1">
      <c r="B131" s="114"/>
      <c r="D131" s="219"/>
      <c r="E131" s="219"/>
      <c r="F131" s="116"/>
      <c r="G131" s="117"/>
      <c r="H131" s="117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  <c r="AA131" s="118"/>
      <c r="AB131" s="118"/>
      <c r="AC131" s="118"/>
      <c r="AD131" s="118"/>
      <c r="AE131" s="118"/>
    </row>
    <row r="132" spans="2:31" s="113" customFormat="1">
      <c r="B132" s="114"/>
      <c r="D132" s="219"/>
      <c r="E132" s="219"/>
      <c r="F132" s="116"/>
      <c r="G132" s="117"/>
      <c r="H132" s="117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  <c r="AB132" s="118"/>
      <c r="AC132" s="118"/>
      <c r="AD132" s="118"/>
      <c r="AE132" s="118"/>
    </row>
    <row r="133" spans="2:31" s="113" customFormat="1">
      <c r="B133" s="114"/>
      <c r="D133" s="219"/>
      <c r="E133" s="219"/>
      <c r="F133" s="116"/>
      <c r="G133" s="117"/>
      <c r="H133" s="117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  <c r="AB133" s="118"/>
      <c r="AC133" s="118"/>
      <c r="AD133" s="118"/>
      <c r="AE133" s="118"/>
    </row>
    <row r="134" spans="2:31" s="113" customFormat="1">
      <c r="B134" s="114"/>
      <c r="D134" s="219"/>
      <c r="E134" s="219"/>
      <c r="F134" s="116"/>
      <c r="G134" s="117"/>
      <c r="H134" s="117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  <c r="AE134" s="118"/>
    </row>
    <row r="135" spans="2:31" s="113" customFormat="1">
      <c r="B135" s="114"/>
      <c r="D135" s="219"/>
      <c r="E135" s="219"/>
      <c r="F135" s="116"/>
      <c r="G135" s="117"/>
      <c r="H135" s="117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  <c r="AB135" s="118"/>
      <c r="AC135" s="118"/>
      <c r="AD135" s="118"/>
      <c r="AE135" s="118"/>
    </row>
    <row r="136" spans="2:31" s="113" customFormat="1">
      <c r="B136" s="114"/>
      <c r="D136" s="219"/>
      <c r="E136" s="219"/>
      <c r="F136" s="116"/>
      <c r="G136" s="117"/>
      <c r="H136" s="117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  <c r="AB136" s="118"/>
      <c r="AC136" s="118"/>
      <c r="AD136" s="118"/>
      <c r="AE136" s="118"/>
    </row>
    <row r="137" spans="2:31" s="113" customFormat="1">
      <c r="B137" s="114"/>
      <c r="D137" s="219"/>
      <c r="E137" s="219"/>
      <c r="F137" s="116"/>
      <c r="G137" s="117"/>
      <c r="H137" s="117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  <c r="AB137" s="118"/>
      <c r="AC137" s="118"/>
      <c r="AD137" s="118"/>
      <c r="AE137" s="118"/>
    </row>
    <row r="138" spans="2:31" s="113" customFormat="1">
      <c r="B138" s="114"/>
      <c r="D138" s="219"/>
      <c r="E138" s="219"/>
      <c r="F138" s="116"/>
      <c r="G138" s="117"/>
      <c r="H138" s="117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  <c r="AA138" s="118"/>
      <c r="AB138" s="118"/>
      <c r="AC138" s="118"/>
      <c r="AD138" s="118"/>
      <c r="AE138" s="118"/>
    </row>
    <row r="139" spans="2:31" s="113" customFormat="1">
      <c r="B139" s="114"/>
      <c r="D139" s="219"/>
      <c r="E139" s="219"/>
      <c r="F139" s="116"/>
      <c r="G139" s="117"/>
      <c r="H139" s="117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  <c r="AA139" s="118"/>
      <c r="AB139" s="118"/>
      <c r="AC139" s="118"/>
      <c r="AD139" s="118"/>
      <c r="AE139" s="118"/>
    </row>
    <row r="140" spans="2:31" s="113" customFormat="1">
      <c r="B140" s="114"/>
      <c r="D140" s="219"/>
      <c r="E140" s="219"/>
      <c r="F140" s="116"/>
      <c r="G140" s="117"/>
      <c r="H140" s="117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  <c r="AB140" s="118"/>
      <c r="AC140" s="118"/>
      <c r="AD140" s="118"/>
      <c r="AE140" s="118"/>
    </row>
    <row r="141" spans="2:31" s="113" customFormat="1">
      <c r="B141" s="114"/>
      <c r="D141" s="219"/>
      <c r="E141" s="219"/>
      <c r="F141" s="116"/>
      <c r="G141" s="117"/>
      <c r="H141" s="117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  <c r="AC141" s="118"/>
      <c r="AD141" s="118"/>
      <c r="AE141" s="118"/>
    </row>
    <row r="142" spans="2:31" s="113" customFormat="1">
      <c r="B142" s="114"/>
      <c r="D142" s="219"/>
      <c r="E142" s="219"/>
      <c r="F142" s="116"/>
      <c r="G142" s="117"/>
      <c r="H142" s="117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  <c r="AA142" s="118"/>
      <c r="AB142" s="118"/>
      <c r="AC142" s="118"/>
      <c r="AD142" s="118"/>
      <c r="AE142" s="118"/>
    </row>
    <row r="143" spans="2:31" s="113" customFormat="1">
      <c r="B143" s="114"/>
      <c r="D143" s="219"/>
      <c r="E143" s="219"/>
      <c r="F143" s="116"/>
      <c r="G143" s="117"/>
      <c r="H143" s="117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  <c r="AB143" s="118"/>
      <c r="AC143" s="118"/>
      <c r="AD143" s="118"/>
      <c r="AE143" s="118"/>
    </row>
    <row r="144" spans="2:31" s="113" customFormat="1">
      <c r="B144" s="114"/>
      <c r="D144" s="219"/>
      <c r="E144" s="219"/>
      <c r="F144" s="116"/>
      <c r="G144" s="117"/>
      <c r="H144" s="117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  <c r="AA144" s="118"/>
      <c r="AB144" s="118"/>
      <c r="AC144" s="118"/>
      <c r="AD144" s="118"/>
      <c r="AE144" s="118"/>
    </row>
    <row r="145" spans="2:31" s="113" customFormat="1">
      <c r="B145" s="114"/>
      <c r="D145" s="219"/>
      <c r="E145" s="219"/>
      <c r="F145" s="116"/>
      <c r="G145" s="117"/>
      <c r="H145" s="117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  <c r="AA145" s="118"/>
      <c r="AB145" s="118"/>
      <c r="AC145" s="118"/>
      <c r="AD145" s="118"/>
      <c r="AE145" s="118"/>
    </row>
    <row r="146" spans="2:31" s="113" customFormat="1">
      <c r="B146" s="114"/>
      <c r="D146" s="219"/>
      <c r="E146" s="219"/>
      <c r="F146" s="116"/>
      <c r="G146" s="117"/>
      <c r="H146" s="117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18"/>
      <c r="AE146" s="118"/>
    </row>
    <row r="147" spans="2:31" s="113" customFormat="1">
      <c r="B147" s="114"/>
      <c r="D147" s="219"/>
      <c r="E147" s="219"/>
      <c r="F147" s="116"/>
      <c r="G147" s="117"/>
      <c r="H147" s="117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  <c r="AB147" s="118"/>
      <c r="AC147" s="118"/>
      <c r="AD147" s="118"/>
      <c r="AE147" s="118"/>
    </row>
    <row r="148" spans="2:31" s="113" customFormat="1">
      <c r="B148" s="114"/>
      <c r="D148" s="219"/>
      <c r="E148" s="219"/>
      <c r="F148" s="116"/>
      <c r="G148" s="117"/>
      <c r="H148" s="117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  <c r="AE148" s="118"/>
    </row>
    <row r="149" spans="2:31" s="113" customFormat="1">
      <c r="B149" s="114"/>
      <c r="D149" s="219"/>
      <c r="E149" s="219"/>
      <c r="F149" s="116"/>
      <c r="G149" s="117"/>
      <c r="H149" s="117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  <c r="AA149" s="118"/>
      <c r="AB149" s="118"/>
      <c r="AC149" s="118"/>
      <c r="AD149" s="118"/>
      <c r="AE149" s="118"/>
    </row>
    <row r="150" spans="2:31" s="113" customFormat="1">
      <c r="B150" s="114"/>
      <c r="D150" s="219"/>
      <c r="E150" s="219"/>
      <c r="F150" s="116"/>
      <c r="G150" s="117"/>
      <c r="H150" s="117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  <c r="AA150" s="118"/>
      <c r="AB150" s="118"/>
      <c r="AC150" s="118"/>
      <c r="AD150" s="118"/>
      <c r="AE150" s="118"/>
    </row>
    <row r="151" spans="2:31" s="113" customFormat="1">
      <c r="B151" s="114"/>
      <c r="D151" s="219"/>
      <c r="E151" s="219"/>
      <c r="F151" s="116"/>
      <c r="G151" s="117"/>
      <c r="H151" s="117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  <c r="AA151" s="118"/>
      <c r="AB151" s="118"/>
      <c r="AC151" s="118"/>
      <c r="AD151" s="118"/>
      <c r="AE151" s="118"/>
    </row>
    <row r="152" spans="2:31" s="113" customFormat="1">
      <c r="B152" s="114"/>
      <c r="D152" s="219"/>
      <c r="E152" s="219"/>
      <c r="F152" s="116"/>
      <c r="G152" s="117"/>
      <c r="H152" s="117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  <c r="AA152" s="118"/>
      <c r="AB152" s="118"/>
      <c r="AC152" s="118"/>
      <c r="AD152" s="118"/>
      <c r="AE152" s="118"/>
    </row>
    <row r="153" spans="2:31" s="113" customFormat="1">
      <c r="B153" s="114"/>
      <c r="D153" s="219"/>
      <c r="E153" s="219"/>
      <c r="F153" s="116"/>
      <c r="G153" s="117"/>
      <c r="H153" s="117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18"/>
      <c r="AE153" s="118"/>
    </row>
    <row r="154" spans="2:31" s="113" customFormat="1">
      <c r="B154" s="114"/>
      <c r="D154" s="219"/>
      <c r="E154" s="219"/>
      <c r="F154" s="116"/>
      <c r="G154" s="117"/>
      <c r="H154" s="117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  <c r="AA154" s="118"/>
      <c r="AB154" s="118"/>
      <c r="AC154" s="118"/>
      <c r="AD154" s="118"/>
      <c r="AE154" s="118"/>
    </row>
    <row r="155" spans="2:31" s="113" customFormat="1">
      <c r="B155" s="114"/>
      <c r="D155" s="219"/>
      <c r="E155" s="219"/>
      <c r="F155" s="116"/>
      <c r="G155" s="117"/>
      <c r="H155" s="117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  <c r="AA155" s="118"/>
      <c r="AB155" s="118"/>
      <c r="AC155" s="118"/>
      <c r="AD155" s="118"/>
      <c r="AE155" s="118"/>
    </row>
    <row r="156" spans="2:31" s="113" customFormat="1">
      <c r="B156" s="114"/>
      <c r="D156" s="219"/>
      <c r="E156" s="219"/>
      <c r="F156" s="116"/>
      <c r="G156" s="117"/>
      <c r="H156" s="117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  <c r="AB156" s="118"/>
      <c r="AC156" s="118"/>
      <c r="AD156" s="118"/>
      <c r="AE156" s="118"/>
    </row>
    <row r="157" spans="2:31" s="113" customFormat="1">
      <c r="B157" s="114"/>
      <c r="D157" s="219"/>
      <c r="E157" s="219"/>
      <c r="F157" s="116"/>
      <c r="G157" s="117"/>
      <c r="H157" s="117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  <c r="AA157" s="118"/>
      <c r="AB157" s="118"/>
      <c r="AC157" s="118"/>
      <c r="AD157" s="118"/>
      <c r="AE157" s="118"/>
    </row>
    <row r="158" spans="2:31" s="113" customFormat="1">
      <c r="B158" s="114"/>
      <c r="D158" s="219"/>
      <c r="E158" s="219"/>
      <c r="F158" s="116"/>
      <c r="G158" s="117"/>
      <c r="H158" s="117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  <c r="AA158" s="118"/>
      <c r="AB158" s="118"/>
      <c r="AC158" s="118"/>
      <c r="AD158" s="118"/>
      <c r="AE158" s="118"/>
    </row>
    <row r="159" spans="2:31" s="113" customFormat="1">
      <c r="B159" s="114"/>
      <c r="D159" s="219"/>
      <c r="E159" s="219"/>
      <c r="F159" s="116"/>
      <c r="G159" s="117"/>
      <c r="H159" s="117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  <c r="AA159" s="118"/>
      <c r="AB159" s="118"/>
      <c r="AC159" s="118"/>
      <c r="AD159" s="118"/>
      <c r="AE159" s="118"/>
    </row>
    <row r="160" spans="2:31" s="113" customFormat="1">
      <c r="B160" s="114"/>
      <c r="D160" s="219"/>
      <c r="E160" s="219"/>
      <c r="F160" s="116"/>
      <c r="G160" s="117"/>
      <c r="H160" s="117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18"/>
      <c r="AE160" s="118"/>
    </row>
    <row r="161" spans="2:31" s="113" customFormat="1">
      <c r="B161" s="114"/>
      <c r="D161" s="219"/>
      <c r="E161" s="219"/>
      <c r="F161" s="116"/>
      <c r="G161" s="117"/>
      <c r="H161" s="117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18"/>
      <c r="AE161" s="118"/>
    </row>
    <row r="162" spans="2:31" s="113" customFormat="1">
      <c r="B162" s="114"/>
      <c r="D162" s="219"/>
      <c r="E162" s="219"/>
      <c r="F162" s="116"/>
      <c r="G162" s="117"/>
      <c r="H162" s="117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</row>
    <row r="163" spans="2:31" s="113" customFormat="1">
      <c r="B163" s="114"/>
      <c r="D163" s="219"/>
      <c r="E163" s="219"/>
      <c r="F163" s="116"/>
      <c r="G163" s="117"/>
      <c r="H163" s="117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</row>
    <row r="164" spans="2:31" s="113" customFormat="1">
      <c r="B164" s="114"/>
      <c r="D164" s="219"/>
      <c r="E164" s="219"/>
      <c r="F164" s="116"/>
      <c r="G164" s="117"/>
      <c r="H164" s="117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</row>
    <row r="165" spans="2:31" s="113" customFormat="1">
      <c r="B165" s="114"/>
      <c r="D165" s="219"/>
      <c r="E165" s="219"/>
      <c r="F165" s="116"/>
      <c r="G165" s="117"/>
      <c r="H165" s="117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  <c r="AB165" s="118"/>
      <c r="AC165" s="118"/>
      <c r="AD165" s="118"/>
      <c r="AE165" s="118"/>
    </row>
    <row r="166" spans="2:31" s="113" customFormat="1">
      <c r="B166" s="114"/>
      <c r="D166" s="219"/>
      <c r="E166" s="219"/>
      <c r="F166" s="116"/>
      <c r="G166" s="117"/>
      <c r="H166" s="117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  <c r="AB166" s="118"/>
      <c r="AC166" s="118"/>
      <c r="AD166" s="118"/>
      <c r="AE166" s="118"/>
    </row>
    <row r="167" spans="2:31" s="113" customFormat="1">
      <c r="B167" s="114"/>
      <c r="D167" s="219"/>
      <c r="E167" s="219"/>
      <c r="F167" s="116"/>
      <c r="G167" s="117"/>
      <c r="H167" s="117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  <c r="AC167" s="118"/>
      <c r="AD167" s="118"/>
      <c r="AE167" s="118"/>
    </row>
  </sheetData>
  <autoFilter ref="B4:H72" xr:uid="{00000000-0009-0000-0000-000005000000}"/>
  <mergeCells count="65">
    <mergeCell ref="B2:C2"/>
    <mergeCell ref="B5:C5"/>
    <mergeCell ref="B6:B7"/>
    <mergeCell ref="C6:C7"/>
    <mergeCell ref="D6:D7"/>
    <mergeCell ref="G6:G7"/>
    <mergeCell ref="H6:H7"/>
    <mergeCell ref="D10:D11"/>
    <mergeCell ref="F10:F11"/>
    <mergeCell ref="G10:G11"/>
    <mergeCell ref="H10:H11"/>
    <mergeCell ref="F6:F7"/>
    <mergeCell ref="B13:B16"/>
    <mergeCell ref="C13:C16"/>
    <mergeCell ref="D13:D16"/>
    <mergeCell ref="F13:F16"/>
    <mergeCell ref="H13:H16"/>
    <mergeCell ref="H18:H19"/>
    <mergeCell ref="B21:B22"/>
    <mergeCell ref="C21:C22"/>
    <mergeCell ref="D21:D22"/>
    <mergeCell ref="F21:F22"/>
    <mergeCell ref="H21:H22"/>
    <mergeCell ref="B18:B19"/>
    <mergeCell ref="C18:C19"/>
    <mergeCell ref="D18:D19"/>
    <mergeCell ref="F18:F19"/>
    <mergeCell ref="G18:G19"/>
    <mergeCell ref="B34:B35"/>
    <mergeCell ref="C34:C35"/>
    <mergeCell ref="D34:D35"/>
    <mergeCell ref="F34:F35"/>
    <mergeCell ref="G34:G35"/>
    <mergeCell ref="H37:H39"/>
    <mergeCell ref="D27:D29"/>
    <mergeCell ref="F27:F29"/>
    <mergeCell ref="G27:G29"/>
    <mergeCell ref="H27:H29"/>
    <mergeCell ref="H34:H35"/>
    <mergeCell ref="B37:B39"/>
    <mergeCell ref="C37:C39"/>
    <mergeCell ref="D37:D39"/>
    <mergeCell ref="F37:F39"/>
    <mergeCell ref="G37:G39"/>
    <mergeCell ref="D40:D47"/>
    <mergeCell ref="F40:F47"/>
    <mergeCell ref="G40:G47"/>
    <mergeCell ref="H40:H47"/>
    <mergeCell ref="D48:D49"/>
    <mergeCell ref="F48:F49"/>
    <mergeCell ref="G48:G49"/>
    <mergeCell ref="H48:H49"/>
    <mergeCell ref="B56:C56"/>
    <mergeCell ref="B59:C59"/>
    <mergeCell ref="B64:B65"/>
    <mergeCell ref="C64:C65"/>
    <mergeCell ref="D64:D65"/>
    <mergeCell ref="B72:C72"/>
    <mergeCell ref="G64:G65"/>
    <mergeCell ref="H64:H65"/>
    <mergeCell ref="D68:D69"/>
    <mergeCell ref="F68:F69"/>
    <mergeCell ref="G68:G69"/>
    <mergeCell ref="H68:H69"/>
    <mergeCell ref="F64:F65"/>
  </mergeCells>
  <printOptions horizontalCentered="1"/>
  <pageMargins left="0" right="0" top="0" bottom="0" header="0" footer="0"/>
  <pageSetup paperSize="9" scale="47" orientation="landscape" verticalDpi="200" r:id="rId1"/>
  <rowBreaks count="1" manualBreakCount="1">
    <brk id="56" max="12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.140625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.140625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</vt:i4>
      </vt:variant>
    </vt:vector>
  </HeadingPairs>
  <TitlesOfParts>
    <vt:vector size="21" baseType="lpstr">
      <vt:lpstr>REALISATIONS BUDGET 2022</vt:lpstr>
      <vt:lpstr>REALISATIONS BUDGET 2021</vt:lpstr>
      <vt:lpstr>REALISATIONS BUDGET 2020</vt:lpstr>
      <vt:lpstr>REALISATIONS BUDGET 2019</vt:lpstr>
      <vt:lpstr>REALISATIONS BUDGET 2018</vt:lpstr>
      <vt:lpstr>REALISATIONS BUDGET 2017</vt:lpstr>
      <vt:lpstr>Feuil1</vt:lpstr>
      <vt:lpstr>Feuil2</vt:lpstr>
      <vt:lpstr>Feuil3</vt:lpstr>
      <vt:lpstr>'REALISATIONS BUDGET 2017'!Print_Area</vt:lpstr>
      <vt:lpstr>'REALISATIONS BUDGET 2018'!Print_Area</vt:lpstr>
      <vt:lpstr>'REALISATIONS BUDGET 2019'!Print_Area</vt:lpstr>
      <vt:lpstr>'REALISATIONS BUDGET 2020'!Print_Area</vt:lpstr>
      <vt:lpstr>'REALISATIONS BUDGET 2021'!Print_Area</vt:lpstr>
      <vt:lpstr>'REALISATIONS BUDGET 2022'!Print_Area</vt:lpstr>
      <vt:lpstr>'REALISATIONS BUDGET 2017'!Print_Titles</vt:lpstr>
      <vt:lpstr>'REALISATIONS BUDGET 2018'!Print_Titles</vt:lpstr>
      <vt:lpstr>'REALISATIONS BUDGET 2019'!Print_Titles</vt:lpstr>
      <vt:lpstr>'REALISATIONS BUDGET 2020'!Print_Titles</vt:lpstr>
      <vt:lpstr>'REALISATIONS BUDGET 2021'!Print_Titles</vt:lpstr>
      <vt:lpstr>'REALISATIONS BUDGET 2022'!Print_Titles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2023-04-27T15:49:47Z</dcterms:modified>
</cp:coreProperties>
</file>