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elec\CCaMC\"/>
    </mc:Choice>
  </mc:AlternateContent>
  <xr:revisionPtr revIDLastSave="0" documentId="13_ncr:1_{BA179142-4171-4C41-9A24-614276552087}" xr6:coauthVersionLast="45" xr6:coauthVersionMax="45" xr10:uidLastSave="{00000000-0000-0000-0000-000000000000}"/>
  <bookViews>
    <workbookView xWindow="5175" yWindow="2580" windowWidth="21600" windowHeight="14550" xr2:uid="{00000000-000D-0000-FFFF-FFFF00000000}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" sheetId="15" r:id="rId5"/>
    <sheet name="Soft Cost Data" sheetId="17" r:id="rId6"/>
    <sheet name="CCaMC-AFOaMCpUC" sheetId="7" r:id="rId7"/>
    <sheet name="CCaMC-VOaMCpUC" sheetId="8" r:id="rId8"/>
    <sheet name="CCaMC-BCCpUC" sheetId="18" r:id="rId9"/>
    <sheet name="CCaMC-BSCpUC" sheetId="1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9" l="1"/>
  <c r="AG14" i="19" s="1"/>
  <c r="B6" i="19"/>
  <c r="D6" i="19" s="1"/>
  <c r="B14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G11" i="18"/>
  <c r="AG16" i="18" s="1"/>
  <c r="AF11" i="18"/>
  <c r="AF16" i="18" s="1"/>
  <c r="AE11" i="18"/>
  <c r="AE16" i="18" s="1"/>
  <c r="AD11" i="18"/>
  <c r="AD16" i="18" s="1"/>
  <c r="AC11" i="18"/>
  <c r="AC16" i="18" s="1"/>
  <c r="AB11" i="18"/>
  <c r="AB16" i="18" s="1"/>
  <c r="AA11" i="18"/>
  <c r="AA16" i="18" s="1"/>
  <c r="Z11" i="18"/>
  <c r="Z16" i="18" s="1"/>
  <c r="Y11" i="18"/>
  <c r="Y16" i="18" s="1"/>
  <c r="X11" i="18"/>
  <c r="X16" i="18" s="1"/>
  <c r="W11" i="18"/>
  <c r="W16" i="18" s="1"/>
  <c r="V11" i="18"/>
  <c r="V16" i="18" s="1"/>
  <c r="U11" i="18"/>
  <c r="U16" i="18" s="1"/>
  <c r="T11" i="18"/>
  <c r="T16" i="18" s="1"/>
  <c r="S11" i="18"/>
  <c r="S16" i="18" s="1"/>
  <c r="R11" i="18"/>
  <c r="R16" i="18" s="1"/>
  <c r="Q11" i="18"/>
  <c r="Q16" i="18" s="1"/>
  <c r="P11" i="18"/>
  <c r="P16" i="18" s="1"/>
  <c r="O11" i="18"/>
  <c r="O16" i="18" s="1"/>
  <c r="N11" i="18"/>
  <c r="N16" i="18" s="1"/>
  <c r="M11" i="18"/>
  <c r="M16" i="18" s="1"/>
  <c r="L11" i="18"/>
  <c r="L16" i="18" s="1"/>
  <c r="K11" i="18"/>
  <c r="K16" i="18" s="1"/>
  <c r="J11" i="18"/>
  <c r="J16" i="18" s="1"/>
  <c r="I11" i="18"/>
  <c r="I16" i="18" s="1"/>
  <c r="H11" i="18"/>
  <c r="H16" i="18" s="1"/>
  <c r="G11" i="18"/>
  <c r="G16" i="18" s="1"/>
  <c r="F11" i="18"/>
  <c r="F16" i="18" s="1"/>
  <c r="E11" i="18"/>
  <c r="E16" i="18" s="1"/>
  <c r="D11" i="18"/>
  <c r="D16" i="18" s="1"/>
  <c r="C11" i="18"/>
  <c r="C16" i="18" s="1"/>
  <c r="B11" i="18"/>
  <c r="B16" i="18" s="1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B7" i="18"/>
  <c r="B7" i="19" s="1"/>
  <c r="C7" i="19" s="1"/>
  <c r="B6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G2" i="18"/>
  <c r="AG13" i="18" s="1"/>
  <c r="AF2" i="18"/>
  <c r="AF13" i="18" s="1"/>
  <c r="AE2" i="18"/>
  <c r="AE13" i="18" s="1"/>
  <c r="AD2" i="18"/>
  <c r="AD13" i="18" s="1"/>
  <c r="AC2" i="18"/>
  <c r="AC13" i="18" s="1"/>
  <c r="AB2" i="18"/>
  <c r="AB13" i="18" s="1"/>
  <c r="AA2" i="18"/>
  <c r="AA13" i="18" s="1"/>
  <c r="Z2" i="18"/>
  <c r="Z13" i="18" s="1"/>
  <c r="Y2" i="18"/>
  <c r="Y13" i="18" s="1"/>
  <c r="X2" i="18"/>
  <c r="X13" i="18" s="1"/>
  <c r="W2" i="18"/>
  <c r="W13" i="18" s="1"/>
  <c r="V2" i="18"/>
  <c r="V13" i="18" s="1"/>
  <c r="U2" i="18"/>
  <c r="U13" i="18" s="1"/>
  <c r="T2" i="18"/>
  <c r="T13" i="18" s="1"/>
  <c r="S2" i="18"/>
  <c r="S13" i="18" s="1"/>
  <c r="R2" i="18"/>
  <c r="R13" i="18" s="1"/>
  <c r="Q2" i="18"/>
  <c r="Q13" i="18" s="1"/>
  <c r="P2" i="18"/>
  <c r="P13" i="18" s="1"/>
  <c r="O2" i="18"/>
  <c r="O13" i="18" s="1"/>
  <c r="N2" i="18"/>
  <c r="N13" i="18" s="1"/>
  <c r="M2" i="18"/>
  <c r="M13" i="18" s="1"/>
  <c r="L2" i="18"/>
  <c r="L13" i="18" s="1"/>
  <c r="K2" i="18"/>
  <c r="K13" i="18" s="1"/>
  <c r="J2" i="18"/>
  <c r="J13" i="18" s="1"/>
  <c r="I2" i="18"/>
  <c r="I13" i="18" s="1"/>
  <c r="H2" i="18"/>
  <c r="H13" i="18" s="1"/>
  <c r="G2" i="18"/>
  <c r="G13" i="18" s="1"/>
  <c r="F2" i="18"/>
  <c r="F13" i="18" s="1"/>
  <c r="E2" i="18"/>
  <c r="E13" i="18" s="1"/>
  <c r="D2" i="18"/>
  <c r="D13" i="18" s="1"/>
  <c r="C2" i="18"/>
  <c r="C13" i="18" s="1"/>
  <c r="B2" i="18"/>
  <c r="B13" i="18" s="1"/>
  <c r="A71" i="17"/>
  <c r="A55" i="17"/>
  <c r="A38" i="17"/>
  <c r="A58" i="17" s="1"/>
  <c r="A19" i="17"/>
  <c r="C6" i="19" l="1"/>
  <c r="AD6" i="19"/>
  <c r="Z6" i="19"/>
  <c r="V6" i="19"/>
  <c r="R6" i="19"/>
  <c r="N6" i="19"/>
  <c r="J6" i="19"/>
  <c r="F6" i="19"/>
  <c r="AG7" i="19"/>
  <c r="AC7" i="19"/>
  <c r="Y7" i="19"/>
  <c r="U7" i="19"/>
  <c r="Q7" i="19"/>
  <c r="M7" i="19"/>
  <c r="I7" i="19"/>
  <c r="E7" i="19"/>
  <c r="C14" i="19"/>
  <c r="G14" i="19"/>
  <c r="K14" i="19"/>
  <c r="O14" i="19"/>
  <c r="S14" i="19"/>
  <c r="W14" i="19"/>
  <c r="AA14" i="19"/>
  <c r="AE14" i="19"/>
  <c r="AA6" i="19"/>
  <c r="AD7" i="19"/>
  <c r="V7" i="19"/>
  <c r="R7" i="19"/>
  <c r="N7" i="19"/>
  <c r="J7" i="19"/>
  <c r="F7" i="19"/>
  <c r="F14" i="19"/>
  <c r="N14" i="19"/>
  <c r="R14" i="19"/>
  <c r="V14" i="19"/>
  <c r="Z14" i="19"/>
  <c r="AG6" i="19"/>
  <c r="AC6" i="19"/>
  <c r="Y6" i="19"/>
  <c r="U6" i="19"/>
  <c r="Q6" i="19"/>
  <c r="M6" i="19"/>
  <c r="I6" i="19"/>
  <c r="E6" i="19"/>
  <c r="AF7" i="19"/>
  <c r="AB7" i="19"/>
  <c r="X7" i="19"/>
  <c r="T7" i="19"/>
  <c r="P7" i="19"/>
  <c r="L7" i="19"/>
  <c r="H7" i="19"/>
  <c r="D7" i="19"/>
  <c r="D14" i="19"/>
  <c r="H14" i="19"/>
  <c r="L14" i="19"/>
  <c r="P14" i="19"/>
  <c r="T14" i="19"/>
  <c r="X14" i="19"/>
  <c r="AB14" i="19"/>
  <c r="AF14" i="19"/>
  <c r="AE6" i="19"/>
  <c r="W6" i="19"/>
  <c r="S6" i="19"/>
  <c r="O6" i="19"/>
  <c r="K6" i="19"/>
  <c r="G6" i="19"/>
  <c r="Z7" i="19"/>
  <c r="J14" i="19"/>
  <c r="AD14" i="19"/>
  <c r="AF6" i="19"/>
  <c r="AB6" i="19"/>
  <c r="X6" i="19"/>
  <c r="T6" i="19"/>
  <c r="P6" i="19"/>
  <c r="L6" i="19"/>
  <c r="H6" i="19"/>
  <c r="AE7" i="19"/>
  <c r="AA7" i="19"/>
  <c r="W7" i="19"/>
  <c r="S7" i="19"/>
  <c r="O7" i="19"/>
  <c r="K7" i="19"/>
  <c r="G7" i="19"/>
  <c r="E14" i="19"/>
  <c r="I14" i="19"/>
  <c r="M14" i="19"/>
  <c r="Q14" i="19"/>
  <c r="U14" i="19"/>
  <c r="Y14" i="19"/>
  <c r="AC14" i="19"/>
  <c r="J15" i="18"/>
  <c r="R15" i="18"/>
  <c r="Z15" i="18"/>
  <c r="B15" i="18"/>
  <c r="F15" i="18"/>
  <c r="V15" i="18"/>
  <c r="N15" i="18"/>
  <c r="AD15" i="18"/>
  <c r="C15" i="18"/>
  <c r="G15" i="18"/>
  <c r="K15" i="18"/>
  <c r="O15" i="18"/>
  <c r="S15" i="18"/>
  <c r="W15" i="18"/>
  <c r="AA15" i="18"/>
  <c r="AE15" i="18"/>
  <c r="D15" i="18"/>
  <c r="H15" i="18"/>
  <c r="L15" i="18"/>
  <c r="P15" i="18"/>
  <c r="T15" i="18"/>
  <c r="X15" i="18"/>
  <c r="AB15" i="18"/>
  <c r="AF15" i="18"/>
  <c r="E15" i="18"/>
  <c r="I15" i="18"/>
  <c r="M15" i="18"/>
  <c r="Q15" i="18"/>
  <c r="U15" i="18"/>
  <c r="Y15" i="18"/>
  <c r="AC15" i="18"/>
  <c r="AG15" i="18"/>
  <c r="B7" i="8" l="1"/>
  <c r="D7" i="8" s="1"/>
  <c r="B7" i="7"/>
  <c r="D7" i="7" s="1"/>
  <c r="C11" i="9"/>
  <c r="B14" i="7" s="1"/>
  <c r="D14" i="7" s="1"/>
  <c r="D11" i="9"/>
  <c r="B14" i="8" s="1"/>
  <c r="D14" i="8" s="1"/>
  <c r="B11" i="9"/>
  <c r="C3" i="9"/>
  <c r="B6" i="7" s="1"/>
  <c r="D6" i="7" s="1"/>
  <c r="D3" i="9"/>
  <c r="B6" i="8" s="1"/>
  <c r="D6" i="8" s="1"/>
  <c r="B3" i="9"/>
  <c r="G25" i="9" l="1"/>
  <c r="C32" i="15" l="1"/>
  <c r="D17" i="8" l="1"/>
  <c r="D9" i="8"/>
  <c r="D5" i="8"/>
  <c r="D4" i="8"/>
  <c r="B17" i="8"/>
  <c r="B12" i="8"/>
  <c r="B9" i="8"/>
  <c r="B5" i="8"/>
  <c r="B4" i="8"/>
  <c r="D2" i="8"/>
  <c r="D17" i="7"/>
  <c r="D12" i="7"/>
  <c r="D11" i="7" s="1"/>
  <c r="D10" i="7"/>
  <c r="D9" i="7"/>
  <c r="D8" i="7"/>
  <c r="D5" i="7"/>
  <c r="B17" i="7"/>
  <c r="B10" i="7"/>
  <c r="B9" i="7"/>
  <c r="B8" i="7"/>
  <c r="B5" i="7"/>
  <c r="D4" i="7"/>
  <c r="B4" i="7"/>
  <c r="D2" i="7"/>
  <c r="B31" i="15" l="1"/>
  <c r="C28" i="15" l="1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B35" i="15"/>
  <c r="B34" i="15"/>
  <c r="B33" i="15"/>
  <c r="B32" i="15"/>
  <c r="B30" i="15"/>
  <c r="B29" i="15"/>
  <c r="B28" i="15"/>
  <c r="D12" i="8" l="1"/>
  <c r="D10" i="8"/>
  <c r="D8" i="8"/>
  <c r="D3" i="8"/>
  <c r="B10" i="8"/>
  <c r="B8" i="8"/>
  <c r="B3" i="8"/>
  <c r="B2" i="8"/>
  <c r="D3" i="7"/>
  <c r="B12" i="7"/>
  <c r="B11" i="7" s="1"/>
  <c r="B3" i="7"/>
  <c r="B2" i="7"/>
  <c r="B16" i="7" l="1"/>
  <c r="B15" i="7"/>
  <c r="B35" i="12" l="1"/>
  <c r="B13" i="7" s="1"/>
  <c r="B34" i="12"/>
  <c r="C13" i="8" s="1"/>
  <c r="B33" i="12"/>
  <c r="B11" i="8"/>
  <c r="D11" i="8"/>
  <c r="B13" i="8" l="1"/>
  <c r="C13" i="7"/>
  <c r="D13" i="8"/>
  <c r="D13" i="7"/>
  <c r="B15" i="8"/>
  <c r="B16" i="8"/>
  <c r="D15" i="7"/>
  <c r="D16" i="7"/>
  <c r="D15" i="8"/>
  <c r="D16" i="8"/>
</calcChain>
</file>

<file path=xl/sharedStrings.xml><?xml version="1.0" encoding="utf-8"?>
<sst xmlns="http://schemas.openxmlformats.org/spreadsheetml/2006/main" count="442" uniqueCount="283">
  <si>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</si>
  <si>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</si>
  <si>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</si>
  <si>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</si>
  <si>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</si>
  <si>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</si>
  <si>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Solar Thermal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</si>
  <si>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</si>
  <si>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</si>
  <si>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</si>
  <si>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</si>
  <si>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</si>
  <si>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</si>
  <si>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</si>
  <si>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</si>
  <si>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</si>
  <si>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</si>
  <si>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</si>
  <si>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</si>
  <si>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</si>
  <si>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</si>
  <si>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</si>
  <si>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</si>
  <si>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Geothermal</t>
  </si>
  <si>
    <t>natural gas nonpeaker</t>
  </si>
  <si>
    <t>geothermal</t>
  </si>
  <si>
    <t>petroleum</t>
  </si>
  <si>
    <t>natural gas peaker</t>
  </si>
  <si>
    <t>Model Subscript</t>
  </si>
  <si>
    <t>Scrubbed Coal</t>
  </si>
  <si>
    <t>EIA Technology Name</t>
  </si>
  <si>
    <t>Conventional Gas/Oil Combined Cycle</t>
  </si>
  <si>
    <t>Conventional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</si>
  <si>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</si>
  <si>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</si>
  <si>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</si>
  <si>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</si>
  <si>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</si>
  <si>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Our EIA source uses 2013 dollars.</t>
  </si>
  <si>
    <t>Except for wind and solar PV, our general approach is to take start year capital costs from the EIA and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</si>
  <si>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</si>
  <si>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</si>
  <si>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</si>
  <si>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</si>
  <si>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</si>
  <si>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For coal, we use values for a coal plant that features carbon capture and sequestration (CCS),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</si>
  <si>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</si>
  <si>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</si>
  <si>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</si>
  <si>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</si>
  <si>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</si>
  <si>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</si>
  <si>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</si>
  <si>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</si>
  <si>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</si>
  <si>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</si>
  <si>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</si>
  <si>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</si>
  <si>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</si>
  <si>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</si>
  <si>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</si>
  <si>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</si>
  <si>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</si>
  <si>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</si>
  <si>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</si>
  <si>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</si>
  <si>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</si>
  <si>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</si>
  <si>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</si>
  <si>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</si>
  <si>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</si>
  <si>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</si>
  <si>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</si>
  <si>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</si>
  <si>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</si>
  <si>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</si>
  <si>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</si>
  <si>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</si>
  <si>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</si>
  <si>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</si>
  <si>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</si>
  <si>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</si>
  <si>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</si>
  <si>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</si>
  <si>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</si>
  <si>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</si>
  <si>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</si>
  <si>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</si>
  <si>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</si>
  <si>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</si>
  <si>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</si>
  <si>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</si>
  <si>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</si>
  <si>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</si>
  <si>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</si>
  <si>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</si>
  <si>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</si>
  <si>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</si>
  <si>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</si>
  <si>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</si>
  <si>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</si>
  <si>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</si>
  <si>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</si>
  <si>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</si>
  <si>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lignite</t>
  </si>
  <si>
    <t>National Renewable Energy Lab</t>
  </si>
  <si>
    <t>NREL Electricity Source</t>
  </si>
  <si>
    <t>Model Electricity Source</t>
  </si>
  <si>
    <t>Source</t>
  </si>
  <si>
    <t>AEO 2015</t>
  </si>
  <si>
    <t>Currency Year</t>
  </si>
  <si>
    <t>Coal with 30% CCS</t>
  </si>
  <si>
    <t>Capital Costs (Except Wind and Solar), Fixed O&amp;M, Variable O&amp;M</t>
  </si>
  <si>
    <t>Installed Cost of Wind ($/kW)</t>
  </si>
  <si>
    <t>We adjust 2018 dollars to 2012 dollars using the following conversion factor:</t>
  </si>
  <si>
    <t>crude oil</t>
  </si>
  <si>
    <t>heavy or residual fuel oil</t>
  </si>
  <si>
    <t>municipal solid waste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</si>
  <si>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</si>
  <si>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</si>
  <si>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</si>
  <si>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</si>
  <si>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Assumptions to Annual Energy Outlook 2015, 2019</t>
  </si>
  <si>
    <t>2018 Wind Technologies Market Report</t>
  </si>
  <si>
    <t>Page x, Cost Trends, bullet point 2</t>
  </si>
  <si>
    <t>https://emp.lbl.gov/sites/default/files/wtmr_final_for_posting_8-9-19.pdf</t>
  </si>
  <si>
    <t xml:space="preserve">The SEIA and LBNL sources for solar and wind prices don't specify the year of their currency, </t>
  </si>
  <si>
    <t>so we assume they are 2018 dollars.</t>
  </si>
  <si>
    <t>cause them to decline at the same rate as costs declined in projections in the NREL</t>
  </si>
  <si>
    <t>Annual Technology Baseline.</t>
  </si>
  <si>
    <t>NREL Overnight Capital Costs</t>
  </si>
  <si>
    <t>Fraction of Start Year Costs</t>
  </si>
  <si>
    <t>2018 Onshore Wind Capital Cost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</si>
  <si>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</si>
  <si>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</si>
  <si>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</si>
  <si>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</si>
  <si>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</si>
  <si>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Notes</t>
  </si>
  <si>
    <t>Intentionally keeping older-year source for preexisting retiring plants</t>
  </si>
  <si>
    <t>We do not use the values in red because they exceed real-world observed costs.</t>
  </si>
  <si>
    <t>We use other sources for wind and solar PV capital costs.</t>
  </si>
  <si>
    <t>2015, 2019, 2020</t>
  </si>
  <si>
    <t>Electricity Market Module, Table 2 (AEO 2015, 2019) or Table 3 (AEO 2020)</t>
  </si>
  <si>
    <t>Onshore wind, offshore wind, and solar PV may optionally be handled differently in the model,</t>
  </si>
  <si>
    <t>relying on endogenous, capacity-based learning curves to determine cost declines.</t>
  </si>
  <si>
    <t>A cost of zero for onshore wind, offshore wind, or solar PV is a flag to the model to use endogenous</t>
  </si>
  <si>
    <t>For the U.S. EPA, we do not use EIA for the start year solar and wind costs,</t>
  </si>
  <si>
    <t>as EIA's numbers are higher than what was actually observed, so we use other sources,</t>
  </si>
  <si>
    <t>specified above.</t>
  </si>
  <si>
    <t>To use endogenous learning, you must specify a cost for the first simulated year in sheet</t>
  </si>
  <si>
    <t>CCaMC-BCCpUC and leave the costs for all subsequent years set to zero.</t>
  </si>
  <si>
    <t>Endogenous Learning</t>
  </si>
  <si>
    <t>learning.  If a non-zero cost is provided in this sheet for a year after the first year, the model will</t>
  </si>
  <si>
    <t>use the cost specified here, rather than a value calculated via endogenous learning.</t>
  </si>
  <si>
    <t>Additional Notes</t>
  </si>
  <si>
    <t>2018 Solar and Offshore Wind Capital Cost, Cost Improvement Rates</t>
  </si>
  <si>
    <t>Annual Technology Baseline (ATB) Spreadsheet - 2020 Final</t>
  </si>
  <si>
    <t>https://atb.nrel.gov/</t>
  </si>
  <si>
    <t>Average Offshore Wind Cost ($/kW)</t>
  </si>
  <si>
    <t>Class 1 - Offshore Fixed</t>
  </si>
  <si>
    <t>Class 2 - Offshore Fixed</t>
  </si>
  <si>
    <t>Class 8 - Offshore Floating</t>
  </si>
  <si>
    <t>Class 9 - Offshore Floating</t>
  </si>
  <si>
    <t>ATB Offshore Wind Data</t>
  </si>
  <si>
    <t>Potential Capacity (GW)</t>
  </si>
  <si>
    <t>Nuclear - Moderate</t>
  </si>
  <si>
    <t>We adjust 2019 dollars to 2012 dollars using the following conversion factor:</t>
  </si>
  <si>
    <t>Class 1</t>
  </si>
  <si>
    <t>Class 2</t>
  </si>
  <si>
    <t>Class 3</t>
  </si>
  <si>
    <t>Class 4</t>
  </si>
  <si>
    <t>Potential Wind Plant Capacity (GW)</t>
  </si>
  <si>
    <t>ATB Onshore Wind Data</t>
  </si>
  <si>
    <t>*We take a weighted average (based on potential capacity) of the first four classes of onshore wind</t>
  </si>
  <si>
    <t>*We take a weighted average (based on potential capacity) of the first two classes for both fixed and floating technologies</t>
  </si>
  <si>
    <t xml:space="preserve">Gas-CC-CCS-AvgCF - Moderate </t>
  </si>
  <si>
    <t>Coal-CCS 30%-AvgCF - Moderate</t>
  </si>
  <si>
    <t>NPD 1 - Moderate</t>
  </si>
  <si>
    <t>NPD 2 - Moderate</t>
  </si>
  <si>
    <t>NPD 3 - Moderate</t>
  </si>
  <si>
    <t>NPD 4 - Moderate</t>
  </si>
  <si>
    <t>NSD 1 - Moderate</t>
  </si>
  <si>
    <t>NSD 2 - Moderate</t>
  </si>
  <si>
    <t>NSD 3 - Moderate</t>
  </si>
  <si>
    <t>NSD 4 - Moderate</t>
  </si>
  <si>
    <t>10hrs TES - Class 1 - Moderate</t>
  </si>
  <si>
    <t>Dedicated - Moderate</t>
  </si>
  <si>
    <t>CofireOld - Moderate</t>
  </si>
  <si>
    <t>CofireNew - Moderate</t>
  </si>
  <si>
    <t>Hydro / Flash - Moderate</t>
  </si>
  <si>
    <t>Hydro / Binary - Moderate</t>
  </si>
  <si>
    <t>NF EGS / Flash - Moderate</t>
  </si>
  <si>
    <t>NF EGS / Binary - Moderate</t>
  </si>
  <si>
    <t>Deep EGS / Flash - Moderate</t>
  </si>
  <si>
    <t>Deep EGS / Binary - Moderate</t>
  </si>
  <si>
    <t>Gas-CT-AvgCF - Moderate</t>
  </si>
  <si>
    <t>Overnight Capital Cost ($/kW) - Moderate</t>
  </si>
  <si>
    <t>Average Utility Scale Solar</t>
  </si>
  <si>
    <t>Overnight Capital Cost ($/w-ac)</t>
  </si>
  <si>
    <t>Fixed O&amp;M</t>
  </si>
  <si>
    <t>Variable O&amp;M</t>
  </si>
  <si>
    <t>Category</t>
  </si>
  <si>
    <t>Item</t>
  </si>
  <si>
    <t>Cost %</t>
  </si>
  <si>
    <t>Turbine</t>
  </si>
  <si>
    <t>Rotor</t>
  </si>
  <si>
    <t>Drivetrain</t>
  </si>
  <si>
    <t>Tower</t>
  </si>
  <si>
    <t>Balance of Plant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</si>
  <si>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</si>
  <si>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</si>
  <si>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</si>
  <si>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</si>
  <si>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</si>
  <si>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</si>
  <si>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</si>
  <si>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</si>
  <si>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</si>
  <si>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</si>
  <si>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</si>
  <si>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</si>
  <si>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</si>
  <si>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</si>
  <si>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</si>
  <si>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</si>
  <si>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Technology Cost Share</t>
  </si>
  <si>
    <t>Balance of System Cost Share</t>
  </si>
  <si>
    <t>We treat substructure and foundation as an R&amp;D-driven cost for offshore turbines.</t>
  </si>
  <si>
    <t>Floating substructure, Balance of System Components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</si>
  <si>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</si>
  <si>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</si>
  <si>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</si>
  <si>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</si>
  <si>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</si>
  <si>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</si>
  <si>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</si>
  <si>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This variable refers to utility-scale solar PV, so we use the utility-scale figure.</t>
  </si>
  <si>
    <t>U.S. Department of Energy</t>
  </si>
  <si>
    <t>Wind Vision: A New Era for Wind Power in the United States</t>
  </si>
  <si>
    <t>https://www.energy.gov/sites/prod/files/wv_chapter2_wind_power_in_the_united_states.pdf</t>
  </si>
  <si>
    <t>Page 13, Figure 2-8</t>
  </si>
  <si>
    <t>Soft Cost Share for Onshore Wind</t>
  </si>
  <si>
    <t>NREL</t>
  </si>
  <si>
    <t>Offshore Wind Balance-of-System Cost Modeling</t>
  </si>
  <si>
    <t>https://www.nrel.gov/docs/fy15osti/64789.pdf</t>
  </si>
  <si>
    <t>Soft Cost Share for Offshore Wind</t>
  </si>
  <si>
    <t>U.S. Solar Photovoltaic System Cost Benchmark: Q1 2018</t>
  </si>
  <si>
    <t>https://www.nrel.gov/docs/fy17osti/68925.pdf</t>
  </si>
  <si>
    <t>Page viii, Figure ES-2</t>
  </si>
  <si>
    <t>Soft Cost Share for Solar PV</t>
  </si>
  <si>
    <t>Endogenous learning only affects the hard costs of the system.  To affect soft costs, enter</t>
  </si>
  <si>
    <t>exists a policy that lowers soft costs relative to the BAU.</t>
  </si>
  <si>
    <t>Soft Costs</t>
  </si>
  <si>
    <t>Since soft costs only affect endogenous learning calculations, and endogenous learning is</t>
  </si>
  <si>
    <t>only used for onshore wind, offshore wind, and solar PV, these are the only power plant types</t>
  </si>
  <si>
    <t>for which soft cost data are used.</t>
  </si>
  <si>
    <t>Natural Gas Nonpeaker (NOT USED)</t>
  </si>
  <si>
    <t>Nuclear (NOT USED)</t>
  </si>
  <si>
    <t>Hydro (NOT USED)</t>
  </si>
  <si>
    <t>Solar Thermal (NOT USED)</t>
  </si>
  <si>
    <t>Biomass (NOT USED)</t>
  </si>
  <si>
    <t>Geothermal (NOT USED)</t>
  </si>
  <si>
    <t>Petroleum (NOT USED)</t>
  </si>
  <si>
    <t>Natural Gas Peaker (NOT USED)</t>
  </si>
  <si>
    <t>Lignite (NOT USED)</t>
  </si>
  <si>
    <t>Crude Oil (NOT USED)</t>
  </si>
  <si>
    <t>Heavy or Residual Fuel Oil (NOT USED)</t>
  </si>
  <si>
    <t>Municipal Solid Waste (NOT USED)</t>
  </si>
  <si>
    <t>Hard Coal</t>
  </si>
  <si>
    <t>Natural Gas Nonpeaker</t>
  </si>
  <si>
    <t>Nuclear</t>
  </si>
  <si>
    <t>Hydro</t>
  </si>
  <si>
    <t>Petroleum</t>
  </si>
  <si>
    <t>Natural Gas Peaker</t>
  </si>
  <si>
    <t>Lignite</t>
  </si>
  <si>
    <t>Crude Oil</t>
  </si>
  <si>
    <t>Heavy or Residual Fuel Oil</t>
  </si>
  <si>
    <t>Municipal Solid Waste</t>
  </si>
  <si>
    <t>Unit: $/MW</t>
  </si>
  <si>
    <t>Hard Coal (NOT USED)</t>
  </si>
  <si>
    <t>CCaMC BAU Soft Costs per Unit Capacity</t>
  </si>
  <si>
    <t>time-series data in CCaMC-BSCpUC.  This affects the BAU case.  Note that there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</si>
</sst>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\$#,##0;\$#,##0"/>
    <numFmt numFmtId="166" formatCode="#,##0;#,##0"/>
    <numFmt numFmtId="167" formatCode="###0;###0"/>
    <numFmt numFmtId="168" formatCode="###0.00;###0.00"/>
    <numFmt numFmtId="169" formatCode="_-* #,##0.00_-;\-* #,##0.00_-;_-* &quot;-&quot;??_-;_-@_-"/>
    <numFmt numFmtId="170" formatCode="&quot;$&quot;#,##0"/>
    <numFmt numFmtId="171" formatCode="0.0%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</borders>
  <cellStyleXfs count="229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4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2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26" fillId="0" borderId="0" applyFill="0" applyProtection="0">
      <alignment horizontal="right" vertical="center"/>
    </xf>
    <xf numFmtId="164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3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1" fontId="0" fillId="3" borderId="0" xfId="0" applyNumberFormat="1" applyFill="1"/>
    <xf numFmtId="0" fontId="0" fillId="0" borderId="0" xfId="0"/>
    <xf numFmtId="0" fontId="0" fillId="4" borderId="0" xfId="0" applyFont="1" applyFill="1"/>
    <xf numFmtId="164" fontId="0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/>
    </xf>
    <xf numFmtId="165" fontId="9" fillId="0" borderId="8" xfId="0" applyNumberFormat="1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66" fontId="9" fillId="0" borderId="8" xfId="0" applyNumberFormat="1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166" fontId="9" fillId="0" borderId="9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5" fontId="9" fillId="0" borderId="11" xfId="0" applyNumberFormat="1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center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left" vertical="top" wrapText="1"/>
    </xf>
    <xf numFmtId="168" fontId="9" fillId="0" borderId="10" xfId="0" applyNumberFormat="1" applyFont="1" applyFill="1" applyBorder="1" applyAlignment="1">
      <alignment horizontal="center" vertical="top" wrapText="1"/>
    </xf>
    <xf numFmtId="165" fontId="9" fillId="0" borderId="9" xfId="0" applyNumberFormat="1" applyFont="1" applyFill="1" applyBorder="1" applyAlignment="1">
      <alignment horizontal="left" vertical="top" wrapText="1"/>
    </xf>
    <xf numFmtId="166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1" fillId="3" borderId="0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70" fontId="34" fillId="10" borderId="14" xfId="0" applyNumberFormat="1" applyFont="1" applyFill="1" applyBorder="1"/>
    <xf numFmtId="3" fontId="14" fillId="11" borderId="15" xfId="228" applyNumberFormat="1" applyFont="1" applyFill="1" applyBorder="1" applyAlignment="1">
      <alignment horizontal="center" vertical="center" wrapText="1"/>
    </xf>
    <xf numFmtId="3" fontId="14" fillId="0" borderId="15" xfId="228" applyNumberFormat="1" applyFont="1" applyBorder="1" applyAlignment="1">
      <alignment horizontal="center" vertical="center" wrapText="1"/>
    </xf>
    <xf numFmtId="3" fontId="34" fillId="11" borderId="16" xfId="0" applyNumberFormat="1" applyFont="1" applyFill="1" applyBorder="1" applyAlignment="1">
      <alignment horizontal="center" vertical="center" wrapText="1"/>
    </xf>
    <xf numFmtId="3" fontId="34" fillId="0" borderId="17" xfId="0" applyNumberFormat="1" applyFont="1" applyBorder="1" applyAlignment="1">
      <alignment horizontal="center" vertical="center" wrapText="1"/>
    </xf>
    <xf numFmtId="3" fontId="34" fillId="11" borderId="17" xfId="0" applyNumberFormat="1" applyFont="1" applyFill="1" applyBorder="1" applyAlignment="1">
      <alignment horizontal="center" vertical="center" wrapText="1"/>
    </xf>
    <xf numFmtId="3" fontId="34" fillId="0" borderId="0" xfId="0" applyNumberFormat="1" applyFont="1" applyBorder="1" applyAlignment="1">
      <alignment horizontal="center" vertical="center" wrapText="1"/>
    </xf>
    <xf numFmtId="170" fontId="34" fillId="10" borderId="0" xfId="0" applyNumberFormat="1" applyFont="1" applyFill="1" applyBorder="1"/>
    <xf numFmtId="0" fontId="0" fillId="0" borderId="0" xfId="0" applyAlignment="1">
      <alignment horizontal="right" wrapText="1"/>
    </xf>
    <xf numFmtId="17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Border="1"/>
    <xf numFmtId="0" fontId="1" fillId="12" borderId="0" xfId="0" applyFont="1" applyFill="1"/>
    <xf numFmtId="0" fontId="0" fillId="12" borderId="0" xfId="0" applyFill="1"/>
    <xf numFmtId="0" fontId="1" fillId="2" borderId="0" xfId="0" applyFont="1" applyFill="1" applyAlignment="1">
      <alignment horizontal="right"/>
    </xf>
    <xf numFmtId="9" fontId="0" fillId="0" borderId="0" xfId="0" applyNumberFormat="1"/>
    <xf numFmtId="171" fontId="0" fillId="13" borderId="0" xfId="0" applyNumberFormat="1" applyFill="1"/>
    <xf numFmtId="171" fontId="0" fillId="0" borderId="0" xfId="0" applyNumberFormat="1"/>
    <xf numFmtId="9" fontId="0" fillId="13" borderId="0" xfId="0" applyNumberFormat="1" applyFill="1"/>
    <xf numFmtId="1" fontId="0" fillId="2" borderId="0" xfId="0" applyNumberFormat="1" applyFill="1"/>
    <xf numFmtId="0" fontId="1" fillId="0" borderId="0" xfId="0" applyFont="1" applyAlignment="1"/>
    <xf numFmtId="0" fontId="35" fillId="0" borderId="0" xfId="0" applyFont="1" applyAlignment="1"/>
    <xf numFmtId="0" fontId="1" fillId="2" borderId="0" xfId="0" applyFont="1" applyFill="1" applyAlignment="1"/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</cellXfs>
  <cellStyles count="229">
    <cellStyle name="20% - Accent1 2" xfId="16" xr:uid="{00000000-0005-0000-0000-000000000000}"/>
    <cellStyle name="20% - Accent1 2 2" xfId="17" xr:uid="{00000000-0005-0000-0000-000001000000}"/>
    <cellStyle name="20% - Accent1 2 2 2" xfId="151" xr:uid="{00000000-0005-0000-0000-000002000000}"/>
    <cellStyle name="20% - Accent1 2 2 2 2" xfId="173" xr:uid="{00000000-0005-0000-0000-000003000000}"/>
    <cellStyle name="20% - Accent1 2 2 2 2 2" xfId="217" xr:uid="{00000000-0005-0000-0000-000004000000}"/>
    <cellStyle name="20% - Accent1 2 2 2 3" xfId="195" xr:uid="{00000000-0005-0000-0000-000005000000}"/>
    <cellStyle name="20% - Accent1 2 2 3" xfId="162" xr:uid="{00000000-0005-0000-0000-000006000000}"/>
    <cellStyle name="20% - Accent1 2 2 3 2" xfId="206" xr:uid="{00000000-0005-0000-0000-000007000000}"/>
    <cellStyle name="20% - Accent1 2 2 4" xfId="184" xr:uid="{00000000-0005-0000-0000-000008000000}"/>
    <cellStyle name="20% - Accent2 2" xfId="18" xr:uid="{00000000-0005-0000-0000-000009000000}"/>
    <cellStyle name="20% - Accent2 2 2" xfId="19" xr:uid="{00000000-0005-0000-0000-00000A000000}"/>
    <cellStyle name="20% - Accent2 2 2 2" xfId="152" xr:uid="{00000000-0005-0000-0000-00000B000000}"/>
    <cellStyle name="20% - Accent2 2 2 2 2" xfId="174" xr:uid="{00000000-0005-0000-0000-00000C000000}"/>
    <cellStyle name="20% - Accent2 2 2 2 2 2" xfId="218" xr:uid="{00000000-0005-0000-0000-00000D000000}"/>
    <cellStyle name="20% - Accent2 2 2 2 3" xfId="196" xr:uid="{00000000-0005-0000-0000-00000E000000}"/>
    <cellStyle name="20% - Accent2 2 2 3" xfId="163" xr:uid="{00000000-0005-0000-0000-00000F000000}"/>
    <cellStyle name="20% - Accent2 2 2 3 2" xfId="207" xr:uid="{00000000-0005-0000-0000-000010000000}"/>
    <cellStyle name="20% - Accent2 2 2 4" xfId="185" xr:uid="{00000000-0005-0000-0000-000011000000}"/>
    <cellStyle name="20% - Accent3 2" xfId="20" xr:uid="{00000000-0005-0000-0000-000012000000}"/>
    <cellStyle name="20% - Accent3 2 2" xfId="21" xr:uid="{00000000-0005-0000-0000-000013000000}"/>
    <cellStyle name="20% - Accent3 2 2 2" xfId="153" xr:uid="{00000000-0005-0000-0000-000014000000}"/>
    <cellStyle name="20% - Accent3 2 2 2 2" xfId="175" xr:uid="{00000000-0005-0000-0000-000015000000}"/>
    <cellStyle name="20% - Accent3 2 2 2 2 2" xfId="219" xr:uid="{00000000-0005-0000-0000-000016000000}"/>
    <cellStyle name="20% - Accent3 2 2 2 3" xfId="197" xr:uid="{00000000-0005-0000-0000-000017000000}"/>
    <cellStyle name="20% - Accent3 2 2 3" xfId="164" xr:uid="{00000000-0005-0000-0000-000018000000}"/>
    <cellStyle name="20% - Accent3 2 2 3 2" xfId="208" xr:uid="{00000000-0005-0000-0000-000019000000}"/>
    <cellStyle name="20% - Accent3 2 2 4" xfId="186" xr:uid="{00000000-0005-0000-0000-00001A000000}"/>
    <cellStyle name="20% - Accent4 2" xfId="22" xr:uid="{00000000-0005-0000-0000-00001B000000}"/>
    <cellStyle name="20% - Accent4 2 2" xfId="23" xr:uid="{00000000-0005-0000-0000-00001C000000}"/>
    <cellStyle name="20% - Accent4 2 2 2" xfId="154" xr:uid="{00000000-0005-0000-0000-00001D000000}"/>
    <cellStyle name="20% - Accent4 2 2 2 2" xfId="176" xr:uid="{00000000-0005-0000-0000-00001E000000}"/>
    <cellStyle name="20% - Accent4 2 2 2 2 2" xfId="220" xr:uid="{00000000-0005-0000-0000-00001F000000}"/>
    <cellStyle name="20% - Accent4 2 2 2 3" xfId="198" xr:uid="{00000000-0005-0000-0000-000020000000}"/>
    <cellStyle name="20% - Accent4 2 2 3" xfId="165" xr:uid="{00000000-0005-0000-0000-000021000000}"/>
    <cellStyle name="20% - Accent4 2 2 3 2" xfId="209" xr:uid="{00000000-0005-0000-0000-000022000000}"/>
    <cellStyle name="20% - Accent4 2 2 4" xfId="187" xr:uid="{00000000-0005-0000-0000-000023000000}"/>
    <cellStyle name="Body: normal cell" xfId="4" xr:uid="{00000000-0005-0000-0000-000024000000}"/>
    <cellStyle name="Calculated" xfId="24" xr:uid="{00000000-0005-0000-0000-000025000000}"/>
    <cellStyle name="Comma 10" xfId="25" xr:uid="{00000000-0005-0000-0000-000026000000}"/>
    <cellStyle name="Comma 10 2" xfId="155" xr:uid="{00000000-0005-0000-0000-000027000000}"/>
    <cellStyle name="Comma 10 2 2" xfId="177" xr:uid="{00000000-0005-0000-0000-000028000000}"/>
    <cellStyle name="Comma 10 2 2 2" xfId="221" xr:uid="{00000000-0005-0000-0000-000029000000}"/>
    <cellStyle name="Comma 10 2 3" xfId="199" xr:uid="{00000000-0005-0000-0000-00002A000000}"/>
    <cellStyle name="Comma 10 3" xfId="166" xr:uid="{00000000-0005-0000-0000-00002B000000}"/>
    <cellStyle name="Comma 10 3 2" xfId="210" xr:uid="{00000000-0005-0000-0000-00002C000000}"/>
    <cellStyle name="Comma 10 4" xfId="188" xr:uid="{00000000-0005-0000-0000-00002D000000}"/>
    <cellStyle name="Comma 11" xfId="26" xr:uid="{00000000-0005-0000-0000-00002E000000}"/>
    <cellStyle name="Comma 2" xfId="27" xr:uid="{00000000-0005-0000-0000-00002F000000}"/>
    <cellStyle name="Comma 2 2" xfId="28" xr:uid="{00000000-0005-0000-0000-000030000000}"/>
    <cellStyle name="Comma 2 2 2" xfId="156" xr:uid="{00000000-0005-0000-0000-000031000000}"/>
    <cellStyle name="Comma 2 2 2 2" xfId="178" xr:uid="{00000000-0005-0000-0000-000032000000}"/>
    <cellStyle name="Comma 2 2 2 2 2" xfId="222" xr:uid="{00000000-0005-0000-0000-000033000000}"/>
    <cellStyle name="Comma 2 2 2 3" xfId="200" xr:uid="{00000000-0005-0000-0000-000034000000}"/>
    <cellStyle name="Comma 2 2 3" xfId="167" xr:uid="{00000000-0005-0000-0000-000035000000}"/>
    <cellStyle name="Comma 2 2 3 2" xfId="211" xr:uid="{00000000-0005-0000-0000-000036000000}"/>
    <cellStyle name="Comma 2 2 4" xfId="189" xr:uid="{00000000-0005-0000-0000-000037000000}"/>
    <cellStyle name="Comma 3" xfId="29" xr:uid="{00000000-0005-0000-0000-000038000000}"/>
    <cellStyle name="Comma 3 2" xfId="30" xr:uid="{00000000-0005-0000-0000-000039000000}"/>
    <cellStyle name="Comma 3 2 2" xfId="157" xr:uid="{00000000-0005-0000-0000-00003A000000}"/>
    <cellStyle name="Comma 3 2 2 2" xfId="179" xr:uid="{00000000-0005-0000-0000-00003B000000}"/>
    <cellStyle name="Comma 3 2 2 2 2" xfId="223" xr:uid="{00000000-0005-0000-0000-00003C000000}"/>
    <cellStyle name="Comma 3 2 2 3" xfId="201" xr:uid="{00000000-0005-0000-0000-00003D000000}"/>
    <cellStyle name="Comma 3 2 3" xfId="168" xr:uid="{00000000-0005-0000-0000-00003E000000}"/>
    <cellStyle name="Comma 3 2 3 2" xfId="212" xr:uid="{00000000-0005-0000-0000-00003F000000}"/>
    <cellStyle name="Comma 3 2 4" xfId="190" xr:uid="{00000000-0005-0000-0000-000040000000}"/>
    <cellStyle name="Comma 4" xfId="31" xr:uid="{00000000-0005-0000-0000-000041000000}"/>
    <cellStyle name="Comma 5" xfId="32" xr:uid="{00000000-0005-0000-0000-000042000000}"/>
    <cellStyle name="Comma 6" xfId="33" xr:uid="{00000000-0005-0000-0000-000043000000}"/>
    <cellStyle name="Comma 7" xfId="34" xr:uid="{00000000-0005-0000-0000-000044000000}"/>
    <cellStyle name="Comma 8" xfId="35" xr:uid="{00000000-0005-0000-0000-000045000000}"/>
    <cellStyle name="Comma 9" xfId="36" xr:uid="{00000000-0005-0000-0000-000046000000}"/>
    <cellStyle name="Currency 2" xfId="37" xr:uid="{00000000-0005-0000-0000-000047000000}"/>
    <cellStyle name="Currency 3" xfId="38" xr:uid="{00000000-0005-0000-0000-000048000000}"/>
    <cellStyle name="Currency 4" xfId="39" xr:uid="{00000000-0005-0000-0000-000049000000}"/>
    <cellStyle name="Currency 5" xfId="40" xr:uid="{00000000-0005-0000-0000-00004A000000}"/>
    <cellStyle name="Currency 6" xfId="41" xr:uid="{00000000-0005-0000-0000-00004B000000}"/>
    <cellStyle name="Currency 7" xfId="42" xr:uid="{00000000-0005-0000-0000-00004C000000}"/>
    <cellStyle name="Currency 8" xfId="43" xr:uid="{00000000-0005-0000-0000-00004D000000}"/>
    <cellStyle name="Currency 8 2" xfId="158" xr:uid="{00000000-0005-0000-0000-00004E000000}"/>
    <cellStyle name="Currency 8 2 2" xfId="180" xr:uid="{00000000-0005-0000-0000-00004F000000}"/>
    <cellStyle name="Currency 8 2 2 2" xfId="224" xr:uid="{00000000-0005-0000-0000-000050000000}"/>
    <cellStyle name="Currency 8 2 3" xfId="202" xr:uid="{00000000-0005-0000-0000-000051000000}"/>
    <cellStyle name="Currency 8 3" xfId="169" xr:uid="{00000000-0005-0000-0000-000052000000}"/>
    <cellStyle name="Currency 8 3 2" xfId="213" xr:uid="{00000000-0005-0000-0000-000053000000}"/>
    <cellStyle name="Currency 8 4" xfId="191" xr:uid="{00000000-0005-0000-0000-000054000000}"/>
    <cellStyle name="Followed Hyperlink" xfId="8" builtinId="9" customBuiltin="1"/>
    <cellStyle name="Font: Calibri, 9pt regular" xfId="6" xr:uid="{00000000-0005-0000-0000-000056000000}"/>
    <cellStyle name="Footnotes: all except top row" xfId="9" xr:uid="{00000000-0005-0000-0000-000057000000}"/>
    <cellStyle name="Footnotes: top row" xfId="7" xr:uid="{00000000-0005-0000-0000-000058000000}"/>
    <cellStyle name="Header: bottom row" xfId="2" xr:uid="{00000000-0005-0000-0000-000059000000}"/>
    <cellStyle name="Header: top rows" xfId="10" xr:uid="{00000000-0005-0000-0000-00005A000000}"/>
    <cellStyle name="Heading" xfId="44" xr:uid="{00000000-0005-0000-0000-00005B000000}"/>
    <cellStyle name="Heading 2 2" xfId="45" xr:uid="{00000000-0005-0000-0000-00005C000000}"/>
    <cellStyle name="Heading2" xfId="46" xr:uid="{00000000-0005-0000-0000-00005D000000}"/>
    <cellStyle name="Hyperlink" xfId="5" builtinId="8"/>
    <cellStyle name="Hyperlink 10" xfId="47" xr:uid="{00000000-0005-0000-0000-00005F000000}"/>
    <cellStyle name="Hyperlink 10 2" xfId="48" xr:uid="{00000000-0005-0000-0000-000060000000}"/>
    <cellStyle name="Hyperlink 10 3" xfId="49" xr:uid="{00000000-0005-0000-0000-000061000000}"/>
    <cellStyle name="Hyperlink 11" xfId="50" xr:uid="{00000000-0005-0000-0000-000062000000}"/>
    <cellStyle name="Hyperlink 11 2" xfId="51" xr:uid="{00000000-0005-0000-0000-000063000000}"/>
    <cellStyle name="Hyperlink 11 3" xfId="52" xr:uid="{00000000-0005-0000-0000-000064000000}"/>
    <cellStyle name="Hyperlink 12" xfId="53" xr:uid="{00000000-0005-0000-0000-000065000000}"/>
    <cellStyle name="Hyperlink 12 2" xfId="54" xr:uid="{00000000-0005-0000-0000-000066000000}"/>
    <cellStyle name="Hyperlink 12 3" xfId="55" xr:uid="{00000000-0005-0000-0000-000067000000}"/>
    <cellStyle name="Hyperlink 13" xfId="56" xr:uid="{00000000-0005-0000-0000-000068000000}"/>
    <cellStyle name="Hyperlink 13 2" xfId="57" xr:uid="{00000000-0005-0000-0000-000069000000}"/>
    <cellStyle name="Hyperlink 13 3" xfId="58" xr:uid="{00000000-0005-0000-0000-00006A000000}"/>
    <cellStyle name="Hyperlink 14" xfId="59" xr:uid="{00000000-0005-0000-0000-00006B000000}"/>
    <cellStyle name="Hyperlink 14 2" xfId="60" xr:uid="{00000000-0005-0000-0000-00006C000000}"/>
    <cellStyle name="Hyperlink 14 3" xfId="61" xr:uid="{00000000-0005-0000-0000-00006D000000}"/>
    <cellStyle name="Hyperlink 15" xfId="62" xr:uid="{00000000-0005-0000-0000-00006E000000}"/>
    <cellStyle name="Hyperlink 15 2" xfId="63" xr:uid="{00000000-0005-0000-0000-00006F000000}"/>
    <cellStyle name="Hyperlink 15 3" xfId="64" xr:uid="{00000000-0005-0000-0000-000070000000}"/>
    <cellStyle name="Hyperlink 16" xfId="65" xr:uid="{00000000-0005-0000-0000-000071000000}"/>
    <cellStyle name="Hyperlink 16 2" xfId="66" xr:uid="{00000000-0005-0000-0000-000072000000}"/>
    <cellStyle name="Hyperlink 16 3" xfId="67" xr:uid="{00000000-0005-0000-0000-000073000000}"/>
    <cellStyle name="Hyperlink 17" xfId="68" xr:uid="{00000000-0005-0000-0000-000074000000}"/>
    <cellStyle name="Hyperlink 17 2" xfId="69" xr:uid="{00000000-0005-0000-0000-000075000000}"/>
    <cellStyle name="Hyperlink 17 3" xfId="70" xr:uid="{00000000-0005-0000-0000-000076000000}"/>
    <cellStyle name="Hyperlink 18" xfId="71" xr:uid="{00000000-0005-0000-0000-000077000000}"/>
    <cellStyle name="Hyperlink 18 2" xfId="72" xr:uid="{00000000-0005-0000-0000-000078000000}"/>
    <cellStyle name="Hyperlink 18 3" xfId="73" xr:uid="{00000000-0005-0000-0000-000079000000}"/>
    <cellStyle name="Hyperlink 19" xfId="74" xr:uid="{00000000-0005-0000-0000-00007A000000}"/>
    <cellStyle name="Hyperlink 19 2" xfId="75" xr:uid="{00000000-0005-0000-0000-00007B000000}"/>
    <cellStyle name="Hyperlink 19 3" xfId="76" xr:uid="{00000000-0005-0000-0000-00007C000000}"/>
    <cellStyle name="Hyperlink 2" xfId="11" xr:uid="{00000000-0005-0000-0000-00007D000000}"/>
    <cellStyle name="Hyperlink 2 2" xfId="78" xr:uid="{00000000-0005-0000-0000-00007E000000}"/>
    <cellStyle name="Hyperlink 2 3" xfId="79" xr:uid="{00000000-0005-0000-0000-00007F000000}"/>
    <cellStyle name="Hyperlink 2 4" xfId="77" xr:uid="{00000000-0005-0000-0000-000080000000}"/>
    <cellStyle name="Hyperlink 20" xfId="80" xr:uid="{00000000-0005-0000-0000-000081000000}"/>
    <cellStyle name="Hyperlink 20 2" xfId="81" xr:uid="{00000000-0005-0000-0000-000082000000}"/>
    <cellStyle name="Hyperlink 20 3" xfId="82" xr:uid="{00000000-0005-0000-0000-000083000000}"/>
    <cellStyle name="Hyperlink 21" xfId="83" xr:uid="{00000000-0005-0000-0000-000084000000}"/>
    <cellStyle name="Hyperlink 21 2" xfId="84" xr:uid="{00000000-0005-0000-0000-000085000000}"/>
    <cellStyle name="Hyperlink 21 3" xfId="85" xr:uid="{00000000-0005-0000-0000-000086000000}"/>
    <cellStyle name="Hyperlink 22" xfId="86" xr:uid="{00000000-0005-0000-0000-000087000000}"/>
    <cellStyle name="Hyperlink 22 2" xfId="87" xr:uid="{00000000-0005-0000-0000-000088000000}"/>
    <cellStyle name="Hyperlink 22 3" xfId="88" xr:uid="{00000000-0005-0000-0000-000089000000}"/>
    <cellStyle name="Hyperlink 23" xfId="89" xr:uid="{00000000-0005-0000-0000-00008A000000}"/>
    <cellStyle name="Hyperlink 23 2" xfId="90" xr:uid="{00000000-0005-0000-0000-00008B000000}"/>
    <cellStyle name="Hyperlink 23 3" xfId="91" xr:uid="{00000000-0005-0000-0000-00008C000000}"/>
    <cellStyle name="Hyperlink 24" xfId="92" xr:uid="{00000000-0005-0000-0000-00008D000000}"/>
    <cellStyle name="Hyperlink 25" xfId="93" xr:uid="{00000000-0005-0000-0000-00008E000000}"/>
    <cellStyle name="Hyperlink 26" xfId="94" xr:uid="{00000000-0005-0000-0000-00008F000000}"/>
    <cellStyle name="Hyperlink 27" xfId="95" xr:uid="{00000000-0005-0000-0000-000090000000}"/>
    <cellStyle name="Hyperlink 28" xfId="96" xr:uid="{00000000-0005-0000-0000-000091000000}"/>
    <cellStyle name="Hyperlink 29" xfId="97" xr:uid="{00000000-0005-0000-0000-000092000000}"/>
    <cellStyle name="Hyperlink 3" xfId="98" xr:uid="{00000000-0005-0000-0000-000093000000}"/>
    <cellStyle name="Hyperlink 3 2" xfId="99" xr:uid="{00000000-0005-0000-0000-000094000000}"/>
    <cellStyle name="Hyperlink 3 3" xfId="100" xr:uid="{00000000-0005-0000-0000-000095000000}"/>
    <cellStyle name="Hyperlink 30" xfId="101" xr:uid="{00000000-0005-0000-0000-000096000000}"/>
    <cellStyle name="Hyperlink 31" xfId="102" xr:uid="{00000000-0005-0000-0000-000097000000}"/>
    <cellStyle name="Hyperlink 32" xfId="103" xr:uid="{00000000-0005-0000-0000-000098000000}"/>
    <cellStyle name="Hyperlink 33" xfId="104" xr:uid="{00000000-0005-0000-0000-000099000000}"/>
    <cellStyle name="Hyperlink 33 2" xfId="105" xr:uid="{00000000-0005-0000-0000-00009A000000}"/>
    <cellStyle name="Hyperlink 33 3" xfId="106" xr:uid="{00000000-0005-0000-0000-00009B000000}"/>
    <cellStyle name="Hyperlink 34" xfId="107" xr:uid="{00000000-0005-0000-0000-00009C000000}"/>
    <cellStyle name="Hyperlink 34 2" xfId="108" xr:uid="{00000000-0005-0000-0000-00009D000000}"/>
    <cellStyle name="Hyperlink 34 3" xfId="109" xr:uid="{00000000-0005-0000-0000-00009E000000}"/>
    <cellStyle name="Hyperlink 34 4" xfId="110" xr:uid="{00000000-0005-0000-0000-00009F000000}"/>
    <cellStyle name="Hyperlink 34 5" xfId="111" xr:uid="{00000000-0005-0000-0000-0000A0000000}"/>
    <cellStyle name="Hyperlink 4" xfId="112" xr:uid="{00000000-0005-0000-0000-0000A1000000}"/>
    <cellStyle name="Hyperlink 4 2" xfId="113" xr:uid="{00000000-0005-0000-0000-0000A2000000}"/>
    <cellStyle name="Hyperlink 4 3" xfId="114" xr:uid="{00000000-0005-0000-0000-0000A3000000}"/>
    <cellStyle name="Hyperlink 5" xfId="115" xr:uid="{00000000-0005-0000-0000-0000A4000000}"/>
    <cellStyle name="Hyperlink 5 2" xfId="116" xr:uid="{00000000-0005-0000-0000-0000A5000000}"/>
    <cellStyle name="Hyperlink 5 3" xfId="117" xr:uid="{00000000-0005-0000-0000-0000A6000000}"/>
    <cellStyle name="Hyperlink 6" xfId="118" xr:uid="{00000000-0005-0000-0000-0000A7000000}"/>
    <cellStyle name="Hyperlink 6 2" xfId="119" xr:uid="{00000000-0005-0000-0000-0000A8000000}"/>
    <cellStyle name="Hyperlink 6 3" xfId="120" xr:uid="{00000000-0005-0000-0000-0000A9000000}"/>
    <cellStyle name="Hyperlink 7" xfId="121" xr:uid="{00000000-0005-0000-0000-0000AA000000}"/>
    <cellStyle name="Hyperlink 7 2" xfId="122" xr:uid="{00000000-0005-0000-0000-0000AB000000}"/>
    <cellStyle name="Hyperlink 7 3" xfId="123" xr:uid="{00000000-0005-0000-0000-0000AC000000}"/>
    <cellStyle name="Hyperlink 8" xfId="124" xr:uid="{00000000-0005-0000-0000-0000AD000000}"/>
    <cellStyle name="Hyperlink 8 2" xfId="125" xr:uid="{00000000-0005-0000-0000-0000AE000000}"/>
    <cellStyle name="Hyperlink 8 3" xfId="126" xr:uid="{00000000-0005-0000-0000-0000AF000000}"/>
    <cellStyle name="Hyperlink 9" xfId="127" xr:uid="{00000000-0005-0000-0000-0000B0000000}"/>
    <cellStyle name="Hyperlink 9 2" xfId="128" xr:uid="{00000000-0005-0000-0000-0000B1000000}"/>
    <cellStyle name="Hyperlink 9 3" xfId="129" xr:uid="{00000000-0005-0000-0000-0000B2000000}"/>
    <cellStyle name="Input 2" xfId="130" xr:uid="{00000000-0005-0000-0000-0000B3000000}"/>
    <cellStyle name="Linked" xfId="131" xr:uid="{00000000-0005-0000-0000-0000B4000000}"/>
    <cellStyle name="Normal" xfId="0" builtinId="0"/>
    <cellStyle name="Normal 2" xfId="15" xr:uid="{00000000-0005-0000-0000-0000B6000000}"/>
    <cellStyle name="Normal 2 2" xfId="14" xr:uid="{00000000-0005-0000-0000-0000B7000000}"/>
    <cellStyle name="Normal 2 2 2" xfId="132" xr:uid="{00000000-0005-0000-0000-0000B8000000}"/>
    <cellStyle name="Normal 2 2 2 2" xfId="159" xr:uid="{00000000-0005-0000-0000-0000B9000000}"/>
    <cellStyle name="Normal 2 2 2 2 2" xfId="181" xr:uid="{00000000-0005-0000-0000-0000BA000000}"/>
    <cellStyle name="Normal 2 2 2 2 2 2" xfId="225" xr:uid="{00000000-0005-0000-0000-0000BB000000}"/>
    <cellStyle name="Normal 2 2 2 2 3" xfId="203" xr:uid="{00000000-0005-0000-0000-0000BC000000}"/>
    <cellStyle name="Normal 2 2 2 3" xfId="170" xr:uid="{00000000-0005-0000-0000-0000BD000000}"/>
    <cellStyle name="Normal 2 2 2 3 2" xfId="214" xr:uid="{00000000-0005-0000-0000-0000BE000000}"/>
    <cellStyle name="Normal 2 2 2 4" xfId="192" xr:uid="{00000000-0005-0000-0000-0000BF000000}"/>
    <cellStyle name="Normal 3" xfId="133" xr:uid="{00000000-0005-0000-0000-0000C0000000}"/>
    <cellStyle name="Normal 4" xfId="134" xr:uid="{00000000-0005-0000-0000-0000C1000000}"/>
    <cellStyle name="Normal 5" xfId="135" xr:uid="{00000000-0005-0000-0000-0000C2000000}"/>
    <cellStyle name="Normal 6" xfId="136" xr:uid="{00000000-0005-0000-0000-0000C3000000}"/>
    <cellStyle name="Normal 6 2" xfId="160" xr:uid="{00000000-0005-0000-0000-0000C4000000}"/>
    <cellStyle name="Normal 6 2 2" xfId="182" xr:uid="{00000000-0005-0000-0000-0000C5000000}"/>
    <cellStyle name="Normal 6 2 2 2" xfId="226" xr:uid="{00000000-0005-0000-0000-0000C6000000}"/>
    <cellStyle name="Normal 6 2 3" xfId="204" xr:uid="{00000000-0005-0000-0000-0000C7000000}"/>
    <cellStyle name="Normal 6 3" xfId="171" xr:uid="{00000000-0005-0000-0000-0000C8000000}"/>
    <cellStyle name="Normal 6 3 2" xfId="215" xr:uid="{00000000-0005-0000-0000-0000C9000000}"/>
    <cellStyle name="Normal 6 4" xfId="193" xr:uid="{00000000-0005-0000-0000-0000CA000000}"/>
    <cellStyle name="Normal 7" xfId="137" xr:uid="{00000000-0005-0000-0000-0000CB000000}"/>
    <cellStyle name="Normal 8" xfId="138" xr:uid="{00000000-0005-0000-0000-0000CC000000}"/>
    <cellStyle name="Normal Small" xfId="139" xr:uid="{00000000-0005-0000-0000-0000CD000000}"/>
    <cellStyle name="Parent row" xfId="3" xr:uid="{00000000-0005-0000-0000-0000CE000000}"/>
    <cellStyle name="Percent" xfId="228" builtinId="5"/>
    <cellStyle name="Percent 2" xfId="140" xr:uid="{00000000-0005-0000-0000-0000D0000000}"/>
    <cellStyle name="Percent 2 2" xfId="141" xr:uid="{00000000-0005-0000-0000-0000D1000000}"/>
    <cellStyle name="Percent 2 3" xfId="142" xr:uid="{00000000-0005-0000-0000-0000D2000000}"/>
    <cellStyle name="Percent 2 4" xfId="161" xr:uid="{00000000-0005-0000-0000-0000D3000000}"/>
    <cellStyle name="Percent 2 4 2" xfId="183" xr:uid="{00000000-0005-0000-0000-0000D4000000}"/>
    <cellStyle name="Percent 2 4 2 2" xfId="227" xr:uid="{00000000-0005-0000-0000-0000D5000000}"/>
    <cellStyle name="Percent 2 4 3" xfId="205" xr:uid="{00000000-0005-0000-0000-0000D6000000}"/>
    <cellStyle name="Percent 2 5" xfId="172" xr:uid="{00000000-0005-0000-0000-0000D7000000}"/>
    <cellStyle name="Percent 2 5 2" xfId="216" xr:uid="{00000000-0005-0000-0000-0000D8000000}"/>
    <cellStyle name="Percent 2 6" xfId="194" xr:uid="{00000000-0005-0000-0000-0000D9000000}"/>
    <cellStyle name="Percent 3" xfId="143" xr:uid="{00000000-0005-0000-0000-0000DA000000}"/>
    <cellStyle name="Percent 3 2" xfId="144" xr:uid="{00000000-0005-0000-0000-0000DB000000}"/>
    <cellStyle name="Results" xfId="145" xr:uid="{00000000-0005-0000-0000-0000DC000000}"/>
    <cellStyle name="Section Break" xfId="12" xr:uid="{00000000-0005-0000-0000-0000DD000000}"/>
    <cellStyle name="Section Break: parent row" xfId="13" xr:uid="{00000000-0005-0000-0000-0000DE000000}"/>
    <cellStyle name="Table title" xfId="1" xr:uid="{00000000-0005-0000-0000-0000DF000000}"/>
    <cellStyle name="Title 2" xfId="146" xr:uid="{00000000-0005-0000-0000-0000E0000000}"/>
    <cellStyle name="Title 3" xfId="147" xr:uid="{00000000-0005-0000-0000-0000E1000000}"/>
    <cellStyle name="Unit" xfId="148" xr:uid="{00000000-0005-0000-0000-0000E2000000}"/>
    <cellStyle name="UserInput" xfId="149" xr:uid="{00000000-0005-0000-0000-0000E3000000}"/>
    <cellStyle name="Variable" xfId="150" xr:uid="{00000000-0005-0000-0000-0000E4000000}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 xr9:uid="{00000000-0011-0000-FFFF-FFFF00000000}">
      <tableStyleElement type="wholeTable" dxfId="3"/>
      <tableStyleElement type="headerRow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mp.lbl.gov/sites/default/files/wtmr_final_for_posting_8-9-19.pdf" TargetMode="External"/><Relationship Id="rId7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pa.gov/sites/production/files/2015-08/documents/coalperform.pdf" TargetMode="External"/><Relationship Id="rId6" Type="http://schemas.openxmlformats.org/officeDocument/2006/relationships/hyperlink" Target="https://www.nrel.gov/docs/fy15osti/64789.pdf" TargetMode="External"/><Relationship Id="rId5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/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7</v>
      </c>
    </row>
    <row r="2" spans="1:5">
      <c r="A2" s="1" t="s">
        <v>8</v>
      </c>
    </row>
    <row r="3" spans="1:5">
      <c r="A3" s="1" t="s">
        <v>9</v>
      </c>
    </row>
    <row r="4" spans="1:5">
      <c r="A4" s="1" t="s">
        <v>281</v>
      </c>
    </row>
    <row r="6" spans="1:5">
      <c r="A6" s="5" t="s">
        <v>4</v>
      </c>
      <c r="B6" s="6" t="s">
        <v>112</v>
      </c>
      <c r="C6" s="8"/>
      <c r="D6" s="14" t="s">
        <v>132</v>
      </c>
      <c r="E6" s="8"/>
    </row>
    <row r="7" spans="1:5">
      <c r="B7" t="s">
        <v>1</v>
      </c>
      <c r="D7" s="17" t="s">
        <v>5</v>
      </c>
    </row>
    <row r="8" spans="1:5">
      <c r="B8" s="2" t="s">
        <v>142</v>
      </c>
      <c r="D8" s="2">
        <v>2018</v>
      </c>
    </row>
    <row r="9" spans="1:5">
      <c r="B9" t="s">
        <v>122</v>
      </c>
      <c r="D9" s="17" t="s">
        <v>123</v>
      </c>
    </row>
    <row r="10" spans="1:5">
      <c r="B10" s="3" t="s">
        <v>37</v>
      </c>
      <c r="D10" s="3" t="s">
        <v>125</v>
      </c>
    </row>
    <row r="11" spans="1:5">
      <c r="B11" t="s">
        <v>143</v>
      </c>
      <c r="D11" s="17" t="s">
        <v>124</v>
      </c>
    </row>
    <row r="12" spans="1:5">
      <c r="B12"/>
      <c r="D12" s="9"/>
    </row>
    <row r="13" spans="1:5">
      <c r="B13" s="6" t="s">
        <v>95</v>
      </c>
      <c r="D13" s="13" t="s">
        <v>156</v>
      </c>
    </row>
    <row r="14" spans="1:5">
      <c r="B14" s="19" t="s">
        <v>96</v>
      </c>
      <c r="D14" s="48" t="s">
        <v>105</v>
      </c>
    </row>
    <row r="15" spans="1:5">
      <c r="B15" s="2">
        <v>2009</v>
      </c>
      <c r="D15" s="2">
        <v>2020</v>
      </c>
    </row>
    <row r="16" spans="1:5">
      <c r="B16" s="2" t="s">
        <v>97</v>
      </c>
      <c r="D16" s="48" t="s">
        <v>157</v>
      </c>
    </row>
    <row r="17" spans="2:4">
      <c r="B17" s="3" t="s">
        <v>98</v>
      </c>
      <c r="D17" s="3" t="s">
        <v>158</v>
      </c>
    </row>
    <row r="18" spans="2:4">
      <c r="B18" s="19" t="s">
        <v>99</v>
      </c>
      <c r="D18" s="17"/>
    </row>
    <row r="19" spans="2:4">
      <c r="B19" s="48"/>
      <c r="D19" s="48"/>
    </row>
    <row r="20" spans="2:4">
      <c r="B20" s="50" t="s">
        <v>242</v>
      </c>
      <c r="D20" s="50" t="s">
        <v>246</v>
      </c>
    </row>
    <row r="21" spans="2:4">
      <c r="B21" s="48" t="s">
        <v>238</v>
      </c>
      <c r="D21" s="48" t="s">
        <v>243</v>
      </c>
    </row>
    <row r="22" spans="2:4">
      <c r="B22" s="2">
        <v>2015</v>
      </c>
      <c r="D22" s="2">
        <v>2015</v>
      </c>
    </row>
    <row r="23" spans="2:4">
      <c r="B23" s="48" t="s">
        <v>239</v>
      </c>
      <c r="D23" s="48" t="s">
        <v>244</v>
      </c>
    </row>
    <row r="24" spans="2:4">
      <c r="B24" s="3" t="s">
        <v>240</v>
      </c>
      <c r="D24" s="3" t="s">
        <v>245</v>
      </c>
    </row>
    <row r="25" spans="2:4">
      <c r="B25" s="48" t="s">
        <v>241</v>
      </c>
      <c r="D25" s="48"/>
    </row>
    <row r="26" spans="2:4">
      <c r="B26" s="48"/>
      <c r="D26" s="48"/>
    </row>
    <row r="27" spans="2:4">
      <c r="B27" s="50" t="s">
        <v>250</v>
      </c>
      <c r="D27" s="48"/>
    </row>
    <row r="28" spans="2:4">
      <c r="B28" s="48" t="s">
        <v>243</v>
      </c>
      <c r="D28" s="48"/>
    </row>
    <row r="29" spans="2:4">
      <c r="B29" s="2">
        <v>2018</v>
      </c>
      <c r="D29" s="48"/>
    </row>
    <row r="30" spans="2:4">
      <c r="B30" s="48" t="s">
        <v>247</v>
      </c>
      <c r="D30" s="48"/>
    </row>
    <row r="31" spans="2:4">
      <c r="B31" s="3" t="s">
        <v>248</v>
      </c>
      <c r="D31" s="48"/>
    </row>
    <row r="32" spans="2:4">
      <c r="B32" s="48" t="s">
        <v>249</v>
      </c>
    </row>
    <row r="33" spans="1:11">
      <c r="B33" s="48"/>
    </row>
    <row r="34" spans="1:11">
      <c r="A34" s="7" t="s">
        <v>18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39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128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129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7" t="s">
        <v>152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144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 t="s">
        <v>145</v>
      </c>
      <c r="D41" s="7"/>
      <c r="E41" s="11"/>
      <c r="F41" s="11"/>
      <c r="G41" s="11"/>
      <c r="H41" s="11"/>
      <c r="I41" s="11"/>
      <c r="J41" s="11"/>
      <c r="K41" s="11"/>
    </row>
    <row r="42" spans="1:11">
      <c r="A42" s="58" t="s">
        <v>150</v>
      </c>
      <c r="B42" s="59"/>
      <c r="D42" s="7"/>
      <c r="E42" s="11"/>
      <c r="F42" s="11"/>
      <c r="G42" s="11"/>
      <c r="H42" s="11"/>
      <c r="I42" s="11"/>
      <c r="J42" s="11"/>
      <c r="K42" s="11"/>
    </row>
    <row r="43" spans="1:11">
      <c r="A43" s="58" t="s">
        <v>151</v>
      </c>
      <c r="B43" s="59"/>
      <c r="D43" s="7"/>
      <c r="E43" s="11"/>
      <c r="F43" s="11"/>
      <c r="G43" s="11"/>
      <c r="H43" s="11"/>
      <c r="I43" s="11"/>
      <c r="J43" s="11"/>
      <c r="K43" s="11"/>
    </row>
    <row r="44" spans="1:11">
      <c r="A44" s="2" t="s">
        <v>146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153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154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/>
      <c r="D47" s="7"/>
      <c r="E47" s="11"/>
      <c r="F47" s="11"/>
      <c r="G47" s="11"/>
      <c r="H47" s="11"/>
      <c r="I47" s="11"/>
      <c r="J47" s="11"/>
      <c r="K47" s="11"/>
    </row>
    <row r="48" spans="1:11">
      <c r="A48" s="7" t="s">
        <v>253</v>
      </c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251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282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252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254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255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 t="s">
        <v>256</v>
      </c>
      <c r="D55" s="7"/>
      <c r="E55" s="11"/>
      <c r="F55" s="11"/>
      <c r="G55" s="11"/>
      <c r="H55" s="11"/>
      <c r="I55" s="11"/>
      <c r="J55" s="11"/>
      <c r="K55" s="11"/>
    </row>
    <row r="56" spans="1:11">
      <c r="A56" s="10"/>
      <c r="D56" s="7"/>
      <c r="E56" s="11"/>
      <c r="F56" s="11"/>
      <c r="G56" s="11"/>
      <c r="H56" s="11"/>
      <c r="I56" s="11"/>
      <c r="J56" s="11"/>
      <c r="K56" s="11"/>
    </row>
    <row r="57" spans="1:11">
      <c r="A57" s="7" t="s">
        <v>155</v>
      </c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147</v>
      </c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148</v>
      </c>
      <c r="D59" s="7"/>
      <c r="E59" s="11"/>
      <c r="F59" s="11"/>
      <c r="G59" s="11"/>
      <c r="H59" s="11"/>
      <c r="I59" s="11"/>
      <c r="J59" s="11"/>
      <c r="K59" s="11"/>
    </row>
    <row r="60" spans="1:11">
      <c r="A60" s="10" t="s">
        <v>149</v>
      </c>
      <c r="D60" s="7"/>
      <c r="E60" s="11"/>
      <c r="F60" s="11"/>
      <c r="G60" s="11"/>
      <c r="H60" s="11"/>
      <c r="I60" s="11"/>
      <c r="J60" s="11"/>
      <c r="K60" s="11"/>
    </row>
    <row r="61" spans="1:11">
      <c r="A61" s="10"/>
      <c r="D61" s="7"/>
      <c r="E61" s="11"/>
      <c r="F61" s="11"/>
      <c r="G61" s="11"/>
      <c r="H61" s="11"/>
      <c r="I61" s="11"/>
      <c r="J61" s="11"/>
      <c r="K61" s="11"/>
    </row>
    <row r="62" spans="1:11">
      <c r="A62" s="10" t="s">
        <v>45</v>
      </c>
      <c r="D62" s="7"/>
      <c r="E62" s="11"/>
      <c r="F62" s="11"/>
      <c r="G62" s="11"/>
      <c r="H62" s="11"/>
      <c r="I62" s="11"/>
      <c r="J62" s="11"/>
      <c r="K62" s="11"/>
    </row>
    <row r="63" spans="1:11">
      <c r="A63" s="10" t="s">
        <v>40</v>
      </c>
      <c r="D63" s="7"/>
      <c r="E63" s="11"/>
      <c r="F63" s="11"/>
      <c r="G63" s="11"/>
      <c r="H63" s="11"/>
      <c r="I63" s="11"/>
      <c r="J63" s="11"/>
      <c r="K63" s="11"/>
    </row>
    <row r="64" spans="1:11">
      <c r="A64" s="10" t="s">
        <v>41</v>
      </c>
      <c r="D64" s="7"/>
      <c r="E64" s="11"/>
      <c r="F64" s="11"/>
      <c r="G64" s="11"/>
      <c r="H64" s="11"/>
      <c r="I64" s="11"/>
      <c r="J64" s="11"/>
      <c r="K64" s="11"/>
    </row>
    <row r="65" spans="1:11">
      <c r="A65" s="10" t="s">
        <v>42</v>
      </c>
      <c r="D65" s="7"/>
      <c r="E65" s="11"/>
      <c r="F65" s="11"/>
      <c r="G65" s="11"/>
      <c r="H65" s="11"/>
      <c r="I65" s="11"/>
      <c r="J65" s="11"/>
      <c r="K65" s="11"/>
    </row>
    <row r="66" spans="1:11">
      <c r="A66" s="10" t="s">
        <v>43</v>
      </c>
      <c r="D66" s="7"/>
      <c r="E66" s="11"/>
      <c r="F66" s="11"/>
      <c r="G66" s="11"/>
      <c r="H66" s="11"/>
      <c r="I66" s="11"/>
      <c r="J66" s="11"/>
      <c r="K66" s="11"/>
    </row>
    <row r="67" spans="1:11">
      <c r="A67" s="10" t="s">
        <v>44</v>
      </c>
      <c r="D67" s="7"/>
      <c r="E67" s="11"/>
      <c r="F67" s="11"/>
      <c r="G67" s="11"/>
      <c r="H67" s="11"/>
      <c r="I67" s="11"/>
      <c r="J67" s="11"/>
      <c r="K67" s="11"/>
    </row>
    <row r="68" spans="1:11">
      <c r="A68" s="10"/>
      <c r="D68" s="7"/>
      <c r="E68" s="11"/>
      <c r="F68" s="11"/>
      <c r="G68" s="11"/>
      <c r="H68" s="11"/>
      <c r="I68" s="11"/>
      <c r="J68" s="11"/>
      <c r="K68" s="11"/>
    </row>
    <row r="69" spans="1:11">
      <c r="A69" s="10" t="s">
        <v>100</v>
      </c>
      <c r="D69" s="7"/>
      <c r="E69" s="11"/>
      <c r="F69" s="11"/>
      <c r="G69" s="11"/>
      <c r="H69" s="11"/>
      <c r="I69" s="11"/>
      <c r="J69" s="11"/>
      <c r="K69" s="11"/>
    </row>
    <row r="70" spans="1:11">
      <c r="A70" s="10" t="s">
        <v>101</v>
      </c>
      <c r="D70" s="7"/>
      <c r="E70" s="11"/>
      <c r="F70" s="11"/>
      <c r="G70" s="11"/>
      <c r="H70" s="11"/>
      <c r="I70" s="11"/>
      <c r="J70" s="11"/>
      <c r="K70" s="11"/>
    </row>
    <row r="71" spans="1:11">
      <c r="A71" s="10" t="s">
        <v>102</v>
      </c>
      <c r="D71" s="7"/>
      <c r="E71" s="11"/>
      <c r="F71" s="11"/>
      <c r="G71" s="11"/>
      <c r="H71" s="11"/>
      <c r="I71" s="11"/>
      <c r="J71" s="11"/>
      <c r="K71" s="11"/>
    </row>
    <row r="72" spans="1:11">
      <c r="A72" s="10"/>
      <c r="D72" s="7"/>
      <c r="E72" s="11"/>
      <c r="F72" s="11"/>
      <c r="G72" s="11"/>
      <c r="H72" s="11"/>
      <c r="I72" s="11"/>
      <c r="J72" s="11"/>
      <c r="K72" s="11"/>
    </row>
    <row r="73" spans="1:11">
      <c r="A73" s="10" t="s">
        <v>119</v>
      </c>
      <c r="D73" s="7"/>
      <c r="E73" s="11"/>
      <c r="F73" s="11"/>
      <c r="G73" s="11"/>
      <c r="H73" s="11"/>
      <c r="I73" s="11"/>
      <c r="J73" s="11"/>
      <c r="K73" s="11"/>
    </row>
    <row r="74" spans="1:11">
      <c r="A74" s="10" t="s">
        <v>120</v>
      </c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D75" s="7"/>
      <c r="E75" s="11"/>
      <c r="F75" s="11"/>
      <c r="G75" s="11"/>
      <c r="H75" s="11"/>
      <c r="I75" s="11"/>
      <c r="J75" s="11"/>
      <c r="K75" s="11"/>
    </row>
    <row r="76" spans="1:11">
      <c r="A76" s="7" t="s">
        <v>22</v>
      </c>
      <c r="D76" s="7"/>
      <c r="E76" s="11"/>
      <c r="F76" s="11"/>
      <c r="G76" s="11"/>
      <c r="H76" s="11"/>
      <c r="I76" s="11"/>
      <c r="J76" s="11"/>
      <c r="K76" s="11"/>
    </row>
    <row r="77" spans="1:11">
      <c r="A77" s="10" t="s">
        <v>38</v>
      </c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 t="s">
        <v>126</v>
      </c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 t="s">
        <v>127</v>
      </c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7" t="s">
        <v>20</v>
      </c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7">
        <v>0.98599999999999999</v>
      </c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2" t="s">
        <v>114</v>
      </c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21">
        <v>0.9143</v>
      </c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2" t="s">
        <v>167</v>
      </c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21">
        <v>0.89800000000000002</v>
      </c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21"/>
      <c r="B86" s="9"/>
      <c r="D86" s="7"/>
      <c r="E86" s="11"/>
      <c r="F86" s="11"/>
      <c r="G86" s="11"/>
      <c r="H86" s="11"/>
      <c r="I86" s="11"/>
      <c r="J86" s="11"/>
      <c r="K86" s="11"/>
    </row>
    <row r="87" spans="1:11">
      <c r="A87" s="17" t="s">
        <v>19</v>
      </c>
      <c r="B87" s="9"/>
      <c r="D87" s="7"/>
      <c r="E87" s="11"/>
      <c r="F87" s="11"/>
      <c r="G87" s="11"/>
      <c r="H87" s="11"/>
      <c r="I87" s="11"/>
      <c r="J87" s="11"/>
      <c r="K87" s="11"/>
    </row>
    <row r="88" spans="1:11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>
      <c r="A92" s="10"/>
      <c r="B92" s="9"/>
      <c r="D92" s="7"/>
      <c r="E92" s="11"/>
      <c r="F92" s="11"/>
      <c r="G92" s="11"/>
      <c r="H92" s="11"/>
      <c r="I92" s="11"/>
      <c r="J92" s="11"/>
      <c r="K92" s="11"/>
    </row>
    <row r="93" spans="1:11">
      <c r="A93" s="10"/>
      <c r="B93" s="9"/>
      <c r="D93" s="7"/>
      <c r="E93" s="11"/>
      <c r="F93" s="11"/>
      <c r="G93" s="11"/>
      <c r="H93" s="11"/>
      <c r="I93" s="11"/>
      <c r="J93" s="11"/>
      <c r="K93" s="11"/>
    </row>
    <row r="94" spans="1:11">
      <c r="A94" s="10"/>
      <c r="B94" s="9"/>
      <c r="D94" s="7"/>
      <c r="E94" s="11"/>
      <c r="F94" s="11"/>
      <c r="G94" s="11"/>
      <c r="H94" s="11"/>
      <c r="I94" s="11"/>
      <c r="J94" s="11"/>
      <c r="K94" s="11"/>
    </row>
    <row r="95" spans="1:11">
      <c r="A95" s="10"/>
      <c r="B95" s="9"/>
      <c r="D95" s="7"/>
      <c r="E95" s="11"/>
      <c r="F95" s="11"/>
      <c r="G95" s="11"/>
      <c r="H95" s="11"/>
      <c r="I95" s="11"/>
      <c r="J95" s="11"/>
      <c r="K95" s="11"/>
    </row>
    <row r="96" spans="1:11">
      <c r="A96" s="10"/>
      <c r="B96" s="9"/>
      <c r="D96" s="7"/>
      <c r="E96" s="11"/>
      <c r="F96" s="11"/>
      <c r="G96" s="11"/>
      <c r="H96" s="11"/>
      <c r="I96" s="11"/>
      <c r="J96" s="11"/>
      <c r="K96" s="11"/>
    </row>
    <row r="97" spans="1:11">
      <c r="A97" s="10"/>
      <c r="B97" s="9"/>
      <c r="D97" s="7"/>
      <c r="E97" s="11"/>
      <c r="F97" s="11"/>
      <c r="G97" s="11"/>
      <c r="H97" s="11"/>
      <c r="I97" s="11"/>
      <c r="J97" s="11"/>
      <c r="K97" s="11"/>
    </row>
    <row r="98" spans="1:11">
      <c r="A98" s="10"/>
      <c r="B98" s="9"/>
      <c r="D98" s="7"/>
      <c r="E98" s="11"/>
      <c r="F98" s="11"/>
      <c r="G98" s="11"/>
      <c r="H98" s="11"/>
      <c r="I98" s="11"/>
      <c r="J98" s="11"/>
      <c r="K98" s="11"/>
    </row>
    <row r="99" spans="1:11">
      <c r="A99" s="10"/>
      <c r="B99" s="9"/>
      <c r="D99" s="7"/>
      <c r="E99" s="11"/>
      <c r="F99" s="11"/>
      <c r="G99" s="11"/>
      <c r="H99" s="11"/>
      <c r="I99" s="11"/>
      <c r="J99" s="11"/>
      <c r="K99" s="11"/>
    </row>
    <row r="100" spans="1:11">
      <c r="A100" s="10"/>
      <c r="B100" s="9"/>
      <c r="D100" s="7"/>
      <c r="E100" s="11"/>
      <c r="F100" s="11"/>
      <c r="G100" s="11"/>
      <c r="H100" s="11"/>
      <c r="I100" s="11"/>
      <c r="J100" s="11"/>
      <c r="K100" s="11"/>
    </row>
    <row r="101" spans="1:11">
      <c r="A101" s="10"/>
      <c r="B101" s="9"/>
      <c r="D101" s="7"/>
      <c r="E101" s="11"/>
      <c r="F101" s="11"/>
      <c r="G101" s="11"/>
      <c r="H101" s="11"/>
      <c r="I101" s="11"/>
      <c r="J101" s="11"/>
      <c r="K101" s="11"/>
    </row>
    <row r="102" spans="1:11">
      <c r="A102" s="10"/>
      <c r="B102" s="9"/>
      <c r="D102" s="7"/>
      <c r="E102" s="11"/>
      <c r="F102" s="11"/>
      <c r="G102" s="11"/>
      <c r="H102" s="11"/>
      <c r="I102" s="11"/>
      <c r="J102" s="11"/>
      <c r="K102" s="11"/>
    </row>
    <row r="103" spans="1:11">
      <c r="A103" s="10"/>
      <c r="B103" s="9"/>
      <c r="D103" s="7"/>
      <c r="E103" s="11"/>
      <c r="F103" s="11"/>
      <c r="G103" s="11"/>
      <c r="H103" s="11"/>
      <c r="I103" s="11"/>
      <c r="J103" s="11"/>
      <c r="K103" s="11"/>
    </row>
    <row r="104" spans="1:11">
      <c r="A104" s="10"/>
      <c r="B104" s="9"/>
      <c r="D104" s="7"/>
      <c r="E104" s="11"/>
      <c r="F104" s="11"/>
      <c r="G104" s="11"/>
      <c r="H104" s="11"/>
      <c r="I104" s="11"/>
      <c r="J104" s="11"/>
      <c r="K104" s="11"/>
    </row>
    <row r="105" spans="1:11">
      <c r="A105" s="10"/>
      <c r="B105" s="9"/>
      <c r="D105" s="7"/>
      <c r="E105" s="11"/>
      <c r="F105" s="11"/>
      <c r="G105" s="11"/>
      <c r="H105" s="11"/>
      <c r="I105" s="11"/>
      <c r="J105" s="11"/>
      <c r="K105" s="11"/>
    </row>
    <row r="106" spans="1:11">
      <c r="A106" s="7"/>
      <c r="B106" s="9"/>
      <c r="D106" s="7"/>
      <c r="E106" s="11"/>
      <c r="F106" s="11"/>
      <c r="G106" s="11"/>
      <c r="H106" s="11"/>
      <c r="I106" s="11"/>
      <c r="J106" s="11"/>
      <c r="K106" s="11"/>
    </row>
  </sheetData>
  <hyperlinks>
    <hyperlink ref="B17" r:id="rId1" xr:uid="{00000000-0004-0000-0000-000000000000}"/>
    <hyperlink ref="B10" r:id="rId2" xr:uid="{00000000-0004-0000-0000-000001000000}"/>
    <hyperlink ref="D10" r:id="rId3" xr:uid="{00000000-0004-0000-0000-000002000000}"/>
    <hyperlink ref="D17" r:id="rId4" xr:uid="{00000000-0004-0000-0000-000003000000}"/>
    <hyperlink ref="B24" r:id="rId5" xr:uid="{C11EC440-9E5D-43D9-8019-4482F540CDAC}"/>
    <hyperlink ref="D24" r:id="rId6" xr:uid="{A10227B1-A067-4231-9997-6C961E27CBBC}"/>
    <hyperlink ref="B31" r:id="rId7" xr:uid="{6BE1D726-1E70-4A3B-A92C-3A579E9BBE38}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BB99-AF5A-4FD3-B2E6-578D20A9B04D}">
  <sheetPr>
    <tabColor theme="3"/>
  </sheetPr>
  <dimension ref="A1:AG17"/>
  <sheetViews>
    <sheetView workbookViewId="0"/>
  </sheetViews>
  <sheetFormatPr defaultRowHeight="15"/>
  <cols>
    <col min="1" max="1" width="35.5703125" style="48" customWidth="1"/>
    <col min="2" max="17" width="9.140625" style="48" customWidth="1"/>
    <col min="18" max="16384" width="9.140625" style="48"/>
  </cols>
  <sheetData>
    <row r="1" spans="1:33">
      <c r="A1" s="82" t="s">
        <v>279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83" t="s">
        <v>280</v>
      </c>
      <c r="B2" s="80">
        <v>0</v>
      </c>
      <c r="C2" s="80">
        <v>0</v>
      </c>
      <c r="D2" s="80">
        <v>0</v>
      </c>
      <c r="E2" s="80">
        <v>0</v>
      </c>
      <c r="F2" s="80">
        <v>0</v>
      </c>
      <c r="G2" s="80">
        <v>0</v>
      </c>
      <c r="H2" s="80">
        <v>0</v>
      </c>
      <c r="I2" s="80">
        <v>0</v>
      </c>
      <c r="J2" s="80">
        <v>0</v>
      </c>
      <c r="K2" s="80">
        <v>0</v>
      </c>
      <c r="L2" s="80">
        <v>0</v>
      </c>
      <c r="M2" s="80">
        <v>0</v>
      </c>
      <c r="N2" s="80">
        <v>0</v>
      </c>
      <c r="O2" s="80">
        <v>0</v>
      </c>
      <c r="P2" s="80">
        <v>0</v>
      </c>
      <c r="Q2" s="80">
        <v>0</v>
      </c>
      <c r="R2" s="80">
        <v>0</v>
      </c>
      <c r="S2" s="80">
        <v>0</v>
      </c>
      <c r="T2" s="80">
        <v>0</v>
      </c>
      <c r="U2" s="80">
        <v>0</v>
      </c>
      <c r="V2" s="80">
        <v>0</v>
      </c>
      <c r="W2" s="80">
        <v>0</v>
      </c>
      <c r="X2" s="80">
        <v>0</v>
      </c>
      <c r="Y2" s="80">
        <v>0</v>
      </c>
      <c r="Z2" s="80">
        <v>0</v>
      </c>
      <c r="AA2" s="80">
        <v>0</v>
      </c>
      <c r="AB2" s="80">
        <v>0</v>
      </c>
      <c r="AC2" s="80">
        <v>0</v>
      </c>
      <c r="AD2" s="80">
        <v>0</v>
      </c>
      <c r="AE2" s="80">
        <v>0</v>
      </c>
      <c r="AF2" s="80">
        <v>0</v>
      </c>
      <c r="AG2" s="80">
        <v>0</v>
      </c>
    </row>
    <row r="3" spans="1:33">
      <c r="A3" s="83" t="s">
        <v>257</v>
      </c>
      <c r="B3" s="80">
        <v>0</v>
      </c>
      <c r="C3" s="80">
        <v>0</v>
      </c>
      <c r="D3" s="80">
        <v>0</v>
      </c>
      <c r="E3" s="80">
        <v>0</v>
      </c>
      <c r="F3" s="80">
        <v>0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0</v>
      </c>
      <c r="M3" s="80">
        <v>0</v>
      </c>
      <c r="N3" s="80">
        <v>0</v>
      </c>
      <c r="O3" s="80">
        <v>0</v>
      </c>
      <c r="P3" s="80">
        <v>0</v>
      </c>
      <c r="Q3" s="80">
        <v>0</v>
      </c>
      <c r="R3" s="80">
        <v>0</v>
      </c>
      <c r="S3" s="80">
        <v>0</v>
      </c>
      <c r="T3" s="80">
        <v>0</v>
      </c>
      <c r="U3" s="80">
        <v>0</v>
      </c>
      <c r="V3" s="80">
        <v>0</v>
      </c>
      <c r="W3" s="80">
        <v>0</v>
      </c>
      <c r="X3" s="80">
        <v>0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0</v>
      </c>
      <c r="AF3" s="80">
        <v>0</v>
      </c>
      <c r="AG3" s="80">
        <v>0</v>
      </c>
    </row>
    <row r="4" spans="1:33">
      <c r="A4" s="83" t="s">
        <v>258</v>
      </c>
      <c r="B4" s="80">
        <v>0</v>
      </c>
      <c r="C4" s="80">
        <v>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0</v>
      </c>
      <c r="O4" s="80">
        <v>0</v>
      </c>
      <c r="P4" s="80">
        <v>0</v>
      </c>
      <c r="Q4" s="80">
        <v>0</v>
      </c>
      <c r="R4" s="80">
        <v>0</v>
      </c>
      <c r="S4" s="80">
        <v>0</v>
      </c>
      <c r="T4" s="80">
        <v>0</v>
      </c>
      <c r="U4" s="80">
        <v>0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0</v>
      </c>
      <c r="AF4" s="80">
        <v>0</v>
      </c>
      <c r="AG4" s="80">
        <v>0</v>
      </c>
    </row>
    <row r="5" spans="1:33">
      <c r="A5" s="83" t="s">
        <v>259</v>
      </c>
      <c r="B5" s="80">
        <v>0</v>
      </c>
      <c r="C5" s="80">
        <v>0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>
        <v>0</v>
      </c>
      <c r="AG5" s="80">
        <v>0</v>
      </c>
    </row>
    <row r="6" spans="1:33">
      <c r="A6" s="81" t="s">
        <v>0</v>
      </c>
      <c r="B6" s="4">
        <f>'Soft Cost Data'!$A$19*'CCaMC-BCCpUC'!B6</f>
        <v>329028.14835058618</v>
      </c>
      <c r="C6" s="4">
        <f>$B6</f>
        <v>329028.14835058618</v>
      </c>
      <c r="D6" s="4">
        <f t="shared" ref="D6:AG7" si="0">$B6</f>
        <v>329028.14835058618</v>
      </c>
      <c r="E6" s="4">
        <f t="shared" si="0"/>
        <v>329028.14835058618</v>
      </c>
      <c r="F6" s="4">
        <f t="shared" si="0"/>
        <v>329028.14835058618</v>
      </c>
      <c r="G6" s="4">
        <f t="shared" si="0"/>
        <v>329028.14835058618</v>
      </c>
      <c r="H6" s="4">
        <f t="shared" si="0"/>
        <v>329028.14835058618</v>
      </c>
      <c r="I6" s="4">
        <f t="shared" si="0"/>
        <v>329028.14835058618</v>
      </c>
      <c r="J6" s="4">
        <f t="shared" si="0"/>
        <v>329028.14835058618</v>
      </c>
      <c r="K6" s="4">
        <f t="shared" si="0"/>
        <v>329028.14835058618</v>
      </c>
      <c r="L6" s="4">
        <f t="shared" si="0"/>
        <v>329028.14835058618</v>
      </c>
      <c r="M6" s="4">
        <f t="shared" si="0"/>
        <v>329028.14835058618</v>
      </c>
      <c r="N6" s="4">
        <f t="shared" si="0"/>
        <v>329028.14835058618</v>
      </c>
      <c r="O6" s="4">
        <f t="shared" si="0"/>
        <v>329028.14835058618</v>
      </c>
      <c r="P6" s="4">
        <f t="shared" si="0"/>
        <v>329028.14835058618</v>
      </c>
      <c r="Q6" s="4">
        <f t="shared" si="0"/>
        <v>329028.14835058618</v>
      </c>
      <c r="R6" s="4">
        <f t="shared" si="0"/>
        <v>329028.14835058618</v>
      </c>
      <c r="S6" s="4">
        <f t="shared" si="0"/>
        <v>329028.14835058618</v>
      </c>
      <c r="T6" s="4">
        <f t="shared" si="0"/>
        <v>329028.14835058618</v>
      </c>
      <c r="U6" s="4">
        <f t="shared" si="0"/>
        <v>329028.14835058618</v>
      </c>
      <c r="V6" s="4">
        <f t="shared" si="0"/>
        <v>329028.14835058618</v>
      </c>
      <c r="W6" s="4">
        <f t="shared" si="0"/>
        <v>329028.14835058618</v>
      </c>
      <c r="X6" s="4">
        <f t="shared" si="0"/>
        <v>329028.14835058618</v>
      </c>
      <c r="Y6" s="4">
        <f t="shared" si="0"/>
        <v>329028.14835058618</v>
      </c>
      <c r="Z6" s="4">
        <f t="shared" si="0"/>
        <v>329028.14835058618</v>
      </c>
      <c r="AA6" s="4">
        <f t="shared" si="0"/>
        <v>329028.14835058618</v>
      </c>
      <c r="AB6" s="4">
        <f t="shared" si="0"/>
        <v>329028.14835058618</v>
      </c>
      <c r="AC6" s="4">
        <f t="shared" si="0"/>
        <v>329028.14835058618</v>
      </c>
      <c r="AD6" s="4">
        <f t="shared" si="0"/>
        <v>329028.14835058618</v>
      </c>
      <c r="AE6" s="4">
        <f t="shared" si="0"/>
        <v>329028.14835058618</v>
      </c>
      <c r="AF6" s="4">
        <f t="shared" si="0"/>
        <v>329028.14835058618</v>
      </c>
      <c r="AG6" s="4">
        <f t="shared" si="0"/>
        <v>329028.14835058618</v>
      </c>
    </row>
    <row r="7" spans="1:33">
      <c r="A7" s="81" t="s">
        <v>231</v>
      </c>
      <c r="B7" s="4">
        <f>'Soft Cost Data'!$A$71*'CCaMC-BCCpUC'!B7</f>
        <v>440006.875</v>
      </c>
      <c r="C7" s="4">
        <f>$B7</f>
        <v>440006.875</v>
      </c>
      <c r="D7" s="4">
        <f t="shared" si="0"/>
        <v>440006.875</v>
      </c>
      <c r="E7" s="4">
        <f t="shared" si="0"/>
        <v>440006.875</v>
      </c>
      <c r="F7" s="4">
        <f t="shared" si="0"/>
        <v>440006.875</v>
      </c>
      <c r="G7" s="4">
        <f t="shared" si="0"/>
        <v>440006.875</v>
      </c>
      <c r="H7" s="4">
        <f t="shared" si="0"/>
        <v>440006.875</v>
      </c>
      <c r="I7" s="4">
        <f t="shared" si="0"/>
        <v>440006.875</v>
      </c>
      <c r="J7" s="4">
        <f t="shared" si="0"/>
        <v>440006.875</v>
      </c>
      <c r="K7" s="4">
        <f t="shared" si="0"/>
        <v>440006.875</v>
      </c>
      <c r="L7" s="4">
        <f t="shared" si="0"/>
        <v>440006.875</v>
      </c>
      <c r="M7" s="4">
        <f t="shared" si="0"/>
        <v>440006.875</v>
      </c>
      <c r="N7" s="4">
        <f t="shared" si="0"/>
        <v>440006.875</v>
      </c>
      <c r="O7" s="4">
        <f t="shared" si="0"/>
        <v>440006.875</v>
      </c>
      <c r="P7" s="4">
        <f t="shared" si="0"/>
        <v>440006.875</v>
      </c>
      <c r="Q7" s="4">
        <f t="shared" si="0"/>
        <v>440006.875</v>
      </c>
      <c r="R7" s="4">
        <f t="shared" si="0"/>
        <v>440006.875</v>
      </c>
      <c r="S7" s="4">
        <f t="shared" si="0"/>
        <v>440006.875</v>
      </c>
      <c r="T7" s="4">
        <f t="shared" si="0"/>
        <v>440006.875</v>
      </c>
      <c r="U7" s="4">
        <f t="shared" si="0"/>
        <v>440006.875</v>
      </c>
      <c r="V7" s="4">
        <f t="shared" si="0"/>
        <v>440006.875</v>
      </c>
      <c r="W7" s="4">
        <f t="shared" si="0"/>
        <v>440006.875</v>
      </c>
      <c r="X7" s="4">
        <f t="shared" si="0"/>
        <v>440006.875</v>
      </c>
      <c r="Y7" s="4">
        <f t="shared" si="0"/>
        <v>440006.875</v>
      </c>
      <c r="Z7" s="4">
        <f t="shared" si="0"/>
        <v>440006.875</v>
      </c>
      <c r="AA7" s="4">
        <f t="shared" si="0"/>
        <v>440006.875</v>
      </c>
      <c r="AB7" s="4">
        <f t="shared" si="0"/>
        <v>440006.875</v>
      </c>
      <c r="AC7" s="4">
        <f t="shared" si="0"/>
        <v>440006.875</v>
      </c>
      <c r="AD7" s="4">
        <f t="shared" si="0"/>
        <v>440006.875</v>
      </c>
      <c r="AE7" s="4">
        <f t="shared" si="0"/>
        <v>440006.875</v>
      </c>
      <c r="AF7" s="4">
        <f t="shared" si="0"/>
        <v>440006.875</v>
      </c>
      <c r="AG7" s="4">
        <f t="shared" si="0"/>
        <v>440006.875</v>
      </c>
    </row>
    <row r="8" spans="1:33">
      <c r="A8" s="83" t="s">
        <v>260</v>
      </c>
      <c r="B8" s="80">
        <v>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</v>
      </c>
      <c r="K8" s="80">
        <v>0</v>
      </c>
      <c r="L8" s="80">
        <v>0</v>
      </c>
      <c r="M8" s="80">
        <v>0</v>
      </c>
      <c r="N8" s="80">
        <v>0</v>
      </c>
      <c r="O8" s="80">
        <v>0</v>
      </c>
      <c r="P8" s="80">
        <v>0</v>
      </c>
      <c r="Q8" s="80">
        <v>0</v>
      </c>
      <c r="R8" s="80">
        <v>0</v>
      </c>
      <c r="S8" s="80">
        <v>0</v>
      </c>
      <c r="T8" s="80">
        <v>0</v>
      </c>
      <c r="U8" s="80">
        <v>0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>
        <v>0</v>
      </c>
      <c r="AF8" s="80">
        <v>0</v>
      </c>
      <c r="AG8" s="80">
        <v>0</v>
      </c>
    </row>
    <row r="9" spans="1:33">
      <c r="A9" s="83" t="s">
        <v>261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>
        <v>0</v>
      </c>
      <c r="AD9" s="80">
        <v>0</v>
      </c>
      <c r="AE9" s="80">
        <v>0</v>
      </c>
      <c r="AF9" s="80">
        <v>0</v>
      </c>
      <c r="AG9" s="80">
        <v>0</v>
      </c>
    </row>
    <row r="10" spans="1:33">
      <c r="A10" s="83" t="s">
        <v>262</v>
      </c>
      <c r="B10" s="80">
        <v>0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</v>
      </c>
      <c r="K10" s="80">
        <v>0</v>
      </c>
      <c r="L10" s="80">
        <v>0</v>
      </c>
      <c r="M10" s="80">
        <v>0</v>
      </c>
      <c r="N10" s="80">
        <v>0</v>
      </c>
      <c r="O10" s="80">
        <v>0</v>
      </c>
      <c r="P10" s="80">
        <v>0</v>
      </c>
      <c r="Q10" s="80">
        <v>0</v>
      </c>
      <c r="R10" s="80">
        <v>0</v>
      </c>
      <c r="S10" s="80">
        <v>0</v>
      </c>
      <c r="T10" s="80">
        <v>0</v>
      </c>
      <c r="U10" s="80">
        <v>0</v>
      </c>
      <c r="V10" s="80">
        <v>0</v>
      </c>
      <c r="W10" s="80">
        <v>0</v>
      </c>
      <c r="X10" s="80">
        <v>0</v>
      </c>
      <c r="Y10" s="80">
        <v>0</v>
      </c>
      <c r="Z10" s="80">
        <v>0</v>
      </c>
      <c r="AA10" s="80">
        <v>0</v>
      </c>
      <c r="AB10" s="80">
        <v>0</v>
      </c>
      <c r="AC10" s="80">
        <v>0</v>
      </c>
      <c r="AD10" s="80">
        <v>0</v>
      </c>
      <c r="AE10" s="80">
        <v>0</v>
      </c>
      <c r="AF10" s="80">
        <v>0</v>
      </c>
      <c r="AG10" s="80">
        <v>0</v>
      </c>
    </row>
    <row r="11" spans="1:33">
      <c r="A11" s="83" t="s">
        <v>263</v>
      </c>
      <c r="B11" s="80">
        <v>0</v>
      </c>
      <c r="C11" s="80">
        <v>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0">
        <v>0</v>
      </c>
      <c r="AD11" s="80">
        <v>0</v>
      </c>
      <c r="AE11" s="80">
        <v>0</v>
      </c>
      <c r="AF11" s="80">
        <v>0</v>
      </c>
      <c r="AG11" s="80">
        <v>0</v>
      </c>
    </row>
    <row r="12" spans="1:33">
      <c r="A12" s="83" t="s">
        <v>264</v>
      </c>
      <c r="B12" s="80">
        <v>0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0">
        <v>0</v>
      </c>
      <c r="AD12" s="80">
        <v>0</v>
      </c>
      <c r="AE12" s="80">
        <v>0</v>
      </c>
      <c r="AF12" s="80">
        <v>0</v>
      </c>
      <c r="AG12" s="80">
        <v>0</v>
      </c>
    </row>
    <row r="13" spans="1:33">
      <c r="A13" s="83" t="s">
        <v>265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</v>
      </c>
      <c r="K13" s="80">
        <v>0</v>
      </c>
      <c r="L13" s="80">
        <v>0</v>
      </c>
      <c r="M13" s="80">
        <v>0</v>
      </c>
      <c r="N13" s="80">
        <v>0</v>
      </c>
      <c r="O13" s="80">
        <v>0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0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0">
        <v>0</v>
      </c>
      <c r="AD13" s="80">
        <v>0</v>
      </c>
      <c r="AE13" s="80">
        <v>0</v>
      </c>
      <c r="AF13" s="80">
        <v>0</v>
      </c>
      <c r="AG13" s="80">
        <v>0</v>
      </c>
    </row>
    <row r="14" spans="1:33">
      <c r="A14" s="81" t="s">
        <v>35</v>
      </c>
      <c r="B14" s="4">
        <f>'Soft Cost Data'!$A$58*'CCaMC-BCCpUC'!B14</f>
        <v>778387.16860921809</v>
      </c>
      <c r="C14" s="4">
        <f t="shared" ref="C14:AG14" si="1">$B14</f>
        <v>778387.16860921809</v>
      </c>
      <c r="D14" s="4">
        <f t="shared" si="1"/>
        <v>778387.16860921809</v>
      </c>
      <c r="E14" s="4">
        <f t="shared" si="1"/>
        <v>778387.16860921809</v>
      </c>
      <c r="F14" s="4">
        <f t="shared" si="1"/>
        <v>778387.16860921809</v>
      </c>
      <c r="G14" s="4">
        <f t="shared" si="1"/>
        <v>778387.16860921809</v>
      </c>
      <c r="H14" s="4">
        <f t="shared" si="1"/>
        <v>778387.16860921809</v>
      </c>
      <c r="I14" s="4">
        <f t="shared" si="1"/>
        <v>778387.16860921809</v>
      </c>
      <c r="J14" s="4">
        <f t="shared" si="1"/>
        <v>778387.16860921809</v>
      </c>
      <c r="K14" s="4">
        <f t="shared" si="1"/>
        <v>778387.16860921809</v>
      </c>
      <c r="L14" s="4">
        <f t="shared" si="1"/>
        <v>778387.16860921809</v>
      </c>
      <c r="M14" s="4">
        <f t="shared" si="1"/>
        <v>778387.16860921809</v>
      </c>
      <c r="N14" s="4">
        <f t="shared" si="1"/>
        <v>778387.16860921809</v>
      </c>
      <c r="O14" s="4">
        <f t="shared" si="1"/>
        <v>778387.16860921809</v>
      </c>
      <c r="P14" s="4">
        <f t="shared" si="1"/>
        <v>778387.16860921809</v>
      </c>
      <c r="Q14" s="4">
        <f t="shared" si="1"/>
        <v>778387.16860921809</v>
      </c>
      <c r="R14" s="4">
        <f t="shared" si="1"/>
        <v>778387.16860921809</v>
      </c>
      <c r="S14" s="4">
        <f t="shared" si="1"/>
        <v>778387.16860921809</v>
      </c>
      <c r="T14" s="4">
        <f t="shared" si="1"/>
        <v>778387.16860921809</v>
      </c>
      <c r="U14" s="4">
        <f t="shared" si="1"/>
        <v>778387.16860921809</v>
      </c>
      <c r="V14" s="4">
        <f t="shared" si="1"/>
        <v>778387.16860921809</v>
      </c>
      <c r="W14" s="4">
        <f t="shared" si="1"/>
        <v>778387.16860921809</v>
      </c>
      <c r="X14" s="4">
        <f t="shared" si="1"/>
        <v>778387.16860921809</v>
      </c>
      <c r="Y14" s="4">
        <f t="shared" si="1"/>
        <v>778387.16860921809</v>
      </c>
      <c r="Z14" s="4">
        <f t="shared" si="1"/>
        <v>778387.16860921809</v>
      </c>
      <c r="AA14" s="4">
        <f t="shared" si="1"/>
        <v>778387.16860921809</v>
      </c>
      <c r="AB14" s="4">
        <f t="shared" si="1"/>
        <v>778387.16860921809</v>
      </c>
      <c r="AC14" s="4">
        <f t="shared" si="1"/>
        <v>778387.16860921809</v>
      </c>
      <c r="AD14" s="4">
        <f t="shared" si="1"/>
        <v>778387.16860921809</v>
      </c>
      <c r="AE14" s="4">
        <f t="shared" si="1"/>
        <v>778387.16860921809</v>
      </c>
      <c r="AF14" s="4">
        <f t="shared" si="1"/>
        <v>778387.16860921809</v>
      </c>
      <c r="AG14" s="4">
        <f t="shared" si="1"/>
        <v>778387.16860921809</v>
      </c>
    </row>
    <row r="15" spans="1:33">
      <c r="A15" s="83" t="s">
        <v>266</v>
      </c>
      <c r="B15" s="80">
        <v>0</v>
      </c>
      <c r="C15" s="80">
        <v>0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</v>
      </c>
      <c r="K15" s="80">
        <v>0</v>
      </c>
      <c r="L15" s="80">
        <v>0</v>
      </c>
      <c r="M15" s="80">
        <v>0</v>
      </c>
      <c r="N15" s="80">
        <v>0</v>
      </c>
      <c r="O15" s="80">
        <v>0</v>
      </c>
      <c r="P15" s="80">
        <v>0</v>
      </c>
      <c r="Q15" s="80">
        <v>0</v>
      </c>
      <c r="R15" s="80">
        <v>0</v>
      </c>
      <c r="S15" s="80">
        <v>0</v>
      </c>
      <c r="T15" s="80">
        <v>0</v>
      </c>
      <c r="U15" s="80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</row>
    <row r="16" spans="1:33">
      <c r="A16" s="83" t="s">
        <v>267</v>
      </c>
      <c r="B16" s="80">
        <v>0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</v>
      </c>
      <c r="K16" s="80">
        <v>0</v>
      </c>
      <c r="L16" s="80">
        <v>0</v>
      </c>
      <c r="M16" s="80">
        <v>0</v>
      </c>
      <c r="N16" s="80">
        <v>0</v>
      </c>
      <c r="O16" s="80">
        <v>0</v>
      </c>
      <c r="P16" s="80">
        <v>0</v>
      </c>
      <c r="Q16" s="80">
        <v>0</v>
      </c>
      <c r="R16" s="80">
        <v>0</v>
      </c>
      <c r="S16" s="80">
        <v>0</v>
      </c>
      <c r="T16" s="80">
        <v>0</v>
      </c>
      <c r="U16" s="80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v>0</v>
      </c>
      <c r="AE16" s="80">
        <v>0</v>
      </c>
      <c r="AF16" s="80">
        <v>0</v>
      </c>
      <c r="AG16" s="80">
        <v>0</v>
      </c>
    </row>
    <row r="17" spans="1:33">
      <c r="A17" s="83" t="s">
        <v>268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</v>
      </c>
      <c r="K17" s="80">
        <v>0</v>
      </c>
      <c r="L17" s="80">
        <v>0</v>
      </c>
      <c r="M17" s="80">
        <v>0</v>
      </c>
      <c r="N17" s="80">
        <v>0</v>
      </c>
      <c r="O17" s="80">
        <v>0</v>
      </c>
      <c r="P17" s="80">
        <v>0</v>
      </c>
      <c r="Q17" s="80">
        <v>0</v>
      </c>
      <c r="R17" s="80">
        <v>0</v>
      </c>
      <c r="S17" s="80">
        <v>0</v>
      </c>
      <c r="T17" s="80">
        <v>0</v>
      </c>
      <c r="U17" s="80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0">
        <v>0</v>
      </c>
      <c r="AD17" s="80">
        <v>0</v>
      </c>
      <c r="AE17" s="80">
        <v>0</v>
      </c>
      <c r="AF17" s="80">
        <v>0</v>
      </c>
      <c r="AG17" s="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/>
  </sheetViews>
  <sheetFormatPr defaultRowHeight="15"/>
  <cols>
    <col min="1" max="1" width="26.7109375" customWidth="1"/>
    <col min="2" max="2" width="26.7109375" style="19" customWidth="1"/>
    <col min="3" max="3" width="40.85546875" customWidth="1"/>
    <col min="4" max="4" width="19.42578125" customWidth="1"/>
    <col min="5" max="5" width="15.28515625" customWidth="1"/>
    <col min="6" max="6" width="14.28515625" customWidth="1"/>
    <col min="7" max="7" width="10.42578125" customWidth="1"/>
    <col min="9" max="9" width="65.5703125" customWidth="1"/>
  </cols>
  <sheetData>
    <row r="1" spans="1:9" s="52" customFormat="1" ht="30">
      <c r="A1" s="51" t="s">
        <v>28</v>
      </c>
      <c r="B1" s="51" t="s">
        <v>46</v>
      </c>
      <c r="C1" s="51" t="s">
        <v>30</v>
      </c>
      <c r="D1" s="46" t="s">
        <v>133</v>
      </c>
      <c r="E1" s="46" t="s">
        <v>17</v>
      </c>
      <c r="F1" s="46" t="s">
        <v>134</v>
      </c>
      <c r="G1" s="53" t="s">
        <v>110</v>
      </c>
      <c r="H1" s="51" t="s">
        <v>108</v>
      </c>
      <c r="I1" s="51" t="s">
        <v>138</v>
      </c>
    </row>
    <row r="2" spans="1:9">
      <c r="A2" s="19" t="s">
        <v>92</v>
      </c>
      <c r="B2" s="19" t="s">
        <v>47</v>
      </c>
      <c r="C2" t="s">
        <v>29</v>
      </c>
      <c r="D2">
        <v>2917</v>
      </c>
      <c r="E2" s="15">
        <v>4.47</v>
      </c>
      <c r="F2" s="15">
        <v>31.16</v>
      </c>
      <c r="G2" s="54">
        <v>2013</v>
      </c>
      <c r="H2" s="55" t="s">
        <v>109</v>
      </c>
      <c r="I2" t="s">
        <v>139</v>
      </c>
    </row>
    <row r="3" spans="1:9">
      <c r="A3" t="s">
        <v>92</v>
      </c>
      <c r="B3" s="19" t="s">
        <v>48</v>
      </c>
      <c r="C3" t="s">
        <v>111</v>
      </c>
      <c r="D3" s="57">
        <v>4652</v>
      </c>
      <c r="E3" s="56">
        <v>7.05</v>
      </c>
      <c r="F3" s="56">
        <v>54.07</v>
      </c>
      <c r="G3" s="54">
        <v>2019</v>
      </c>
      <c r="H3" s="57" t="s">
        <v>135</v>
      </c>
    </row>
    <row r="4" spans="1:9">
      <c r="A4" s="19" t="s">
        <v>24</v>
      </c>
      <c r="B4" s="19" t="s">
        <v>47</v>
      </c>
      <c r="C4" t="s">
        <v>31</v>
      </c>
      <c r="D4">
        <v>999</v>
      </c>
      <c r="E4" s="15">
        <v>3.61</v>
      </c>
      <c r="F4" s="15">
        <v>11.33</v>
      </c>
      <c r="G4" s="54">
        <v>2018</v>
      </c>
      <c r="H4" s="55" t="s">
        <v>121</v>
      </c>
      <c r="I4" s="48" t="s">
        <v>139</v>
      </c>
    </row>
    <row r="5" spans="1:9">
      <c r="A5" t="s">
        <v>24</v>
      </c>
      <c r="B5" s="19" t="s">
        <v>48</v>
      </c>
      <c r="C5" t="s">
        <v>136</v>
      </c>
      <c r="D5" s="57">
        <v>1079</v>
      </c>
      <c r="E5" s="56">
        <v>2.54</v>
      </c>
      <c r="F5" s="56">
        <v>14.04</v>
      </c>
      <c r="G5" s="54">
        <v>2019</v>
      </c>
      <c r="H5" s="57" t="s">
        <v>135</v>
      </c>
    </row>
    <row r="6" spans="1:9">
      <c r="A6" s="19" t="s">
        <v>27</v>
      </c>
      <c r="B6" s="19" t="s">
        <v>47</v>
      </c>
      <c r="C6" t="s">
        <v>32</v>
      </c>
      <c r="D6">
        <v>1126</v>
      </c>
      <c r="E6" s="15">
        <v>3.61</v>
      </c>
      <c r="F6" s="15">
        <v>18.03</v>
      </c>
      <c r="G6" s="54">
        <v>2018</v>
      </c>
      <c r="H6" s="55" t="s">
        <v>121</v>
      </c>
      <c r="I6" s="48" t="s">
        <v>139</v>
      </c>
    </row>
    <row r="7" spans="1:9">
      <c r="A7" s="19" t="s">
        <v>27</v>
      </c>
      <c r="B7" s="19" t="s">
        <v>48</v>
      </c>
      <c r="C7" t="s">
        <v>137</v>
      </c>
      <c r="D7" s="57">
        <v>710</v>
      </c>
      <c r="E7" s="56">
        <v>4.4800000000000004</v>
      </c>
      <c r="F7" s="56">
        <v>6.97</v>
      </c>
      <c r="G7" s="54">
        <v>2019</v>
      </c>
      <c r="H7" s="57" t="s">
        <v>135</v>
      </c>
    </row>
    <row r="8" spans="1:9">
      <c r="A8" t="s">
        <v>11</v>
      </c>
      <c r="B8" s="19" t="s">
        <v>49</v>
      </c>
      <c r="C8" t="s">
        <v>33</v>
      </c>
      <c r="D8" s="57">
        <v>6317</v>
      </c>
      <c r="E8" s="56">
        <v>2.36</v>
      </c>
      <c r="F8" s="56">
        <v>121.13</v>
      </c>
      <c r="G8" s="54">
        <v>2019</v>
      </c>
      <c r="H8" s="57" t="s">
        <v>135</v>
      </c>
    </row>
    <row r="9" spans="1:9">
      <c r="A9" t="s">
        <v>15</v>
      </c>
      <c r="B9" s="19" t="s">
        <v>49</v>
      </c>
      <c r="C9" t="s">
        <v>2</v>
      </c>
      <c r="D9" s="57">
        <v>4104</v>
      </c>
      <c r="E9" s="56">
        <v>4.8099999999999996</v>
      </c>
      <c r="F9" s="56">
        <v>125.19</v>
      </c>
      <c r="G9" s="54">
        <v>2019</v>
      </c>
      <c r="H9" s="57" t="s">
        <v>135</v>
      </c>
    </row>
    <row r="10" spans="1:9">
      <c r="A10" t="s">
        <v>25</v>
      </c>
      <c r="B10" s="19" t="s">
        <v>49</v>
      </c>
      <c r="C10" t="s">
        <v>23</v>
      </c>
      <c r="D10" s="57">
        <v>2680</v>
      </c>
      <c r="E10" s="56">
        <v>1.1599999999999999</v>
      </c>
      <c r="F10" s="56">
        <v>113.29</v>
      </c>
      <c r="G10" s="54">
        <v>2019</v>
      </c>
      <c r="H10" s="57" t="s">
        <v>135</v>
      </c>
    </row>
    <row r="11" spans="1:9">
      <c r="A11" t="s">
        <v>12</v>
      </c>
      <c r="B11" s="19" t="s">
        <v>49</v>
      </c>
      <c r="C11" t="s">
        <v>34</v>
      </c>
      <c r="D11" s="57">
        <v>2752</v>
      </c>
      <c r="E11" s="56">
        <v>1.39</v>
      </c>
      <c r="F11" s="56">
        <v>41.63</v>
      </c>
      <c r="G11" s="54">
        <v>2019</v>
      </c>
      <c r="H11" s="57" t="s">
        <v>135</v>
      </c>
    </row>
    <row r="12" spans="1:9">
      <c r="A12" t="s">
        <v>94</v>
      </c>
      <c r="B12" s="19" t="s">
        <v>49</v>
      </c>
      <c r="C12" t="s">
        <v>0</v>
      </c>
      <c r="D12" s="20">
        <v>1319</v>
      </c>
      <c r="E12" s="15">
        <v>0</v>
      </c>
      <c r="F12" s="15">
        <v>26.22</v>
      </c>
      <c r="G12" s="54">
        <v>2019</v>
      </c>
      <c r="H12" s="57" t="s">
        <v>135</v>
      </c>
    </row>
    <row r="13" spans="1:9">
      <c r="A13" t="s">
        <v>93</v>
      </c>
      <c r="B13" s="19" t="s">
        <v>49</v>
      </c>
      <c r="C13" t="s">
        <v>35</v>
      </c>
      <c r="D13" s="20">
        <v>5446</v>
      </c>
      <c r="E13" s="15">
        <v>0</v>
      </c>
      <c r="F13" s="15">
        <v>109.54</v>
      </c>
      <c r="G13" s="54">
        <v>2019</v>
      </c>
      <c r="H13" s="57" t="s">
        <v>135</v>
      </c>
    </row>
    <row r="14" spans="1:9">
      <c r="A14" t="s">
        <v>14</v>
      </c>
      <c r="B14" s="19" t="s">
        <v>49</v>
      </c>
      <c r="C14" t="s">
        <v>6</v>
      </c>
      <c r="D14" s="57">
        <v>7191</v>
      </c>
      <c r="E14" s="56">
        <v>0</v>
      </c>
      <c r="F14" s="56">
        <v>85.03</v>
      </c>
      <c r="G14" s="54">
        <v>2019</v>
      </c>
      <c r="H14" s="57" t="s">
        <v>135</v>
      </c>
    </row>
    <row r="15" spans="1:9">
      <c r="A15" t="s">
        <v>13</v>
      </c>
      <c r="B15" s="19" t="s">
        <v>49</v>
      </c>
      <c r="C15" t="s">
        <v>36</v>
      </c>
      <c r="D15" s="20">
        <v>1331</v>
      </c>
      <c r="E15" s="15">
        <v>0</v>
      </c>
      <c r="F15" s="15">
        <v>15.19</v>
      </c>
      <c r="G15" s="54">
        <v>2019</v>
      </c>
      <c r="H15" s="57" t="s">
        <v>135</v>
      </c>
    </row>
    <row r="16" spans="1:9" s="19" customFormat="1">
      <c r="A16" s="19" t="s">
        <v>117</v>
      </c>
      <c r="B16" s="19" t="s">
        <v>49</v>
      </c>
      <c r="C16" s="19" t="s">
        <v>118</v>
      </c>
      <c r="D16" s="47">
        <v>1557</v>
      </c>
      <c r="E16" s="56">
        <v>6.17</v>
      </c>
      <c r="F16" s="56">
        <v>20.02</v>
      </c>
      <c r="G16" s="54">
        <v>2019</v>
      </c>
      <c r="H16" s="57" t="s">
        <v>135</v>
      </c>
    </row>
    <row r="17" spans="1:8">
      <c r="H17" s="57"/>
    </row>
    <row r="18" spans="1:8">
      <c r="A18" t="s">
        <v>140</v>
      </c>
    </row>
    <row r="19" spans="1:8">
      <c r="A19" t="s">
        <v>141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/>
  </sheetViews>
  <sheetFormatPr defaultRowHeight="15"/>
  <cols>
    <col min="1" max="1" width="29.85546875" customWidth="1"/>
    <col min="2" max="2" width="22.140625" customWidth="1"/>
    <col min="3" max="3" width="14.5703125" customWidth="1"/>
    <col min="4" max="4" width="16.140625" customWidth="1"/>
  </cols>
  <sheetData>
    <row r="1" spans="1:5" s="52" customFormat="1">
      <c r="A1" s="51" t="s">
        <v>113</v>
      </c>
    </row>
    <row r="2" spans="1:5" s="52" customFormat="1" ht="30">
      <c r="A2" s="46" t="s">
        <v>3</v>
      </c>
      <c r="B2" s="46" t="s">
        <v>21</v>
      </c>
      <c r="C2" s="51" t="s">
        <v>134</v>
      </c>
      <c r="D2" s="51" t="s">
        <v>17</v>
      </c>
    </row>
    <row r="3" spans="1:5" s="52" customFormat="1">
      <c r="A3" s="68">
        <v>2019</v>
      </c>
      <c r="B3" s="69">
        <f>SUMPRODUCT(B16:B19,$E$16:$E$19)/SUM($E$16:$E$19)</f>
        <v>1499.4538096111148</v>
      </c>
      <c r="C3" s="69">
        <f t="shared" ref="C3:D3" si="0">SUMPRODUCT(C16:C19,$E$16:$E$19)/SUM($E$16:$E$19)</f>
        <v>43</v>
      </c>
      <c r="D3" s="69">
        <f t="shared" si="0"/>
        <v>0</v>
      </c>
    </row>
    <row r="4" spans="1:5" s="52" customFormat="1"/>
    <row r="5" spans="1:5" s="52" customFormat="1" ht="30">
      <c r="A5" s="51" t="s">
        <v>198</v>
      </c>
      <c r="B5" s="51" t="s">
        <v>199</v>
      </c>
      <c r="C5" s="51" t="s">
        <v>134</v>
      </c>
      <c r="D5" s="51" t="s">
        <v>17</v>
      </c>
    </row>
    <row r="6" spans="1:5" s="52" customFormat="1" ht="30">
      <c r="A6" s="46" t="s">
        <v>3</v>
      </c>
      <c r="B6" s="46" t="s">
        <v>21</v>
      </c>
      <c r="C6" s="46" t="s">
        <v>21</v>
      </c>
      <c r="D6" s="46" t="s">
        <v>21</v>
      </c>
    </row>
    <row r="7" spans="1:5" s="52" customFormat="1">
      <c r="A7" s="68">
        <v>2019</v>
      </c>
      <c r="B7" s="70">
        <v>1.375</v>
      </c>
      <c r="C7" s="52">
        <v>16</v>
      </c>
      <c r="D7" s="52">
        <v>0</v>
      </c>
    </row>
    <row r="8" spans="1:5" s="52" customFormat="1"/>
    <row r="9" spans="1:5" s="52" customFormat="1" ht="30">
      <c r="A9" s="51" t="s">
        <v>159</v>
      </c>
    </row>
    <row r="10" spans="1:5" s="52" customFormat="1" ht="30">
      <c r="A10" s="46" t="s">
        <v>3</v>
      </c>
      <c r="B10" s="46" t="s">
        <v>21</v>
      </c>
      <c r="C10" s="51" t="s">
        <v>134</v>
      </c>
      <c r="D10" s="51" t="s">
        <v>17</v>
      </c>
    </row>
    <row r="11" spans="1:5" s="52" customFormat="1">
      <c r="A11" s="71">
        <v>2019</v>
      </c>
      <c r="B11" s="69">
        <f>SUMPRODUCT(B25:B28,$E$25:$E$28)/SUM($E$25:$E$28)</f>
        <v>3425.9463314249183</v>
      </c>
      <c r="C11" s="69">
        <f t="shared" ref="C11:D11" si="1">SUMPRODUCT(C25:C28,$E$25:$E$28)/SUM($E$25:$E$28)</f>
        <v>114.17597765363128</v>
      </c>
      <c r="D11" s="69">
        <f t="shared" si="1"/>
        <v>0</v>
      </c>
    </row>
    <row r="12" spans="1:5" s="52" customFormat="1"/>
    <row r="13" spans="1:5" s="48" customFormat="1">
      <c r="A13" s="50" t="s">
        <v>173</v>
      </c>
      <c r="B13" s="50"/>
      <c r="C13" s="50"/>
    </row>
    <row r="14" spans="1:5">
      <c r="C14" s="48"/>
    </row>
    <row r="15" spans="1:5" ht="30.75" thickBot="1">
      <c r="B15" s="52" t="s">
        <v>197</v>
      </c>
      <c r="C15" s="48" t="s">
        <v>200</v>
      </c>
      <c r="D15" s="48" t="s">
        <v>201</v>
      </c>
      <c r="E15" s="48" t="s">
        <v>172</v>
      </c>
    </row>
    <row r="16" spans="1:5">
      <c r="A16" s="1" t="s">
        <v>168</v>
      </c>
      <c r="B16">
        <v>1643.0640045429275</v>
      </c>
      <c r="C16" s="48">
        <v>43</v>
      </c>
      <c r="D16" s="48">
        <v>0</v>
      </c>
      <c r="E16" s="63">
        <v>153</v>
      </c>
    </row>
    <row r="17" spans="1:7">
      <c r="A17" t="s">
        <v>169</v>
      </c>
      <c r="B17">
        <v>1517.8707986220934</v>
      </c>
      <c r="C17" s="48">
        <v>43</v>
      </c>
      <c r="D17" s="48">
        <v>0</v>
      </c>
      <c r="E17" s="64">
        <v>152</v>
      </c>
    </row>
    <row r="18" spans="1:7">
      <c r="A18" t="s">
        <v>170</v>
      </c>
      <c r="B18">
        <v>1479.9120712514018</v>
      </c>
      <c r="C18" s="48">
        <v>43</v>
      </c>
      <c r="D18" s="48">
        <v>0</v>
      </c>
      <c r="E18" s="65">
        <v>304</v>
      </c>
    </row>
    <row r="19" spans="1:7">
      <c r="A19" t="s">
        <v>171</v>
      </c>
      <c r="B19">
        <v>1468.3794635832551</v>
      </c>
      <c r="C19" s="48">
        <v>43</v>
      </c>
      <c r="D19" s="72">
        <v>0</v>
      </c>
      <c r="E19" s="64">
        <v>606</v>
      </c>
    </row>
    <row r="20" spans="1:7" s="48" customFormat="1">
      <c r="C20" s="66"/>
    </row>
    <row r="21" spans="1:7" s="48" customFormat="1">
      <c r="A21" s="48" t="s">
        <v>174</v>
      </c>
      <c r="C21" s="66"/>
    </row>
    <row r="23" spans="1:7" s="48" customFormat="1">
      <c r="A23" s="50" t="s">
        <v>164</v>
      </c>
      <c r="B23" s="50"/>
      <c r="C23" s="50"/>
    </row>
    <row r="24" spans="1:7" s="48" customFormat="1" ht="30.75" thickBot="1">
      <c r="B24" s="52" t="s">
        <v>133</v>
      </c>
      <c r="C24" s="48" t="s">
        <v>200</v>
      </c>
      <c r="D24" s="48" t="s">
        <v>201</v>
      </c>
      <c r="E24" s="48" t="s">
        <v>165</v>
      </c>
    </row>
    <row r="25" spans="1:7" s="48" customFormat="1" ht="15.75" thickBot="1">
      <c r="A25" t="s">
        <v>160</v>
      </c>
      <c r="B25" s="60">
        <v>2625.9128118393451</v>
      </c>
      <c r="C25" s="67">
        <v>116</v>
      </c>
      <c r="D25" s="67">
        <v>0</v>
      </c>
      <c r="E25" s="61">
        <v>13.57</v>
      </c>
      <c r="G25" s="48">
        <f>SUMPRODUCT(D25:D28,E25:E28)/SUM(E25:E28)</f>
        <v>0</v>
      </c>
    </row>
    <row r="26" spans="1:7" s="48" customFormat="1" ht="15.75" thickBot="1">
      <c r="A26" t="s">
        <v>161</v>
      </c>
      <c r="B26" s="60">
        <v>2633.9559819960177</v>
      </c>
      <c r="C26" s="67">
        <v>229</v>
      </c>
      <c r="D26" s="67">
        <v>0</v>
      </c>
      <c r="E26" s="62">
        <v>13.57</v>
      </c>
    </row>
    <row r="27" spans="1:7" s="48" customFormat="1" ht="15.75" thickBot="1">
      <c r="A27" t="s">
        <v>162</v>
      </c>
      <c r="B27" s="60">
        <v>3810.0925102656047</v>
      </c>
      <c r="C27" s="67">
        <v>85</v>
      </c>
      <c r="D27" s="67">
        <v>0</v>
      </c>
      <c r="E27" s="62">
        <v>27.6</v>
      </c>
    </row>
    <row r="28" spans="1:7" s="48" customFormat="1">
      <c r="A28" t="s">
        <v>163</v>
      </c>
      <c r="B28" s="60">
        <v>3824.5452215163482</v>
      </c>
      <c r="C28" s="67">
        <v>86</v>
      </c>
      <c r="D28" s="67">
        <v>0</v>
      </c>
      <c r="E28" s="61">
        <v>27.6</v>
      </c>
    </row>
    <row r="29" spans="1:7" s="48" customFormat="1">
      <c r="A29"/>
      <c r="B29" s="19"/>
    </row>
    <row r="30" spans="1:7">
      <c r="A30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/>
  </sheetViews>
  <sheetFormatPr defaultRowHeight="15"/>
  <cols>
    <col min="1" max="2" width="20.7109375" style="43" customWidth="1"/>
    <col min="3" max="3" width="21" style="43" customWidth="1"/>
    <col min="4" max="8" width="20.7109375" style="43" customWidth="1"/>
  </cols>
  <sheetData>
    <row r="1" spans="1:8">
      <c r="A1" s="22"/>
      <c r="B1" s="22"/>
      <c r="C1" s="23" t="s">
        <v>51</v>
      </c>
      <c r="D1" s="23" t="s">
        <v>51</v>
      </c>
      <c r="E1" s="23" t="s">
        <v>51</v>
      </c>
      <c r="F1" s="23" t="s">
        <v>52</v>
      </c>
      <c r="G1" s="23" t="s">
        <v>52</v>
      </c>
      <c r="H1" s="23" t="s">
        <v>52</v>
      </c>
    </row>
    <row r="2" spans="1:8" ht="45">
      <c r="A2" s="24" t="s">
        <v>53</v>
      </c>
      <c r="B2" s="86" t="s">
        <v>54</v>
      </c>
      <c r="C2" s="88" t="s">
        <v>83</v>
      </c>
      <c r="D2" s="88" t="s">
        <v>84</v>
      </c>
      <c r="E2" s="88" t="s">
        <v>85</v>
      </c>
      <c r="F2" s="90" t="s">
        <v>86</v>
      </c>
      <c r="G2" s="90" t="s">
        <v>87</v>
      </c>
      <c r="H2" s="84" t="s">
        <v>55</v>
      </c>
    </row>
    <row r="3" spans="1:8" ht="30">
      <c r="A3" s="23" t="s">
        <v>56</v>
      </c>
      <c r="B3" s="87"/>
      <c r="C3" s="89"/>
      <c r="D3" s="89"/>
      <c r="E3" s="89"/>
      <c r="F3" s="91"/>
      <c r="G3" s="91"/>
      <c r="H3" s="85"/>
    </row>
    <row r="4" spans="1:8">
      <c r="A4" s="23" t="s">
        <v>57</v>
      </c>
      <c r="B4" s="25">
        <v>1000</v>
      </c>
      <c r="C4" s="22"/>
      <c r="D4" s="22"/>
      <c r="E4" s="22"/>
      <c r="F4" s="22"/>
      <c r="G4" s="22"/>
      <c r="H4" s="22"/>
    </row>
    <row r="5" spans="1:8" ht="28.5">
      <c r="A5" s="26" t="s">
        <v>58</v>
      </c>
      <c r="B5" s="25">
        <v>1000</v>
      </c>
      <c r="C5" s="27">
        <v>2217840</v>
      </c>
      <c r="D5" s="27">
        <v>2461143</v>
      </c>
      <c r="E5" s="27">
        <v>2090180</v>
      </c>
      <c r="F5" s="27">
        <v>2800491</v>
      </c>
      <c r="G5" s="27">
        <v>3433006</v>
      </c>
      <c r="H5" s="27">
        <v>2848907</v>
      </c>
    </row>
    <row r="6" spans="1:8" ht="28.5">
      <c r="A6" s="28" t="s">
        <v>59</v>
      </c>
      <c r="B6" s="28" t="s">
        <v>60</v>
      </c>
      <c r="C6" s="29">
        <v>3641</v>
      </c>
      <c r="D6" s="29">
        <v>4076</v>
      </c>
      <c r="E6" s="29">
        <v>3393</v>
      </c>
      <c r="F6" s="29">
        <v>4589</v>
      </c>
      <c r="G6" s="29">
        <v>5763</v>
      </c>
      <c r="H6" s="29">
        <v>4652</v>
      </c>
    </row>
    <row r="7" spans="1:8">
      <c r="A7" s="30" t="s">
        <v>88</v>
      </c>
      <c r="B7" s="31"/>
      <c r="C7" s="31"/>
      <c r="D7" s="31"/>
      <c r="E7" s="31"/>
      <c r="F7" s="31"/>
      <c r="G7" s="31"/>
      <c r="H7" s="31"/>
    </row>
    <row r="8" spans="1:8" ht="28.5">
      <c r="A8" s="32" t="s">
        <v>61</v>
      </c>
      <c r="B8" s="33">
        <v>1000</v>
      </c>
      <c r="C8" s="34">
        <v>2217840</v>
      </c>
      <c r="D8" s="34">
        <v>2461143</v>
      </c>
      <c r="E8" s="34">
        <v>2090180</v>
      </c>
      <c r="F8" s="34">
        <v>2800491</v>
      </c>
      <c r="G8" s="34">
        <v>3433006</v>
      </c>
      <c r="H8" s="34">
        <v>2848907</v>
      </c>
    </row>
    <row r="9" spans="1:8">
      <c r="A9" s="35" t="s">
        <v>89</v>
      </c>
      <c r="B9" s="31"/>
      <c r="C9" s="31"/>
      <c r="D9" s="31"/>
      <c r="E9" s="31"/>
      <c r="F9" s="31"/>
      <c r="G9" s="31"/>
      <c r="H9" s="31"/>
    </row>
    <row r="10" spans="1:8">
      <c r="A10" s="32" t="s">
        <v>62</v>
      </c>
      <c r="B10" s="33">
        <v>1000</v>
      </c>
      <c r="C10" s="36">
        <v>16571</v>
      </c>
      <c r="D10" s="34">
        <v>16571</v>
      </c>
      <c r="E10" s="34">
        <v>16571</v>
      </c>
      <c r="F10" s="36">
        <v>29871</v>
      </c>
      <c r="G10" s="36">
        <v>34299</v>
      </c>
      <c r="H10" s="36">
        <v>30210</v>
      </c>
    </row>
    <row r="11" spans="1:8" ht="30">
      <c r="A11" s="35" t="s">
        <v>90</v>
      </c>
      <c r="B11" s="31"/>
      <c r="C11" s="31"/>
      <c r="D11" s="31"/>
      <c r="E11" s="31"/>
      <c r="F11" s="31"/>
      <c r="G11" s="31"/>
      <c r="H11" s="31"/>
    </row>
    <row r="12" spans="1:8">
      <c r="A12" s="32" t="s">
        <v>63</v>
      </c>
      <c r="B12" s="33">
        <v>1000</v>
      </c>
      <c r="C12" s="36">
        <v>2455</v>
      </c>
      <c r="D12" s="36">
        <v>1276</v>
      </c>
      <c r="E12" s="37">
        <v>0</v>
      </c>
      <c r="F12" s="37">
        <v>0</v>
      </c>
      <c r="G12" s="37">
        <v>0</v>
      </c>
      <c r="H12" s="37">
        <v>0</v>
      </c>
    </row>
    <row r="13" spans="1:8" ht="42.75">
      <c r="A13" s="32" t="s">
        <v>64</v>
      </c>
      <c r="B13" s="33">
        <v>1000</v>
      </c>
      <c r="C13" s="37">
        <v>0</v>
      </c>
      <c r="D13" s="37">
        <v>0</v>
      </c>
      <c r="E13" s="36">
        <v>1174</v>
      </c>
      <c r="F13" s="36">
        <v>1593</v>
      </c>
      <c r="G13" s="36">
        <v>1415</v>
      </c>
      <c r="H13" s="36">
        <v>1340</v>
      </c>
    </row>
    <row r="14" spans="1:8">
      <c r="A14" s="32" t="s">
        <v>65</v>
      </c>
      <c r="B14" s="33">
        <v>1000</v>
      </c>
      <c r="C14" s="37">
        <v>0</v>
      </c>
      <c r="D14" s="36">
        <v>1751</v>
      </c>
      <c r="E14" s="36">
        <v>1593</v>
      </c>
      <c r="F14" s="37">
        <v>296</v>
      </c>
      <c r="G14" s="36">
        <v>1068</v>
      </c>
      <c r="H14" s="37">
        <v>296</v>
      </c>
    </row>
    <row r="15" spans="1:8">
      <c r="A15" s="32" t="s">
        <v>66</v>
      </c>
      <c r="B15" s="33">
        <v>1000</v>
      </c>
      <c r="C15" s="37">
        <v>440</v>
      </c>
      <c r="D15" s="37">
        <v>440</v>
      </c>
      <c r="E15" s="37">
        <v>440</v>
      </c>
      <c r="F15" s="37">
        <v>451</v>
      </c>
      <c r="G15" s="37">
        <v>407</v>
      </c>
      <c r="H15" s="37">
        <v>440</v>
      </c>
    </row>
    <row r="16" spans="1:8" ht="28.5">
      <c r="A16" s="32" t="s">
        <v>67</v>
      </c>
      <c r="B16" s="33">
        <v>1000</v>
      </c>
      <c r="C16" s="37">
        <v>721</v>
      </c>
      <c r="D16" s="36">
        <v>2740</v>
      </c>
      <c r="E16" s="37">
        <v>473</v>
      </c>
      <c r="F16" s="37">
        <v>0</v>
      </c>
      <c r="G16" s="37">
        <v>0</v>
      </c>
      <c r="H16" s="37">
        <v>0</v>
      </c>
    </row>
    <row r="17" spans="1:8" ht="28.5">
      <c r="A17" s="32" t="s">
        <v>68</v>
      </c>
      <c r="B17" s="33">
        <v>1000</v>
      </c>
      <c r="C17" s="36">
        <v>2877</v>
      </c>
      <c r="D17" s="34">
        <v>10954</v>
      </c>
      <c r="E17" s="36">
        <v>1884</v>
      </c>
      <c r="F17" s="37">
        <v>0</v>
      </c>
      <c r="G17" s="37">
        <v>0</v>
      </c>
      <c r="H17" s="37">
        <v>0</v>
      </c>
    </row>
    <row r="18" spans="1:8" ht="28.5">
      <c r="A18" s="32" t="s">
        <v>69</v>
      </c>
      <c r="B18" s="33">
        <v>1000</v>
      </c>
      <c r="C18" s="36">
        <v>5051</v>
      </c>
      <c r="D18" s="36">
        <v>2635</v>
      </c>
      <c r="E18" s="37">
        <v>617</v>
      </c>
      <c r="F18" s="37">
        <v>0</v>
      </c>
      <c r="G18" s="37">
        <v>0</v>
      </c>
      <c r="H18" s="37">
        <v>0</v>
      </c>
    </row>
    <row r="19" spans="1:8">
      <c r="A19" s="32" t="s">
        <v>70</v>
      </c>
      <c r="B19" s="33">
        <v>1000</v>
      </c>
      <c r="C19" s="37">
        <v>0</v>
      </c>
      <c r="D19" s="37">
        <v>16</v>
      </c>
      <c r="E19" s="37">
        <v>14</v>
      </c>
      <c r="F19" s="37">
        <v>24</v>
      </c>
      <c r="G19" s="37">
        <v>85</v>
      </c>
      <c r="H19" s="37">
        <v>24</v>
      </c>
    </row>
    <row r="20" spans="1:8">
      <c r="A20" s="32" t="s">
        <v>71</v>
      </c>
      <c r="B20" s="33">
        <v>1000</v>
      </c>
      <c r="C20" s="37">
        <v>577</v>
      </c>
      <c r="D20" s="37">
        <v>609</v>
      </c>
      <c r="E20" s="37">
        <v>587</v>
      </c>
      <c r="F20" s="37">
        <v>186</v>
      </c>
      <c r="G20" s="37">
        <v>186</v>
      </c>
      <c r="H20" s="37">
        <v>186</v>
      </c>
    </row>
    <row r="21" spans="1:8" ht="28.5">
      <c r="A21" s="32" t="s">
        <v>72</v>
      </c>
      <c r="B21" s="33">
        <v>1000</v>
      </c>
      <c r="C21" s="36">
        <v>1153</v>
      </c>
      <c r="D21" s="36">
        <v>1153</v>
      </c>
      <c r="E21" s="36">
        <v>1153</v>
      </c>
      <c r="F21" s="37">
        <v>399</v>
      </c>
      <c r="G21" s="37">
        <v>399</v>
      </c>
      <c r="H21" s="37">
        <v>399</v>
      </c>
    </row>
    <row r="22" spans="1:8">
      <c r="A22" s="32" t="s">
        <v>73</v>
      </c>
      <c r="B22" s="33">
        <v>1000</v>
      </c>
      <c r="C22" s="37">
        <v>367</v>
      </c>
      <c r="D22" s="37">
        <v>415</v>
      </c>
      <c r="E22" s="37">
        <v>378</v>
      </c>
      <c r="F22" s="37">
        <v>33</v>
      </c>
      <c r="G22" s="37">
        <v>61</v>
      </c>
      <c r="H22" s="37">
        <v>42</v>
      </c>
    </row>
    <row r="23" spans="1:8">
      <c r="A23" s="32" t="s">
        <v>74</v>
      </c>
      <c r="B23" s="33">
        <v>1000</v>
      </c>
      <c r="C23" s="36">
        <v>1080</v>
      </c>
      <c r="D23" s="37">
        <v>913</v>
      </c>
      <c r="E23" s="37">
        <v>880</v>
      </c>
      <c r="F23" s="37">
        <v>191</v>
      </c>
      <c r="G23" s="37">
        <v>189</v>
      </c>
      <c r="H23" s="37">
        <v>184</v>
      </c>
    </row>
    <row r="24" spans="1:8">
      <c r="A24" s="32" t="s">
        <v>75</v>
      </c>
      <c r="B24" s="33">
        <v>1000</v>
      </c>
      <c r="C24" s="36">
        <v>3241</v>
      </c>
      <c r="D24" s="36">
        <v>3422</v>
      </c>
      <c r="E24" s="36">
        <v>3301</v>
      </c>
      <c r="F24" s="37">
        <v>431</v>
      </c>
      <c r="G24" s="37">
        <v>425</v>
      </c>
      <c r="H24" s="37">
        <v>414</v>
      </c>
    </row>
    <row r="25" spans="1:8">
      <c r="A25" s="32" t="s">
        <v>76</v>
      </c>
      <c r="B25" s="33">
        <v>1000</v>
      </c>
      <c r="C25" s="36">
        <v>2401</v>
      </c>
      <c r="D25" s="36">
        <v>2380</v>
      </c>
      <c r="E25" s="36">
        <v>2428</v>
      </c>
      <c r="F25" s="36">
        <v>2272</v>
      </c>
      <c r="G25" s="36">
        <v>2218</v>
      </c>
      <c r="H25" s="36">
        <v>2280</v>
      </c>
    </row>
    <row r="26" spans="1:8">
      <c r="A26" s="32" t="s">
        <v>77</v>
      </c>
      <c r="B26" s="33">
        <v>1000</v>
      </c>
      <c r="C26" s="38" t="s">
        <v>78</v>
      </c>
      <c r="D26" s="38" t="s">
        <v>78</v>
      </c>
      <c r="E26" s="38" t="s">
        <v>78</v>
      </c>
      <c r="F26" s="37">
        <v>555</v>
      </c>
      <c r="G26" s="37">
        <v>272</v>
      </c>
      <c r="H26" s="37">
        <v>65</v>
      </c>
    </row>
    <row r="27" spans="1:8">
      <c r="A27" s="32" t="s">
        <v>79</v>
      </c>
      <c r="B27" s="33">
        <v>1000</v>
      </c>
      <c r="C27" s="36">
        <v>20364</v>
      </c>
      <c r="D27" s="34">
        <v>28705</v>
      </c>
      <c r="E27" s="34">
        <v>14924</v>
      </c>
      <c r="F27" s="36">
        <v>6430</v>
      </c>
      <c r="G27" s="36">
        <v>6725</v>
      </c>
      <c r="H27" s="36">
        <v>5668</v>
      </c>
    </row>
    <row r="28" spans="1:8">
      <c r="A28" s="39" t="s">
        <v>80</v>
      </c>
      <c r="B28" s="39" t="s">
        <v>81</v>
      </c>
      <c r="C28" s="40">
        <v>3.73</v>
      </c>
      <c r="D28" s="40">
        <v>5.76</v>
      </c>
      <c r="E28" s="40">
        <v>3.07</v>
      </c>
      <c r="F28" s="40">
        <v>1.42</v>
      </c>
      <c r="G28" s="40">
        <v>1.52</v>
      </c>
      <c r="H28" s="40">
        <v>1.24</v>
      </c>
    </row>
    <row r="29" spans="1:8" ht="28.5">
      <c r="A29" s="28" t="s">
        <v>82</v>
      </c>
      <c r="B29" s="41">
        <v>1000</v>
      </c>
      <c r="C29" s="29">
        <v>36935</v>
      </c>
      <c r="D29" s="42">
        <v>45276</v>
      </c>
      <c r="E29" s="42">
        <v>31495</v>
      </c>
      <c r="F29" s="29">
        <v>36301</v>
      </c>
      <c r="G29" s="29">
        <v>41023</v>
      </c>
      <c r="H29" s="29">
        <v>35878</v>
      </c>
    </row>
    <row r="30" spans="1:8" ht="28.5">
      <c r="A30" s="39" t="s">
        <v>82</v>
      </c>
      <c r="B30" s="39" t="s">
        <v>81</v>
      </c>
      <c r="C30" s="40">
        <v>7.69</v>
      </c>
      <c r="D30" s="40">
        <v>9.51</v>
      </c>
      <c r="E30" s="40">
        <v>6.48</v>
      </c>
      <c r="F30" s="40">
        <v>7.99</v>
      </c>
      <c r="G30" s="40">
        <v>9.25</v>
      </c>
      <c r="H30" s="40">
        <v>7.87</v>
      </c>
    </row>
    <row r="32" spans="1:8">
      <c r="B32" s="43" t="s">
        <v>103</v>
      </c>
    </row>
    <row r="33" spans="1:4">
      <c r="A33" s="44" t="s">
        <v>91</v>
      </c>
      <c r="B33" s="45">
        <f>D6/AVERAGE(C6,E6)</f>
        <v>1.1589422803525733</v>
      </c>
      <c r="C33" s="45"/>
      <c r="D33" s="45"/>
    </row>
    <row r="34" spans="1:4">
      <c r="A34" s="44" t="s">
        <v>80</v>
      </c>
      <c r="B34" s="45">
        <f>D28/(AVERAGE(C28,E28))</f>
        <v>1.6941176470588235</v>
      </c>
      <c r="C34" s="45"/>
      <c r="D34" s="45"/>
    </row>
    <row r="35" spans="1:4">
      <c r="A35" s="44" t="s">
        <v>62</v>
      </c>
      <c r="B35" s="45">
        <f>D10/AVERAGE(E10,C10)</f>
        <v>1</v>
      </c>
      <c r="C35" s="45"/>
      <c r="D35" s="45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5"/>
  <sheetViews>
    <sheetView workbookViewId="0"/>
  </sheetViews>
  <sheetFormatPr defaultRowHeight="15"/>
  <cols>
    <col min="1" max="1" width="32.7109375" customWidth="1"/>
    <col min="2" max="2" width="28.85546875" style="19" customWidth="1"/>
  </cols>
  <sheetData>
    <row r="1" spans="1:35" s="19" customFormat="1">
      <c r="A1" s="50" t="s">
        <v>130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</row>
    <row r="2" spans="1:35" s="1" customFormat="1">
      <c r="A2" s="1" t="s">
        <v>107</v>
      </c>
      <c r="B2" s="1" t="s">
        <v>106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>
      <c r="A3" t="s">
        <v>10</v>
      </c>
      <c r="B3" s="19" t="s">
        <v>177</v>
      </c>
      <c r="C3" s="48">
        <v>4600.8370420337133</v>
      </c>
      <c r="D3" s="48">
        <v>4583.6439877148268</v>
      </c>
      <c r="E3" s="48">
        <v>4566.4509333959404</v>
      </c>
      <c r="F3" s="48">
        <v>4549.2578790770531</v>
      </c>
      <c r="G3" s="48">
        <v>4532.0648247581667</v>
      </c>
      <c r="H3" s="48">
        <v>4514.8717704392802</v>
      </c>
      <c r="I3" s="48">
        <v>4497.6787161203938</v>
      </c>
      <c r="J3" s="48">
        <v>4468.9693973648709</v>
      </c>
      <c r="K3" s="48">
        <v>4449.3382391501427</v>
      </c>
      <c r="L3" s="48">
        <v>4426.9785962502419</v>
      </c>
      <c r="M3" s="48">
        <v>4406.7526605448966</v>
      </c>
      <c r="N3" s="48">
        <v>4385.3432503331896</v>
      </c>
      <c r="O3" s="48">
        <v>4359.4826960338705</v>
      </c>
      <c r="P3" s="48">
        <v>4334.7564707870333</v>
      </c>
      <c r="Q3" s="48">
        <v>4308.5779520002588</v>
      </c>
      <c r="R3" s="48">
        <v>4281.751647455083</v>
      </c>
      <c r="S3" s="48">
        <v>4259.5363048261834</v>
      </c>
      <c r="T3" s="48">
        <v>4236.0800566007365</v>
      </c>
      <c r="U3" s="48">
        <v>4206.7371053418819</v>
      </c>
      <c r="V3" s="48">
        <v>4183.5455481159761</v>
      </c>
      <c r="W3" s="48">
        <v>4158.7622030107595</v>
      </c>
      <c r="X3" s="48">
        <v>4130.7468411853079</v>
      </c>
      <c r="Y3" s="48">
        <v>4101.9553408874081</v>
      </c>
      <c r="Z3" s="48">
        <v>4080.346059768598</v>
      </c>
      <c r="AA3" s="48">
        <v>4053.1186363629504</v>
      </c>
      <c r="AB3" s="48">
        <v>4028.6806544367405</v>
      </c>
      <c r="AC3" s="48">
        <v>4004.0490706525625</v>
      </c>
      <c r="AD3" s="48">
        <v>3981.6545374836746</v>
      </c>
      <c r="AE3" s="48">
        <v>3952.0037560351666</v>
      </c>
      <c r="AF3" s="48">
        <v>3927.5848862884086</v>
      </c>
      <c r="AG3" s="48">
        <v>3902.9986685162989</v>
      </c>
      <c r="AH3" s="48">
        <v>3878.3264711424999</v>
      </c>
      <c r="AI3" s="48">
        <v>3820.3685413043286</v>
      </c>
    </row>
    <row r="4" spans="1:35">
      <c r="A4" t="s">
        <v>24</v>
      </c>
      <c r="B4" s="19" t="s">
        <v>176</v>
      </c>
      <c r="C4" s="48">
        <v>2665.8783429495093</v>
      </c>
      <c r="D4" s="48">
        <v>2626.958399601574</v>
      </c>
      <c r="E4" s="48">
        <v>2588.0384562536392</v>
      </c>
      <c r="F4" s="48">
        <v>2549.1185129057044</v>
      </c>
      <c r="G4" s="48">
        <v>2510.1985695577696</v>
      </c>
      <c r="H4" s="48">
        <v>2471.2786262098343</v>
      </c>
      <c r="I4" s="48">
        <v>2414.306405860123</v>
      </c>
      <c r="J4" s="48">
        <v>2373.9754306616055</v>
      </c>
      <c r="K4" s="48">
        <v>2345.7143959216287</v>
      </c>
      <c r="L4" s="48">
        <v>2316.0555183130796</v>
      </c>
      <c r="M4" s="48">
        <v>2293.3855241281481</v>
      </c>
      <c r="N4" s="48">
        <v>2275.1191670829803</v>
      </c>
      <c r="O4" s="48">
        <v>2253.5735949986961</v>
      </c>
      <c r="P4" s="48">
        <v>2233.7538281621287</v>
      </c>
      <c r="Q4" s="48">
        <v>2213.271865136317</v>
      </c>
      <c r="R4" s="48">
        <v>2191.2156860880541</v>
      </c>
      <c r="S4" s="48">
        <v>2172.492021659139</v>
      </c>
      <c r="T4" s="48">
        <v>2156.4740900488773</v>
      </c>
      <c r="U4" s="48">
        <v>2138.4595755145115</v>
      </c>
      <c r="V4" s="48">
        <v>2123.5740808335458</v>
      </c>
      <c r="W4" s="48">
        <v>2107.8787309217673</v>
      </c>
      <c r="X4" s="48">
        <v>2090.5464570527547</v>
      </c>
      <c r="Y4" s="48">
        <v>2072.8265955542797</v>
      </c>
      <c r="Z4" s="48">
        <v>2058.7361717113477</v>
      </c>
      <c r="AA4" s="48">
        <v>2041.809783973898</v>
      </c>
      <c r="AB4" s="48">
        <v>2026.2896631338858</v>
      </c>
      <c r="AC4" s="48">
        <v>2010.6706641523369</v>
      </c>
      <c r="AD4" s="48">
        <v>1996.1728944193292</v>
      </c>
      <c r="AE4" s="48">
        <v>1978.0386196133686</v>
      </c>
      <c r="AF4" s="48">
        <v>1962.5254036918486</v>
      </c>
      <c r="AG4" s="48">
        <v>1946.927838385576</v>
      </c>
      <c r="AH4" s="48">
        <v>1931.2866653719896</v>
      </c>
      <c r="AI4" s="48">
        <v>1899.0977751076723</v>
      </c>
    </row>
    <row r="5" spans="1:35">
      <c r="A5" t="s">
        <v>12</v>
      </c>
      <c r="B5" s="48" t="s">
        <v>178</v>
      </c>
      <c r="C5" s="48">
        <v>6383.3853209753688</v>
      </c>
      <c r="D5" s="48">
        <v>6383.3853209753688</v>
      </c>
      <c r="E5" s="48">
        <v>6383.3853209753688</v>
      </c>
      <c r="F5" s="48">
        <v>6383.3853209753688</v>
      </c>
      <c r="G5" s="48">
        <v>6383.3853209753688</v>
      </c>
      <c r="H5" s="48">
        <v>6383.3853209753688</v>
      </c>
      <c r="I5" s="48">
        <v>6383.3853209753688</v>
      </c>
      <c r="J5" s="48">
        <v>6383.3853209753688</v>
      </c>
      <c r="K5" s="48">
        <v>6383.3853209753688</v>
      </c>
      <c r="L5" s="48">
        <v>6383.3853209753688</v>
      </c>
      <c r="M5" s="48">
        <v>6383.3853209753688</v>
      </c>
      <c r="N5" s="48">
        <v>6383.3853209753688</v>
      </c>
      <c r="O5" s="48">
        <v>6383.3853209753688</v>
      </c>
      <c r="P5" s="48">
        <v>6383.3853209753688</v>
      </c>
      <c r="Q5" s="48">
        <v>6383.3853209753688</v>
      </c>
      <c r="R5" s="48">
        <v>6383.3853209753688</v>
      </c>
      <c r="S5" s="48">
        <v>6383.3853209753688</v>
      </c>
      <c r="T5" s="48">
        <v>6383.3853209753688</v>
      </c>
      <c r="U5" s="48">
        <v>6383.3853209753688</v>
      </c>
      <c r="V5" s="48">
        <v>6383.3853209753688</v>
      </c>
      <c r="W5" s="48">
        <v>6383.3853209753688</v>
      </c>
      <c r="X5" s="48">
        <v>6383.3853209753688</v>
      </c>
      <c r="Y5" s="48">
        <v>6383.3853209753688</v>
      </c>
      <c r="Z5" s="48">
        <v>6383.3853209753688</v>
      </c>
      <c r="AA5" s="48">
        <v>6383.3853209753688</v>
      </c>
      <c r="AB5" s="48">
        <v>6383.3853209753688</v>
      </c>
      <c r="AC5" s="48">
        <v>6383.3853209753688</v>
      </c>
      <c r="AD5" s="48">
        <v>6383.3853209753688</v>
      </c>
      <c r="AE5" s="48">
        <v>6383.3853209753688</v>
      </c>
      <c r="AF5" s="48">
        <v>6383.3853209753688</v>
      </c>
      <c r="AG5" s="48">
        <v>6383.3853209753688</v>
      </c>
      <c r="AH5" s="48">
        <v>6383.3853209753688</v>
      </c>
      <c r="AI5" s="48">
        <v>6383.3853209753688</v>
      </c>
    </row>
    <row r="6" spans="1:35">
      <c r="A6" s="19" t="s">
        <v>12</v>
      </c>
      <c r="B6" s="48" t="s">
        <v>179</v>
      </c>
      <c r="C6" s="48">
        <v>5810.1030901578633</v>
      </c>
      <c r="D6" s="48">
        <v>5810.1030901578633</v>
      </c>
      <c r="E6" s="48">
        <v>5810.1030901578633</v>
      </c>
      <c r="F6" s="48">
        <v>5810.1030901578633</v>
      </c>
      <c r="G6" s="48">
        <v>5810.1030901578633</v>
      </c>
      <c r="H6" s="48">
        <v>5810.1030901578633</v>
      </c>
      <c r="I6" s="48">
        <v>5810.1030901578633</v>
      </c>
      <c r="J6" s="48">
        <v>5810.1030901578633</v>
      </c>
      <c r="K6" s="48">
        <v>5810.1030901578633</v>
      </c>
      <c r="L6" s="48">
        <v>5810.1030901578633</v>
      </c>
      <c r="M6" s="48">
        <v>5810.1030901578633</v>
      </c>
      <c r="N6" s="48">
        <v>5810.1030901578633</v>
      </c>
      <c r="O6" s="48">
        <v>5810.1030901578633</v>
      </c>
      <c r="P6" s="48">
        <v>5810.1030901578633</v>
      </c>
      <c r="Q6" s="48">
        <v>5810.1030901578633</v>
      </c>
      <c r="R6" s="48">
        <v>5810.1030901578633</v>
      </c>
      <c r="S6" s="48">
        <v>5810.1030901578633</v>
      </c>
      <c r="T6" s="48">
        <v>5810.1030901578633</v>
      </c>
      <c r="U6" s="48">
        <v>5810.1030901578633</v>
      </c>
      <c r="V6" s="48">
        <v>5810.1030901578633</v>
      </c>
      <c r="W6" s="48">
        <v>5810.1030901578633</v>
      </c>
      <c r="X6" s="48">
        <v>5810.1030901578633</v>
      </c>
      <c r="Y6" s="48">
        <v>5810.1030901578633</v>
      </c>
      <c r="Z6" s="48">
        <v>5810.1030901578633</v>
      </c>
      <c r="AA6" s="48">
        <v>5810.1030901578633</v>
      </c>
      <c r="AB6" s="48">
        <v>5810.1030901578633</v>
      </c>
      <c r="AC6" s="48">
        <v>5810.1030901578633</v>
      </c>
      <c r="AD6" s="48">
        <v>5810.1030901578633</v>
      </c>
      <c r="AE6" s="48">
        <v>5810.1030901578633</v>
      </c>
      <c r="AF6" s="48">
        <v>5810.1030901578633</v>
      </c>
      <c r="AG6" s="48">
        <v>5810.1030901578633</v>
      </c>
      <c r="AH6" s="48">
        <v>5810.1030901578633</v>
      </c>
      <c r="AI6" s="48">
        <v>5810.1030901578633</v>
      </c>
    </row>
    <row r="7" spans="1:35">
      <c r="A7" s="19" t="s">
        <v>12</v>
      </c>
      <c r="B7" s="48" t="s">
        <v>180</v>
      </c>
      <c r="C7" s="48">
        <v>4275.0910068488029</v>
      </c>
      <c r="D7" s="48">
        <v>4275.0910068488029</v>
      </c>
      <c r="E7" s="48">
        <v>4275.0910068488029</v>
      </c>
      <c r="F7" s="48">
        <v>4275.0910068488029</v>
      </c>
      <c r="G7" s="48">
        <v>4275.0910068488029</v>
      </c>
      <c r="H7" s="48">
        <v>4275.0910068488029</v>
      </c>
      <c r="I7" s="48">
        <v>4275.0910068488029</v>
      </c>
      <c r="J7" s="48">
        <v>4275.0910068488029</v>
      </c>
      <c r="K7" s="48">
        <v>4275.0910068488029</v>
      </c>
      <c r="L7" s="48">
        <v>4275.0910068488029</v>
      </c>
      <c r="M7" s="48">
        <v>4275.0910068488029</v>
      </c>
      <c r="N7" s="48">
        <v>4275.0910068488029</v>
      </c>
      <c r="O7" s="48">
        <v>4275.0910068488029</v>
      </c>
      <c r="P7" s="48">
        <v>4275.0910068488029</v>
      </c>
      <c r="Q7" s="48">
        <v>4275.0910068488029</v>
      </c>
      <c r="R7" s="48">
        <v>4275.0910068488029</v>
      </c>
      <c r="S7" s="48">
        <v>4275.0910068488029</v>
      </c>
      <c r="T7" s="48">
        <v>4275.0910068488029</v>
      </c>
      <c r="U7" s="48">
        <v>4275.0910068488029</v>
      </c>
      <c r="V7" s="48">
        <v>4275.0910068488029</v>
      </c>
      <c r="W7" s="48">
        <v>4275.0910068488029</v>
      </c>
      <c r="X7" s="48">
        <v>4275.0910068488029</v>
      </c>
      <c r="Y7" s="48">
        <v>4275.0910068488029</v>
      </c>
      <c r="Z7" s="48">
        <v>4275.0910068488029</v>
      </c>
      <c r="AA7" s="48">
        <v>4275.0910068488029</v>
      </c>
      <c r="AB7" s="48">
        <v>4275.0910068488029</v>
      </c>
      <c r="AC7" s="48">
        <v>4275.0910068488029</v>
      </c>
      <c r="AD7" s="48">
        <v>4275.0910068488029</v>
      </c>
      <c r="AE7" s="48">
        <v>4275.0910068488029</v>
      </c>
      <c r="AF7" s="48">
        <v>4275.0910068488029</v>
      </c>
      <c r="AG7" s="48">
        <v>4275.0910068488029</v>
      </c>
      <c r="AH7" s="48">
        <v>4275.0910068488029</v>
      </c>
      <c r="AI7" s="48">
        <v>4275.0910068488029</v>
      </c>
    </row>
    <row r="8" spans="1:35">
      <c r="A8" s="19" t="s">
        <v>12</v>
      </c>
      <c r="B8" s="48" t="s">
        <v>181</v>
      </c>
      <c r="C8" s="48">
        <v>4030.6617343244579</v>
      </c>
      <c r="D8" s="48">
        <v>4030.6617343244579</v>
      </c>
      <c r="E8" s="48">
        <v>4030.6617343244579</v>
      </c>
      <c r="F8" s="48">
        <v>4030.6617343244579</v>
      </c>
      <c r="G8" s="48">
        <v>4030.6617343244579</v>
      </c>
      <c r="H8" s="48">
        <v>4030.6617343244579</v>
      </c>
      <c r="I8" s="48">
        <v>4030.6617343244579</v>
      </c>
      <c r="J8" s="48">
        <v>4030.6617343244579</v>
      </c>
      <c r="K8" s="48">
        <v>4030.6617343244579</v>
      </c>
      <c r="L8" s="48">
        <v>4030.6617343244579</v>
      </c>
      <c r="M8" s="48">
        <v>4030.6617343244579</v>
      </c>
      <c r="N8" s="48">
        <v>4030.6617343244579</v>
      </c>
      <c r="O8" s="48">
        <v>4030.6617343244579</v>
      </c>
      <c r="P8" s="48">
        <v>4030.6617343244579</v>
      </c>
      <c r="Q8" s="48">
        <v>4030.6617343244579</v>
      </c>
      <c r="R8" s="48">
        <v>4030.6617343244579</v>
      </c>
      <c r="S8" s="48">
        <v>4030.6617343244579</v>
      </c>
      <c r="T8" s="48">
        <v>4030.6617343244579</v>
      </c>
      <c r="U8" s="48">
        <v>4030.6617343244579</v>
      </c>
      <c r="V8" s="48">
        <v>4030.6617343244579</v>
      </c>
      <c r="W8" s="48">
        <v>4030.6617343244579</v>
      </c>
      <c r="X8" s="48">
        <v>4030.6617343244579</v>
      </c>
      <c r="Y8" s="48">
        <v>4030.6617343244579</v>
      </c>
      <c r="Z8" s="48">
        <v>4030.6617343244579</v>
      </c>
      <c r="AA8" s="48">
        <v>4030.6617343244579</v>
      </c>
      <c r="AB8" s="48">
        <v>4030.6617343244579</v>
      </c>
      <c r="AC8" s="48">
        <v>4030.6617343244579</v>
      </c>
      <c r="AD8" s="48">
        <v>4030.6617343244579</v>
      </c>
      <c r="AE8" s="48">
        <v>4030.6617343244579</v>
      </c>
      <c r="AF8" s="48">
        <v>4030.6617343244579</v>
      </c>
      <c r="AG8" s="48">
        <v>4030.6617343244579</v>
      </c>
      <c r="AH8" s="48">
        <v>4030.6617343244579</v>
      </c>
      <c r="AI8" s="48">
        <v>4030.6617343244579</v>
      </c>
    </row>
    <row r="9" spans="1:35">
      <c r="A9" s="19" t="s">
        <v>12</v>
      </c>
      <c r="B9" s="19" t="s">
        <v>182</v>
      </c>
      <c r="C9" s="48">
        <v>7484.3038907311038</v>
      </c>
      <c r="D9" s="48">
        <v>7484.3038907311038</v>
      </c>
      <c r="E9" s="48">
        <v>7484.3038907311038</v>
      </c>
      <c r="F9" s="48">
        <v>7484.3038907311038</v>
      </c>
      <c r="G9" s="48">
        <v>7484.3038907311038</v>
      </c>
      <c r="H9" s="48">
        <v>7484.3038907311038</v>
      </c>
      <c r="I9" s="48">
        <v>7484.3038907311038</v>
      </c>
      <c r="J9" s="48">
        <v>7484.3038907311038</v>
      </c>
      <c r="K9" s="48">
        <v>7484.3038907311038</v>
      </c>
      <c r="L9" s="48">
        <v>7484.3038907311038</v>
      </c>
      <c r="M9" s="48">
        <v>7484.3038907311038</v>
      </c>
      <c r="N9" s="48">
        <v>7484.3038907311038</v>
      </c>
      <c r="O9" s="48">
        <v>7484.3038907311038</v>
      </c>
      <c r="P9" s="48">
        <v>7484.3038907311038</v>
      </c>
      <c r="Q9" s="48">
        <v>7484.3038907311038</v>
      </c>
      <c r="R9" s="48">
        <v>7484.3038907311038</v>
      </c>
      <c r="S9" s="48">
        <v>7484.3038907311038</v>
      </c>
      <c r="T9" s="48">
        <v>7484.3038907311038</v>
      </c>
      <c r="U9" s="48">
        <v>7484.3038907311038</v>
      </c>
      <c r="V9" s="48">
        <v>7484.3038907311038</v>
      </c>
      <c r="W9" s="48">
        <v>7484.3038907311038</v>
      </c>
      <c r="X9" s="48">
        <v>7484.3038907311038</v>
      </c>
      <c r="Y9" s="48">
        <v>7484.3038907311038</v>
      </c>
      <c r="Z9" s="48">
        <v>7484.3038907311038</v>
      </c>
      <c r="AA9" s="48">
        <v>7484.3038907311038</v>
      </c>
      <c r="AB9" s="48">
        <v>7484.3038907311038</v>
      </c>
      <c r="AC9" s="48">
        <v>7484.3038907311038</v>
      </c>
      <c r="AD9" s="48">
        <v>7484.3038907311038</v>
      </c>
      <c r="AE9" s="48">
        <v>7484.3038907311038</v>
      </c>
      <c r="AF9" s="48">
        <v>7484.3038907311038</v>
      </c>
      <c r="AG9" s="48">
        <v>7484.3038907311038</v>
      </c>
      <c r="AH9" s="48">
        <v>7484.3038907311038</v>
      </c>
      <c r="AI9" s="48">
        <v>7484.3038907311038</v>
      </c>
    </row>
    <row r="10" spans="1:35">
      <c r="A10" s="19" t="s">
        <v>12</v>
      </c>
      <c r="B10" s="19" t="s">
        <v>183</v>
      </c>
      <c r="C10" s="48">
        <v>6681.4240010609637</v>
      </c>
      <c r="D10" s="48">
        <v>6681.4240010609637</v>
      </c>
      <c r="E10" s="48">
        <v>6681.4240010609637</v>
      </c>
      <c r="F10" s="48">
        <v>6681.4240010609637</v>
      </c>
      <c r="G10" s="48">
        <v>6681.4240010609637</v>
      </c>
      <c r="H10" s="48">
        <v>6681.4240010609637</v>
      </c>
      <c r="I10" s="48">
        <v>6681.4240010609637</v>
      </c>
      <c r="J10" s="48">
        <v>6681.4240010609637</v>
      </c>
      <c r="K10" s="48">
        <v>6681.4240010609637</v>
      </c>
      <c r="L10" s="48">
        <v>6681.4240010609637</v>
      </c>
      <c r="M10" s="48">
        <v>6681.4240010609637</v>
      </c>
      <c r="N10" s="48">
        <v>6681.4240010609637</v>
      </c>
      <c r="O10" s="48">
        <v>6681.4240010609637</v>
      </c>
      <c r="P10" s="48">
        <v>6681.4240010609637</v>
      </c>
      <c r="Q10" s="48">
        <v>6681.4240010609637</v>
      </c>
      <c r="R10" s="48">
        <v>6681.4240010609637</v>
      </c>
      <c r="S10" s="48">
        <v>6681.4240010609637</v>
      </c>
      <c r="T10" s="48">
        <v>6681.4240010609637</v>
      </c>
      <c r="U10" s="48">
        <v>6681.4240010609637</v>
      </c>
      <c r="V10" s="48">
        <v>6681.4240010609637</v>
      </c>
      <c r="W10" s="48">
        <v>6681.4240010609637</v>
      </c>
      <c r="X10" s="48">
        <v>6681.4240010609637</v>
      </c>
      <c r="Y10" s="48">
        <v>6681.4240010609637</v>
      </c>
      <c r="Z10" s="48">
        <v>6681.4240010609637</v>
      </c>
      <c r="AA10" s="48">
        <v>6681.4240010609637</v>
      </c>
      <c r="AB10" s="48">
        <v>6681.4240010609637</v>
      </c>
      <c r="AC10" s="48">
        <v>6681.4240010609637</v>
      </c>
      <c r="AD10" s="48">
        <v>6681.4240010609637</v>
      </c>
      <c r="AE10" s="48">
        <v>6681.4240010609637</v>
      </c>
      <c r="AF10" s="48">
        <v>6681.4240010609637</v>
      </c>
      <c r="AG10" s="48">
        <v>6681.4240010609637</v>
      </c>
      <c r="AH10" s="48">
        <v>6681.4240010609637</v>
      </c>
      <c r="AI10" s="48">
        <v>6681.4240010609637</v>
      </c>
    </row>
    <row r="11" spans="1:35">
      <c r="A11" s="19" t="s">
        <v>12</v>
      </c>
      <c r="B11" s="19" t="s">
        <v>184</v>
      </c>
      <c r="C11" s="48">
        <v>6544.0703103505657</v>
      </c>
      <c r="D11" s="48">
        <v>6544.0703103505657</v>
      </c>
      <c r="E11" s="48">
        <v>6544.0703103505657</v>
      </c>
      <c r="F11" s="48">
        <v>6544.0703103505657</v>
      </c>
      <c r="G11" s="48">
        <v>6544.0703103505657</v>
      </c>
      <c r="H11" s="48">
        <v>6544.0703103505657</v>
      </c>
      <c r="I11" s="48">
        <v>6544.0703103505657</v>
      </c>
      <c r="J11" s="48">
        <v>6544.0703103505657</v>
      </c>
      <c r="K11" s="48">
        <v>6544.0703103505657</v>
      </c>
      <c r="L11" s="48">
        <v>6544.0703103505657</v>
      </c>
      <c r="M11" s="48">
        <v>6544.0703103505657</v>
      </c>
      <c r="N11" s="48">
        <v>6544.0703103505657</v>
      </c>
      <c r="O11" s="48">
        <v>6544.0703103505657</v>
      </c>
      <c r="P11" s="48">
        <v>6544.0703103505657</v>
      </c>
      <c r="Q11" s="48">
        <v>6544.0703103505657</v>
      </c>
      <c r="R11" s="48">
        <v>6544.0703103505657</v>
      </c>
      <c r="S11" s="48">
        <v>6544.0703103505657</v>
      </c>
      <c r="T11" s="48">
        <v>6544.0703103505657</v>
      </c>
      <c r="U11" s="48">
        <v>6544.0703103505657</v>
      </c>
      <c r="V11" s="48">
        <v>6544.0703103505657</v>
      </c>
      <c r="W11" s="48">
        <v>6544.0703103505657</v>
      </c>
      <c r="X11" s="48">
        <v>6544.0703103505657</v>
      </c>
      <c r="Y11" s="48">
        <v>6544.0703103505657</v>
      </c>
      <c r="Z11" s="48">
        <v>6544.0703103505657</v>
      </c>
      <c r="AA11" s="48">
        <v>6544.0703103505657</v>
      </c>
      <c r="AB11" s="48">
        <v>6544.0703103505657</v>
      </c>
      <c r="AC11" s="48">
        <v>6544.0703103505657</v>
      </c>
      <c r="AD11" s="48">
        <v>6544.0703103505657</v>
      </c>
      <c r="AE11" s="48">
        <v>6544.0703103505657</v>
      </c>
      <c r="AF11" s="48">
        <v>6544.0703103505657</v>
      </c>
      <c r="AG11" s="48">
        <v>6544.0703103505657</v>
      </c>
      <c r="AH11" s="48">
        <v>6544.0703103505657</v>
      </c>
      <c r="AI11" s="48">
        <v>6544.0703103505657</v>
      </c>
    </row>
    <row r="12" spans="1:35">
      <c r="A12" s="19" t="s">
        <v>12</v>
      </c>
      <c r="B12" s="19" t="s">
        <v>185</v>
      </c>
      <c r="C12" s="48">
        <v>5891.1502448460624</v>
      </c>
      <c r="D12" s="48">
        <v>5891.1502448460624</v>
      </c>
      <c r="E12" s="48">
        <v>5891.1502448460624</v>
      </c>
      <c r="F12" s="48">
        <v>5891.1502448460624</v>
      </c>
      <c r="G12" s="48">
        <v>5891.1502448460624</v>
      </c>
      <c r="H12" s="48">
        <v>5891.1502448460624</v>
      </c>
      <c r="I12" s="48">
        <v>5891.1502448460624</v>
      </c>
      <c r="J12" s="48">
        <v>5891.1502448460624</v>
      </c>
      <c r="K12" s="48">
        <v>5891.1502448460624</v>
      </c>
      <c r="L12" s="48">
        <v>5891.1502448460624</v>
      </c>
      <c r="M12" s="48">
        <v>5891.1502448460624</v>
      </c>
      <c r="N12" s="48">
        <v>5891.1502448460624</v>
      </c>
      <c r="O12" s="48">
        <v>5891.1502448460624</v>
      </c>
      <c r="P12" s="48">
        <v>5891.1502448460624</v>
      </c>
      <c r="Q12" s="48">
        <v>5891.1502448460624</v>
      </c>
      <c r="R12" s="48">
        <v>5891.1502448460624</v>
      </c>
      <c r="S12" s="48">
        <v>5891.1502448460624</v>
      </c>
      <c r="T12" s="48">
        <v>5891.1502448460624</v>
      </c>
      <c r="U12" s="48">
        <v>5891.1502448460624</v>
      </c>
      <c r="V12" s="48">
        <v>5891.1502448460624</v>
      </c>
      <c r="W12" s="48">
        <v>5891.1502448460624</v>
      </c>
      <c r="X12" s="48">
        <v>5891.1502448460624</v>
      </c>
      <c r="Y12" s="48">
        <v>5891.1502448460624</v>
      </c>
      <c r="Z12" s="48">
        <v>5891.1502448460624</v>
      </c>
      <c r="AA12" s="48">
        <v>5891.1502448460624</v>
      </c>
      <c r="AB12" s="48">
        <v>5891.1502448460624</v>
      </c>
      <c r="AC12" s="48">
        <v>5891.1502448460624</v>
      </c>
      <c r="AD12" s="48">
        <v>5891.1502448460624</v>
      </c>
      <c r="AE12" s="48">
        <v>5891.1502448460624</v>
      </c>
      <c r="AF12" s="48">
        <v>5891.1502448460624</v>
      </c>
      <c r="AG12" s="48">
        <v>5891.1502448460624</v>
      </c>
      <c r="AH12" s="48">
        <v>5891.1502448460624</v>
      </c>
      <c r="AI12" s="48">
        <v>5891.1502448460624</v>
      </c>
    </row>
    <row r="13" spans="1:35">
      <c r="A13" t="s">
        <v>11</v>
      </c>
      <c r="B13" s="19" t="s">
        <v>166</v>
      </c>
      <c r="C13" s="48">
        <v>6124.7277640091788</v>
      </c>
      <c r="D13" s="48">
        <v>6093.4599707761536</v>
      </c>
      <c r="E13" s="48">
        <v>6062.1921775431283</v>
      </c>
      <c r="F13" s="48">
        <v>6030.9243843101031</v>
      </c>
      <c r="G13" s="48">
        <v>5999.6565910770778</v>
      </c>
      <c r="H13" s="48">
        <v>5968.3887978440525</v>
      </c>
      <c r="I13" s="48">
        <v>5937.1210046110273</v>
      </c>
      <c r="J13" s="48">
        <v>5905.853211378002</v>
      </c>
      <c r="K13" s="48">
        <v>5874.5854181449768</v>
      </c>
      <c r="L13" s="48">
        <v>5839.7036312008568</v>
      </c>
      <c r="M13" s="48">
        <v>5807.6285330785831</v>
      </c>
      <c r="N13" s="48">
        <v>5773.9828068385686</v>
      </c>
      <c r="O13" s="48">
        <v>5734.4726216242916</v>
      </c>
      <c r="P13" s="48">
        <v>5696.4543940283702</v>
      </c>
      <c r="Q13" s="48">
        <v>5656.5285265412467</v>
      </c>
      <c r="R13" s="48">
        <v>5615.7553644465816</v>
      </c>
      <c r="S13" s="48">
        <v>5581.0276597910834</v>
      </c>
      <c r="T13" s="48">
        <v>5544.6677037581858</v>
      </c>
      <c r="U13" s="48">
        <v>5500.606050178134</v>
      </c>
      <c r="V13" s="48">
        <v>5464.5910926036886</v>
      </c>
      <c r="W13" s="48">
        <v>5426.4929184359326</v>
      </c>
      <c r="X13" s="48">
        <v>5384.1804684935187</v>
      </c>
      <c r="Y13" s="48">
        <v>5340.8657918036752</v>
      </c>
      <c r="Z13" s="48">
        <v>5306.9025583761613</v>
      </c>
      <c r="AA13" s="48">
        <v>5265.6298783904504</v>
      </c>
      <c r="AB13" s="48">
        <v>5227.9830545076593</v>
      </c>
      <c r="AC13" s="48">
        <v>5190.0826913625642</v>
      </c>
      <c r="AD13" s="48">
        <v>5155.0778440187896</v>
      </c>
      <c r="AE13" s="48">
        <v>5110.6803786753771</v>
      </c>
      <c r="AF13" s="48">
        <v>5073.0541521855466</v>
      </c>
      <c r="AG13" s="48">
        <v>5035.2094820007587</v>
      </c>
      <c r="AH13" s="48">
        <v>4997.2531145408157</v>
      </c>
      <c r="AI13" s="48">
        <v>4916.4581349337459</v>
      </c>
    </row>
    <row r="14" spans="1:35">
      <c r="A14" t="s">
        <v>14</v>
      </c>
      <c r="B14" s="19" t="s">
        <v>186</v>
      </c>
      <c r="C14" s="48">
        <v>2100</v>
      </c>
      <c r="D14" s="48">
        <v>2031.3333333333333</v>
      </c>
      <c r="E14" s="48">
        <v>1962.6666666666665</v>
      </c>
      <c r="F14" s="48">
        <v>1894</v>
      </c>
      <c r="G14" s="48">
        <v>1919.7724499999999</v>
      </c>
      <c r="H14" s="48">
        <v>1834.7451749999998</v>
      </c>
      <c r="I14" s="48">
        <v>1737.4247999999998</v>
      </c>
      <c r="J14" s="48">
        <v>1690.3012499999998</v>
      </c>
      <c r="K14" s="48">
        <v>1626.7868999999998</v>
      </c>
      <c r="L14" s="48">
        <v>1563.2725499999999</v>
      </c>
      <c r="M14" s="48">
        <v>1513.0757249999999</v>
      </c>
      <c r="N14" s="48">
        <v>1438.2927</v>
      </c>
      <c r="O14" s="48">
        <v>1383.9981749999999</v>
      </c>
      <c r="P14" s="48">
        <v>1352.241</v>
      </c>
      <c r="Q14" s="48">
        <v>1332.7769249999999</v>
      </c>
      <c r="R14" s="48">
        <v>1317.4105499999998</v>
      </c>
      <c r="S14" s="48">
        <v>1281.5556749999998</v>
      </c>
      <c r="T14" s="48">
        <v>1262.0916</v>
      </c>
      <c r="U14" s="48">
        <v>1236.4809749999999</v>
      </c>
      <c r="V14" s="48">
        <v>1220.0901749999998</v>
      </c>
      <c r="W14" s="48">
        <v>1209.8459249999999</v>
      </c>
      <c r="X14" s="48">
        <v>1202.6749499999999</v>
      </c>
      <c r="Y14" s="48">
        <v>1189.3574249999999</v>
      </c>
      <c r="Z14" s="48">
        <v>1182.1864499999999</v>
      </c>
      <c r="AA14" s="48">
        <v>1177.0643249999998</v>
      </c>
      <c r="AB14" s="48">
        <v>1176.0399</v>
      </c>
      <c r="AC14" s="48">
        <v>1171.9422</v>
      </c>
      <c r="AD14" s="48">
        <v>1168.868925</v>
      </c>
      <c r="AE14" s="48">
        <v>1165.7956499999998</v>
      </c>
      <c r="AF14" s="48">
        <v>1163.7467999999999</v>
      </c>
      <c r="AG14" s="48">
        <v>1159.6490999999999</v>
      </c>
      <c r="AH14" s="48">
        <v>1154.526975</v>
      </c>
      <c r="AI14" s="48">
        <v>1148.3804249999998</v>
      </c>
    </row>
    <row r="15" spans="1:35">
      <c r="A15" t="s">
        <v>15</v>
      </c>
      <c r="B15" s="19" t="s">
        <v>187</v>
      </c>
      <c r="C15" s="48">
        <v>4020.4634987857685</v>
      </c>
      <c r="D15" s="48">
        <v>4008.5393994423594</v>
      </c>
      <c r="E15" s="48">
        <v>3996.6153000989502</v>
      </c>
      <c r="F15" s="48">
        <v>3984.6912007555411</v>
      </c>
      <c r="G15" s="48">
        <v>3972.767101412132</v>
      </c>
      <c r="H15" s="48">
        <v>3960.8430020687229</v>
      </c>
      <c r="I15" s="48">
        <v>3948.9189027253142</v>
      </c>
      <c r="J15" s="48">
        <v>3926.8871617370783</v>
      </c>
      <c r="K15" s="48">
        <v>3912.8331495073862</v>
      </c>
      <c r="L15" s="48">
        <v>3896.3853446543376</v>
      </c>
      <c r="M15" s="48">
        <v>3881.8210623822411</v>
      </c>
      <c r="N15" s="48">
        <v>3866.2216340375539</v>
      </c>
      <c r="O15" s="48">
        <v>3846.700257011018</v>
      </c>
      <c r="P15" s="48">
        <v>3828.1794679446721</v>
      </c>
      <c r="Q15" s="48">
        <v>3808.375309519824</v>
      </c>
      <c r="R15" s="48">
        <v>3787.997202942815</v>
      </c>
      <c r="S15" s="48">
        <v>3771.6990080013679</v>
      </c>
      <c r="T15" s="48">
        <v>3754.306329126392</v>
      </c>
      <c r="U15" s="48">
        <v>3731.6940426485016</v>
      </c>
      <c r="V15" s="48">
        <v>3714.5372114349298</v>
      </c>
      <c r="W15" s="48">
        <v>3695.9690437080708</v>
      </c>
      <c r="X15" s="48">
        <v>3674.5261422671297</v>
      </c>
      <c r="Y15" s="48">
        <v>3652.3875861147126</v>
      </c>
      <c r="Z15" s="48">
        <v>3636.6442583203234</v>
      </c>
      <c r="AA15" s="48">
        <v>3615.8949453107757</v>
      </c>
      <c r="AB15" s="48">
        <v>3597.6331113684319</v>
      </c>
      <c r="AC15" s="48">
        <v>3579.1989894007688</v>
      </c>
      <c r="AD15" s="48">
        <v>3562.7686353192194</v>
      </c>
      <c r="AE15" s="48">
        <v>3539.8436005282829</v>
      </c>
      <c r="AF15" s="48">
        <v>3521.6015489667948</v>
      </c>
      <c r="AG15" s="48">
        <v>3503.2102194171603</v>
      </c>
      <c r="AH15" s="48">
        <v>3484.7436113007639</v>
      </c>
      <c r="AI15" s="48">
        <v>3436.3375185239388</v>
      </c>
    </row>
    <row r="16" spans="1:35">
      <c r="A16" s="19" t="s">
        <v>15</v>
      </c>
      <c r="B16" s="19" t="s">
        <v>188</v>
      </c>
      <c r="C16" s="48">
        <v>3915.6920288292681</v>
      </c>
      <c r="D16" s="48">
        <v>3910.6878321560771</v>
      </c>
      <c r="E16" s="48">
        <v>3905.6836354828856</v>
      </c>
      <c r="F16" s="48">
        <v>3900.6794388096946</v>
      </c>
      <c r="G16" s="48">
        <v>3895.6752421365036</v>
      </c>
      <c r="H16" s="48">
        <v>3890.6710454633121</v>
      </c>
      <c r="I16" s="48">
        <v>3885.6668487901211</v>
      </c>
      <c r="J16" s="48">
        <v>3871.5230684579351</v>
      </c>
      <c r="K16" s="48">
        <v>3864.6119457543796</v>
      </c>
      <c r="L16" s="48">
        <v>3855.5386690517585</v>
      </c>
      <c r="M16" s="48">
        <v>3848.188711432912</v>
      </c>
      <c r="N16" s="48">
        <v>3839.907168872588</v>
      </c>
      <c r="O16" s="48">
        <v>3828.052108265259</v>
      </c>
      <c r="P16" s="48">
        <v>3817.1109973852649</v>
      </c>
      <c r="Q16" s="48">
        <v>3804.9948700562454</v>
      </c>
      <c r="R16" s="48">
        <v>3792.3478898435255</v>
      </c>
      <c r="S16" s="48">
        <v>3783.4513026656891</v>
      </c>
      <c r="T16" s="48">
        <v>3773.5544918720539</v>
      </c>
      <c r="U16" s="48">
        <v>3758.8425568224602</v>
      </c>
      <c r="V16" s="48">
        <v>3749.1652002116539</v>
      </c>
      <c r="W16" s="48">
        <v>3738.1862671986487</v>
      </c>
      <c r="X16" s="48">
        <v>3724.5391738637022</v>
      </c>
      <c r="Y16" s="48">
        <v>3710.236757339529</v>
      </c>
      <c r="Z16" s="48">
        <v>3701.8833277874255</v>
      </c>
      <c r="AA16" s="48">
        <v>3688.8669446257868</v>
      </c>
      <c r="AB16" s="48">
        <v>3678.1711370379371</v>
      </c>
      <c r="AC16" s="48">
        <v>3667.3162266190425</v>
      </c>
      <c r="AD16" s="48">
        <v>3658.3444822075535</v>
      </c>
      <c r="AE16" s="48">
        <v>3643.2715594909491</v>
      </c>
      <c r="AF16" s="48">
        <v>3632.5983114285145</v>
      </c>
      <c r="AG16" s="48">
        <v>3621.7871671207513</v>
      </c>
      <c r="AH16" s="48">
        <v>3610.9069732719067</v>
      </c>
      <c r="AI16" s="48">
        <v>3571.6327702287108</v>
      </c>
    </row>
    <row r="17" spans="1:35">
      <c r="A17" s="19" t="s">
        <v>15</v>
      </c>
      <c r="B17" s="19" t="s">
        <v>189</v>
      </c>
      <c r="C17" s="48">
        <v>3915.6920288292681</v>
      </c>
      <c r="D17" s="48">
        <v>3910.6878321560771</v>
      </c>
      <c r="E17" s="48">
        <v>3905.6836354828856</v>
      </c>
      <c r="F17" s="48">
        <v>3900.6794388096946</v>
      </c>
      <c r="G17" s="48">
        <v>3895.6752421365036</v>
      </c>
      <c r="H17" s="48">
        <v>3890.6710454633121</v>
      </c>
      <c r="I17" s="48">
        <v>3885.6668487901211</v>
      </c>
      <c r="J17" s="48">
        <v>3871.5230684579351</v>
      </c>
      <c r="K17" s="48">
        <v>3864.6119457543796</v>
      </c>
      <c r="L17" s="48">
        <v>3855.5386690517585</v>
      </c>
      <c r="M17" s="48">
        <v>3848.188711432912</v>
      </c>
      <c r="N17" s="48">
        <v>3839.907168872588</v>
      </c>
      <c r="O17" s="48">
        <v>3828.052108265259</v>
      </c>
      <c r="P17" s="48">
        <v>3817.1109973852649</v>
      </c>
      <c r="Q17" s="48">
        <v>3804.9948700562454</v>
      </c>
      <c r="R17" s="48">
        <v>3792.3478898435255</v>
      </c>
      <c r="S17" s="48">
        <v>3783.4513026656891</v>
      </c>
      <c r="T17" s="48">
        <v>3773.5544918720539</v>
      </c>
      <c r="U17" s="48">
        <v>3758.8425568224602</v>
      </c>
      <c r="V17" s="48">
        <v>3749.1652002116539</v>
      </c>
      <c r="W17" s="48">
        <v>3738.1862671986487</v>
      </c>
      <c r="X17" s="48">
        <v>3724.5391738637022</v>
      </c>
      <c r="Y17" s="48">
        <v>3710.236757339529</v>
      </c>
      <c r="Z17" s="48">
        <v>3701.8833277874255</v>
      </c>
      <c r="AA17" s="48">
        <v>3688.8669446257868</v>
      </c>
      <c r="AB17" s="48">
        <v>3678.1711370379371</v>
      </c>
      <c r="AC17" s="48">
        <v>3667.3162266190425</v>
      </c>
      <c r="AD17" s="48">
        <v>3658.3444822075535</v>
      </c>
      <c r="AE17" s="48">
        <v>3643.2715594909491</v>
      </c>
      <c r="AF17" s="48">
        <v>3632.5983114285145</v>
      </c>
      <c r="AG17" s="48">
        <v>3621.7871671207513</v>
      </c>
      <c r="AH17" s="48">
        <v>3610.9069732719067</v>
      </c>
      <c r="AI17" s="48">
        <v>3571.6327702287108</v>
      </c>
    </row>
    <row r="18" spans="1:35">
      <c r="A18" t="s">
        <v>25</v>
      </c>
      <c r="B18" s="19" t="s">
        <v>190</v>
      </c>
      <c r="C18" s="48">
        <v>4521.7136464075566</v>
      </c>
      <c r="D18" s="48">
        <v>4464.929999999993</v>
      </c>
      <c r="E18" s="48">
        <v>4407.3999999999942</v>
      </c>
      <c r="F18" s="48">
        <v>4349.8699999999953</v>
      </c>
      <c r="G18" s="48">
        <v>4292.3399999999965</v>
      </c>
      <c r="H18" s="48">
        <v>4234.8099999999977</v>
      </c>
      <c r="I18" s="48">
        <v>4177.2799999999988</v>
      </c>
      <c r="J18" s="48">
        <v>4119.75</v>
      </c>
      <c r="K18" s="48">
        <v>4062.2200000000012</v>
      </c>
      <c r="L18" s="48">
        <v>4004.6900000000023</v>
      </c>
      <c r="M18" s="48">
        <v>3947.1600000000035</v>
      </c>
      <c r="N18" s="48">
        <v>3889.6300000000047</v>
      </c>
      <c r="O18" s="48">
        <v>3831.3489065287845</v>
      </c>
      <c r="P18" s="48">
        <v>3812.1921619961404</v>
      </c>
      <c r="Q18" s="48">
        <v>3793.1312011861596</v>
      </c>
      <c r="R18" s="48">
        <v>3774.1655451802289</v>
      </c>
      <c r="S18" s="48">
        <v>3755.2947174543278</v>
      </c>
      <c r="T18" s="48">
        <v>3736.5182438670563</v>
      </c>
      <c r="U18" s="48">
        <v>3717.835652647721</v>
      </c>
      <c r="V18" s="48">
        <v>3699.2464743844826</v>
      </c>
      <c r="W18" s="48">
        <v>3680.7502420125602</v>
      </c>
      <c r="X18" s="48">
        <v>3662.3464908024976</v>
      </c>
      <c r="Y18" s="48">
        <v>3644.034758348485</v>
      </c>
      <c r="Z18" s="48">
        <v>3625.8145845567424</v>
      </c>
      <c r="AA18" s="48">
        <v>3607.6855116339589</v>
      </c>
      <c r="AB18" s="48">
        <v>3589.6470840757893</v>
      </c>
      <c r="AC18" s="48">
        <v>3571.6988486554105</v>
      </c>
      <c r="AD18" s="48">
        <v>3553.8403544121334</v>
      </c>
      <c r="AE18" s="48">
        <v>3536.0711526400728</v>
      </c>
      <c r="AF18" s="48">
        <v>3518.3907968768726</v>
      </c>
      <c r="AG18" s="48">
        <v>3500.7988428924882</v>
      </c>
      <c r="AH18" s="48">
        <v>3483.2948486780256</v>
      </c>
      <c r="AI18" s="48">
        <v>3465.8783744346356</v>
      </c>
    </row>
    <row r="19" spans="1:35">
      <c r="A19" s="19" t="s">
        <v>25</v>
      </c>
      <c r="B19" s="19" t="s">
        <v>191</v>
      </c>
      <c r="C19" s="48">
        <v>5870.2421185203657</v>
      </c>
      <c r="D19" s="48">
        <v>5822.5069999999978</v>
      </c>
      <c r="E19" s="48">
        <v>5775.0599999999977</v>
      </c>
      <c r="F19" s="48">
        <v>5727.6129999999976</v>
      </c>
      <c r="G19" s="48">
        <v>5680.1659999999974</v>
      </c>
      <c r="H19" s="48">
        <v>5632.7189999999973</v>
      </c>
      <c r="I19" s="48">
        <v>5585.2719999999972</v>
      </c>
      <c r="J19" s="48">
        <v>5537.8249999999971</v>
      </c>
      <c r="K19" s="48">
        <v>5490.377999999997</v>
      </c>
      <c r="L19" s="48">
        <v>5442.9309999999969</v>
      </c>
      <c r="M19" s="48">
        <v>5395.4839999999967</v>
      </c>
      <c r="N19" s="48">
        <v>5348.0369999999966</v>
      </c>
      <c r="O19" s="48">
        <v>5300.5899999999965</v>
      </c>
      <c r="P19" s="48">
        <v>5274.0870499999965</v>
      </c>
      <c r="Q19" s="48">
        <v>5247.7166147499966</v>
      </c>
      <c r="R19" s="48">
        <v>5221.4780316762462</v>
      </c>
      <c r="S19" s="48">
        <v>5195.3706415178649</v>
      </c>
      <c r="T19" s="48">
        <v>5169.3937883102753</v>
      </c>
      <c r="U19" s="48">
        <v>5143.5468193687238</v>
      </c>
      <c r="V19" s="48">
        <v>5117.8290852718801</v>
      </c>
      <c r="W19" s="48">
        <v>5092.2399398455209</v>
      </c>
      <c r="X19" s="48">
        <v>5066.7787401462929</v>
      </c>
      <c r="Y19" s="48">
        <v>5041.4448464455618</v>
      </c>
      <c r="Z19" s="48">
        <v>5016.2376222133344</v>
      </c>
      <c r="AA19" s="48">
        <v>4991.1564341022677</v>
      </c>
      <c r="AB19" s="48">
        <v>4966.2006519317565</v>
      </c>
      <c r="AC19" s="48">
        <v>4941.3696486720974</v>
      </c>
      <c r="AD19" s="48">
        <v>4916.6628004287368</v>
      </c>
      <c r="AE19" s="48">
        <v>4892.0794864265927</v>
      </c>
      <c r="AF19" s="48">
        <v>4867.6190889944601</v>
      </c>
      <c r="AG19" s="48">
        <v>4843.2809935494879</v>
      </c>
      <c r="AH19" s="48">
        <v>4819.0645885817403</v>
      </c>
      <c r="AI19" s="48">
        <v>4794.9692656388315</v>
      </c>
    </row>
    <row r="20" spans="1:35">
      <c r="A20" s="19" t="s">
        <v>25</v>
      </c>
      <c r="B20" s="19" t="s">
        <v>192</v>
      </c>
      <c r="C20" s="48">
        <v>14485.88194108075</v>
      </c>
      <c r="D20" s="48">
        <v>14087.107889999985</v>
      </c>
      <c r="E20" s="48">
        <v>13688.33891000005</v>
      </c>
      <c r="F20" s="48">
        <v>13289.569929999998</v>
      </c>
      <c r="G20" s="48">
        <v>12890.800949999946</v>
      </c>
      <c r="H20" s="48">
        <v>12492.031970000011</v>
      </c>
      <c r="I20" s="48">
        <v>12093.262989999959</v>
      </c>
      <c r="J20" s="48">
        <v>11694.494010000024</v>
      </c>
      <c r="K20" s="48">
        <v>11295.725029999972</v>
      </c>
      <c r="L20" s="48">
        <v>10896.956050000037</v>
      </c>
      <c r="M20" s="48">
        <v>10498.187069999985</v>
      </c>
      <c r="N20" s="48">
        <v>10099.41809000005</v>
      </c>
      <c r="O20" s="48">
        <v>9700.6491099999985</v>
      </c>
      <c r="P20" s="48">
        <v>9652.145864449998</v>
      </c>
      <c r="Q20" s="48">
        <v>9603.8851351277481</v>
      </c>
      <c r="R20" s="48">
        <v>9555.8657094521095</v>
      </c>
      <c r="S20" s="48">
        <v>9508.0863809048496</v>
      </c>
      <c r="T20" s="48">
        <v>9460.545949000325</v>
      </c>
      <c r="U20" s="48">
        <v>9413.2432192553242</v>
      </c>
      <c r="V20" s="48">
        <v>9366.1770031590477</v>
      </c>
      <c r="W20" s="48">
        <v>9319.3461181432522</v>
      </c>
      <c r="X20" s="48">
        <v>9272.7493875525361</v>
      </c>
      <c r="Y20" s="48">
        <v>9226.3856406147734</v>
      </c>
      <c r="Z20" s="48">
        <v>9180.2537124116989</v>
      </c>
      <c r="AA20" s="48">
        <v>9134.3524438496406</v>
      </c>
      <c r="AB20" s="48">
        <v>9088.6806816303924</v>
      </c>
      <c r="AC20" s="48">
        <v>9043.237278222241</v>
      </c>
      <c r="AD20" s="48">
        <v>8998.0210918311295</v>
      </c>
      <c r="AE20" s="48">
        <v>8953.030986371974</v>
      </c>
      <c r="AF20" s="48">
        <v>8908.2658314401142</v>
      </c>
      <c r="AG20" s="48">
        <v>8863.7245022829138</v>
      </c>
      <c r="AH20" s="48">
        <v>8819.4058797714988</v>
      </c>
      <c r="AI20" s="48">
        <v>8775.3088503726412</v>
      </c>
    </row>
    <row r="21" spans="1:35">
      <c r="A21" s="19" t="s">
        <v>25</v>
      </c>
      <c r="B21" s="19" t="s">
        <v>193</v>
      </c>
      <c r="C21" s="48">
        <v>32921.452729346624</v>
      </c>
      <c r="D21" s="48">
        <v>32243.629399999976</v>
      </c>
      <c r="E21" s="48">
        <v>31565.801600000123</v>
      </c>
      <c r="F21" s="48">
        <v>30887.973800000036</v>
      </c>
      <c r="G21" s="48">
        <v>30210.14599999995</v>
      </c>
      <c r="H21" s="48">
        <v>29532.318200000096</v>
      </c>
      <c r="I21" s="48">
        <v>28854.49040000001</v>
      </c>
      <c r="J21" s="48">
        <v>28176.662599999923</v>
      </c>
      <c r="K21" s="48">
        <v>27498.83480000007</v>
      </c>
      <c r="L21" s="48">
        <v>26821.006999999983</v>
      </c>
      <c r="M21" s="48">
        <v>26143.17920000013</v>
      </c>
      <c r="N21" s="48">
        <v>25465.351400000043</v>
      </c>
      <c r="O21" s="48">
        <v>24787.523599999957</v>
      </c>
      <c r="P21" s="48">
        <v>24663.585981999957</v>
      </c>
      <c r="Q21" s="48">
        <v>24540.268052089956</v>
      </c>
      <c r="R21" s="48">
        <v>24417.566711829506</v>
      </c>
      <c r="S21" s="48">
        <v>24295.478878270358</v>
      </c>
      <c r="T21" s="48">
        <v>24174.001483879005</v>
      </c>
      <c r="U21" s="48">
        <v>24053.13147645961</v>
      </c>
      <c r="V21" s="48">
        <v>23932.865819077313</v>
      </c>
      <c r="W21" s="48">
        <v>23813.201489981926</v>
      </c>
      <c r="X21" s="48">
        <v>23694.135482532016</v>
      </c>
      <c r="Y21" s="48">
        <v>23575.664805119355</v>
      </c>
      <c r="Z21" s="48">
        <v>23457.786481093757</v>
      </c>
      <c r="AA21" s="48">
        <v>23340.497548688287</v>
      </c>
      <c r="AB21" s="48">
        <v>23223.795060944845</v>
      </c>
      <c r="AC21" s="48">
        <v>23107.67608564012</v>
      </c>
      <c r="AD21" s="48">
        <v>22992.137705211921</v>
      </c>
      <c r="AE21" s="48">
        <v>22877.177016685862</v>
      </c>
      <c r="AF21" s="48">
        <v>22762.791131602433</v>
      </c>
      <c r="AG21" s="48">
        <v>22648.977175944419</v>
      </c>
      <c r="AH21" s="48">
        <v>22535.732290064698</v>
      </c>
      <c r="AI21" s="48">
        <v>22423.053628614372</v>
      </c>
    </row>
    <row r="22" spans="1:35">
      <c r="A22" s="19" t="s">
        <v>25</v>
      </c>
      <c r="B22" s="19" t="s">
        <v>194</v>
      </c>
      <c r="C22" s="48">
        <v>14485.88194108075</v>
      </c>
      <c r="D22" s="48">
        <v>14087.107889999985</v>
      </c>
      <c r="E22" s="48">
        <v>13688.33891000005</v>
      </c>
      <c r="F22" s="48">
        <v>13289.569929999998</v>
      </c>
      <c r="G22" s="48">
        <v>12890.800949999946</v>
      </c>
      <c r="H22" s="48">
        <v>12492.031970000011</v>
      </c>
      <c r="I22" s="48">
        <v>12093.262989999959</v>
      </c>
      <c r="J22" s="48">
        <v>11694.494010000024</v>
      </c>
      <c r="K22" s="48">
        <v>11295.725029999972</v>
      </c>
      <c r="L22" s="48">
        <v>10896.956050000037</v>
      </c>
      <c r="M22" s="48">
        <v>10498.187069999985</v>
      </c>
      <c r="N22" s="48">
        <v>10099.41809000005</v>
      </c>
      <c r="O22" s="48">
        <v>9700.6491099999985</v>
      </c>
      <c r="P22" s="48">
        <v>9652.145864449998</v>
      </c>
      <c r="Q22" s="48">
        <v>9603.8851351277481</v>
      </c>
      <c r="R22" s="48">
        <v>9555.8657094521095</v>
      </c>
      <c r="S22" s="48">
        <v>9508.0863809048496</v>
      </c>
      <c r="T22" s="48">
        <v>9460.545949000325</v>
      </c>
      <c r="U22" s="48">
        <v>9413.2432192553242</v>
      </c>
      <c r="V22" s="48">
        <v>9366.1770031590477</v>
      </c>
      <c r="W22" s="48">
        <v>9319.3461181432522</v>
      </c>
      <c r="X22" s="48">
        <v>9272.7493875525361</v>
      </c>
      <c r="Y22" s="48">
        <v>9226.3856406147734</v>
      </c>
      <c r="Z22" s="48">
        <v>9180.2537124116989</v>
      </c>
      <c r="AA22" s="48">
        <v>9134.3524438496406</v>
      </c>
      <c r="AB22" s="48">
        <v>9088.6806816303924</v>
      </c>
      <c r="AC22" s="48">
        <v>9043.237278222241</v>
      </c>
      <c r="AD22" s="48">
        <v>8998.0210918311295</v>
      </c>
      <c r="AE22" s="48">
        <v>8953.030986371974</v>
      </c>
      <c r="AF22" s="48">
        <v>8908.2658314401142</v>
      </c>
      <c r="AG22" s="48">
        <v>8863.7245022829138</v>
      </c>
      <c r="AH22" s="48">
        <v>8819.4058797714988</v>
      </c>
      <c r="AI22" s="48">
        <v>8775.3088503726412</v>
      </c>
    </row>
    <row r="23" spans="1:35">
      <c r="A23" s="19" t="s">
        <v>25</v>
      </c>
      <c r="B23" s="19" t="s">
        <v>195</v>
      </c>
      <c r="C23" s="48">
        <v>32921.452729346624</v>
      </c>
      <c r="D23" s="48">
        <v>32243.629399999976</v>
      </c>
      <c r="E23" s="48">
        <v>31565.801600000123</v>
      </c>
      <c r="F23" s="48">
        <v>30887.973800000036</v>
      </c>
      <c r="G23" s="48">
        <v>30210.14599999995</v>
      </c>
      <c r="H23" s="48">
        <v>29532.318200000096</v>
      </c>
      <c r="I23" s="48">
        <v>28854.49040000001</v>
      </c>
      <c r="J23" s="48">
        <v>28176.662599999923</v>
      </c>
      <c r="K23" s="48">
        <v>27498.83480000007</v>
      </c>
      <c r="L23" s="48">
        <v>26821.006999999983</v>
      </c>
      <c r="M23" s="48">
        <v>26143.17920000013</v>
      </c>
      <c r="N23" s="48">
        <v>25465.351400000043</v>
      </c>
      <c r="O23" s="48">
        <v>24787.523599999957</v>
      </c>
      <c r="P23" s="48">
        <v>24663.585981999957</v>
      </c>
      <c r="Q23" s="48">
        <v>24540.268052089956</v>
      </c>
      <c r="R23" s="48">
        <v>24417.566711829506</v>
      </c>
      <c r="S23" s="48">
        <v>24295.478878270358</v>
      </c>
      <c r="T23" s="48">
        <v>24174.001483879005</v>
      </c>
      <c r="U23" s="48">
        <v>24053.13147645961</v>
      </c>
      <c r="V23" s="48">
        <v>23932.865819077313</v>
      </c>
      <c r="W23" s="48">
        <v>23813.201489981926</v>
      </c>
      <c r="X23" s="48">
        <v>23694.135482532016</v>
      </c>
      <c r="Y23" s="48">
        <v>23575.664805119355</v>
      </c>
      <c r="Z23" s="48">
        <v>23457.786481093757</v>
      </c>
      <c r="AA23" s="48">
        <v>23340.497548688287</v>
      </c>
      <c r="AB23" s="48">
        <v>23223.795060944845</v>
      </c>
      <c r="AC23" s="48">
        <v>23107.67608564012</v>
      </c>
      <c r="AD23" s="48">
        <v>22992.137705211921</v>
      </c>
      <c r="AE23" s="48">
        <v>22877.177016685862</v>
      </c>
      <c r="AF23" s="48">
        <v>22762.791131602433</v>
      </c>
      <c r="AG23" s="48">
        <v>22648.977175944419</v>
      </c>
      <c r="AH23" s="48">
        <v>22535.732290064698</v>
      </c>
      <c r="AI23" s="48">
        <v>22423.053628614372</v>
      </c>
    </row>
    <row r="24" spans="1:35">
      <c r="A24" t="s">
        <v>27</v>
      </c>
      <c r="B24" s="19" t="s">
        <v>196</v>
      </c>
      <c r="C24" s="48">
        <v>943.24279651221218</v>
      </c>
      <c r="D24" s="48">
        <v>938.75347890012017</v>
      </c>
      <c r="E24" s="48">
        <v>934.26416128802805</v>
      </c>
      <c r="F24" s="48">
        <v>929.77484367593604</v>
      </c>
      <c r="G24" s="48">
        <v>925.28552606384403</v>
      </c>
      <c r="H24" s="48">
        <v>914.65254550496525</v>
      </c>
      <c r="I24" s="48">
        <v>898.212167755</v>
      </c>
      <c r="J24" s="48">
        <v>887.35661593723955</v>
      </c>
      <c r="K24" s="48">
        <v>880.80806079832564</v>
      </c>
      <c r="L24" s="48">
        <v>873.73983181515518</v>
      </c>
      <c r="M24" s="48">
        <v>869.12708229249927</v>
      </c>
      <c r="N24" s="48">
        <v>866.02139020167431</v>
      </c>
      <c r="O24" s="48">
        <v>861.70430634984416</v>
      </c>
      <c r="P24" s="48">
        <v>858.00479497845015</v>
      </c>
      <c r="Q24" s="48">
        <v>854.04722145937774</v>
      </c>
      <c r="R24" s="48">
        <v>849.53026494581479</v>
      </c>
      <c r="S24" s="48">
        <v>846.26524958194182</v>
      </c>
      <c r="T24" s="48">
        <v>843.91100661733117</v>
      </c>
      <c r="U24" s="48">
        <v>840.72723040147434</v>
      </c>
      <c r="V24" s="48">
        <v>838.77153198713347</v>
      </c>
      <c r="W24" s="48">
        <v>836.49839504526369</v>
      </c>
      <c r="X24" s="48">
        <v>833.57346511704259</v>
      </c>
      <c r="Y24" s="48">
        <v>830.48783720605184</v>
      </c>
      <c r="Z24" s="48">
        <v>828.85622714510964</v>
      </c>
      <c r="AA24" s="48">
        <v>826.08438507575295</v>
      </c>
      <c r="AB24" s="48">
        <v>823.88034996559247</v>
      </c>
      <c r="AC24" s="48">
        <v>821.63744815233747</v>
      </c>
      <c r="AD24" s="48">
        <v>819.85618858732028</v>
      </c>
      <c r="AE24" s="48">
        <v>816.57960448468248</v>
      </c>
      <c r="AF24" s="48">
        <v>814.38136126865243</v>
      </c>
      <c r="AG24" s="48">
        <v>812.1494980075729</v>
      </c>
      <c r="AH24" s="48">
        <v>809.90062966252947</v>
      </c>
      <c r="AI24" s="48">
        <v>800.6763014078399</v>
      </c>
    </row>
    <row r="25" spans="1:35" s="19" customFormat="1"/>
    <row r="26" spans="1:35" s="19" customFormat="1">
      <c r="A26" s="50" t="s">
        <v>131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</row>
    <row r="27" spans="1:35">
      <c r="A27" s="19"/>
      <c r="B27" s="19">
        <v>2018</v>
      </c>
      <c r="C27" s="48">
        <v>2019</v>
      </c>
      <c r="D27" s="48">
        <v>2020</v>
      </c>
      <c r="E27" s="48">
        <v>2021</v>
      </c>
      <c r="F27" s="48">
        <v>2022</v>
      </c>
      <c r="G27" s="48">
        <v>2023</v>
      </c>
      <c r="H27" s="48">
        <v>2024</v>
      </c>
      <c r="I27" s="48">
        <v>2025</v>
      </c>
      <c r="J27" s="48">
        <v>2026</v>
      </c>
      <c r="K27" s="48">
        <v>2027</v>
      </c>
      <c r="L27" s="48">
        <v>2028</v>
      </c>
      <c r="M27" s="48">
        <v>2029</v>
      </c>
      <c r="N27" s="48">
        <v>2030</v>
      </c>
      <c r="O27" s="48">
        <v>2031</v>
      </c>
      <c r="P27" s="48">
        <v>2032</v>
      </c>
      <c r="Q27" s="48">
        <v>2033</v>
      </c>
      <c r="R27" s="48">
        <v>2034</v>
      </c>
      <c r="S27" s="48">
        <v>2035</v>
      </c>
      <c r="T27" s="48">
        <v>2036</v>
      </c>
      <c r="U27" s="48">
        <v>2037</v>
      </c>
      <c r="V27" s="48">
        <v>2038</v>
      </c>
      <c r="W27" s="48">
        <v>2039</v>
      </c>
      <c r="X27" s="48">
        <v>2040</v>
      </c>
      <c r="Y27" s="48">
        <v>2041</v>
      </c>
      <c r="Z27" s="48">
        <v>2042</v>
      </c>
      <c r="AA27" s="48">
        <v>2043</v>
      </c>
      <c r="AB27" s="48">
        <v>2044</v>
      </c>
      <c r="AC27" s="48">
        <v>2045</v>
      </c>
      <c r="AD27" s="48">
        <v>2046</v>
      </c>
      <c r="AE27" s="48">
        <v>2047</v>
      </c>
      <c r="AF27" s="48">
        <v>2048</v>
      </c>
      <c r="AG27" s="48">
        <v>2049</v>
      </c>
      <c r="AH27" s="48">
        <v>2050</v>
      </c>
      <c r="AI27" s="48"/>
    </row>
    <row r="28" spans="1:35">
      <c r="A28" s="19" t="s">
        <v>10</v>
      </c>
      <c r="B28" s="19">
        <f t="shared" ref="B28:AH28" si="0">AVERAGEIF($A$3:$A$24,$A28,C$3:C$24)/AVERAGEIF($A$3:$A$24,$A28,$C$3:$C$24)</f>
        <v>1</v>
      </c>
      <c r="C28" s="48">
        <f t="shared" si="0"/>
        <v>0.99626305949073857</v>
      </c>
      <c r="D28" s="48">
        <f t="shared" si="0"/>
        <v>0.99252611898147713</v>
      </c>
      <c r="E28" s="48">
        <f t="shared" si="0"/>
        <v>0.98878917847221548</v>
      </c>
      <c r="F28" s="48">
        <f t="shared" si="0"/>
        <v>0.98505223796295394</v>
      </c>
      <c r="G28" s="48">
        <f t="shared" si="0"/>
        <v>0.9813152974536925</v>
      </c>
      <c r="H28" s="48">
        <f t="shared" si="0"/>
        <v>0.97757835694443107</v>
      </c>
      <c r="I28" s="48">
        <f t="shared" si="0"/>
        <v>0.97133833616272736</v>
      </c>
      <c r="J28" s="48">
        <f t="shared" si="0"/>
        <v>0.96707146949577605</v>
      </c>
      <c r="K28" s="48">
        <f t="shared" si="0"/>
        <v>0.96221156189730628</v>
      </c>
      <c r="L28" s="48">
        <f t="shared" si="0"/>
        <v>0.95781541929965308</v>
      </c>
      <c r="M28" s="48">
        <f t="shared" si="0"/>
        <v>0.95316204644247327</v>
      </c>
      <c r="N28" s="48">
        <f t="shared" si="0"/>
        <v>0.94754120961146748</v>
      </c>
      <c r="O28" s="48">
        <f t="shared" si="0"/>
        <v>0.94216692118939638</v>
      </c>
      <c r="P28" s="48">
        <f t="shared" si="0"/>
        <v>0.93647697421939835</v>
      </c>
      <c r="Q28" s="48">
        <f t="shared" si="0"/>
        <v>0.93064622987872991</v>
      </c>
      <c r="R28" s="48">
        <f t="shared" si="0"/>
        <v>0.92581768619723503</v>
      </c>
      <c r="S28" s="48">
        <f t="shared" si="0"/>
        <v>0.92071942950803953</v>
      </c>
      <c r="T28" s="48">
        <f t="shared" si="0"/>
        <v>0.91434168759047663</v>
      </c>
      <c r="U28" s="48">
        <f t="shared" si="0"/>
        <v>0.90930096195424448</v>
      </c>
      <c r="V28" s="48">
        <f t="shared" si="0"/>
        <v>0.90391425843077833</v>
      </c>
      <c r="W28" s="48">
        <f t="shared" si="0"/>
        <v>0.89782507040488202</v>
      </c>
      <c r="X28" s="48">
        <f t="shared" si="0"/>
        <v>0.8915671873208133</v>
      </c>
      <c r="Y28" s="48">
        <f t="shared" si="0"/>
        <v>0.88687037217144249</v>
      </c>
      <c r="Z28" s="48">
        <f t="shared" si="0"/>
        <v>0.88095244394297123</v>
      </c>
      <c r="AA28" s="48">
        <f t="shared" si="0"/>
        <v>0.87564080571215763</v>
      </c>
      <c r="AB28" s="48">
        <f t="shared" si="0"/>
        <v>0.87028708777797703</v>
      </c>
      <c r="AC28" s="48">
        <f t="shared" si="0"/>
        <v>0.86541959671835267</v>
      </c>
      <c r="AD28" s="48">
        <f t="shared" si="0"/>
        <v>0.85897494736919822</v>
      </c>
      <c r="AE28" s="48">
        <f t="shared" si="0"/>
        <v>0.85366746320410725</v>
      </c>
      <c r="AF28" s="48">
        <f t="shared" si="0"/>
        <v>0.84832360565221232</v>
      </c>
      <c r="AG28" s="48">
        <f t="shared" si="0"/>
        <v>0.84296106028309992</v>
      </c>
      <c r="AH28" s="48">
        <f t="shared" si="0"/>
        <v>0.83036380258658471</v>
      </c>
      <c r="AI28" s="48"/>
    </row>
    <row r="29" spans="1:35">
      <c r="A29" s="19" t="s">
        <v>24</v>
      </c>
      <c r="B29" s="19">
        <f t="shared" ref="B29:AH29" si="1">AVERAGEIF($A$3:$A$24,$A29,C$3:C$24)/AVERAGEIF($A$3:$A$24,$A29,$C$3:$C$24)</f>
        <v>1</v>
      </c>
      <c r="C29" s="48">
        <f t="shared" si="1"/>
        <v>0.98540070538069846</v>
      </c>
      <c r="D29" s="48">
        <f t="shared" si="1"/>
        <v>0.97080141076139714</v>
      </c>
      <c r="E29" s="48">
        <f t="shared" si="1"/>
        <v>0.95620211614209571</v>
      </c>
      <c r="F29" s="48">
        <f t="shared" si="1"/>
        <v>0.9416028215227944</v>
      </c>
      <c r="G29" s="48">
        <f t="shared" si="1"/>
        <v>0.92700352690349286</v>
      </c>
      <c r="H29" s="48">
        <f t="shared" si="1"/>
        <v>0.90563262657700694</v>
      </c>
      <c r="I29" s="48">
        <f t="shared" si="1"/>
        <v>0.89050403854328009</v>
      </c>
      <c r="J29" s="48">
        <f t="shared" si="1"/>
        <v>0.87990301662691273</v>
      </c>
      <c r="K29" s="48">
        <f t="shared" si="1"/>
        <v>0.86877764862691065</v>
      </c>
      <c r="L29" s="48">
        <f t="shared" si="1"/>
        <v>0.86027388691367002</v>
      </c>
      <c r="M29" s="48">
        <f t="shared" si="1"/>
        <v>0.85342197745070558</v>
      </c>
      <c r="N29" s="48">
        <f t="shared" si="1"/>
        <v>0.84533999871327881</v>
      </c>
      <c r="O29" s="48">
        <f t="shared" si="1"/>
        <v>0.8379053883196782</v>
      </c>
      <c r="P29" s="48">
        <f t="shared" si="1"/>
        <v>0.83022238092364276</v>
      </c>
      <c r="Q29" s="48">
        <f t="shared" si="1"/>
        <v>0.82194886795310707</v>
      </c>
      <c r="R29" s="48">
        <f t="shared" si="1"/>
        <v>0.81492541751005376</v>
      </c>
      <c r="S29" s="48">
        <f t="shared" si="1"/>
        <v>0.80891691691488421</v>
      </c>
      <c r="T29" s="48">
        <f t="shared" si="1"/>
        <v>0.80215947632048901</v>
      </c>
      <c r="U29" s="48">
        <f t="shared" si="1"/>
        <v>0.79657576515064754</v>
      </c>
      <c r="V29" s="48">
        <f t="shared" si="1"/>
        <v>0.79068826846375329</v>
      </c>
      <c r="W29" s="48">
        <f t="shared" si="1"/>
        <v>0.78418674377308184</v>
      </c>
      <c r="X29" s="48">
        <f t="shared" si="1"/>
        <v>0.77753983074145794</v>
      </c>
      <c r="Y29" s="48">
        <f t="shared" si="1"/>
        <v>0.77225435930192388</v>
      </c>
      <c r="Z29" s="48">
        <f t="shared" si="1"/>
        <v>0.76590508691962811</v>
      </c>
      <c r="AA29" s="48">
        <f t="shared" si="1"/>
        <v>0.76008332056593886</v>
      </c>
      <c r="AB29" s="48">
        <f t="shared" si="1"/>
        <v>0.75422446394449671</v>
      </c>
      <c r="AC29" s="48">
        <f t="shared" si="1"/>
        <v>0.74878619262527091</v>
      </c>
      <c r="AD29" s="48">
        <f t="shared" si="1"/>
        <v>0.74198382864871482</v>
      </c>
      <c r="AE29" s="48">
        <f t="shared" si="1"/>
        <v>0.73616465240515216</v>
      </c>
      <c r="AF29" s="48">
        <f t="shared" si="1"/>
        <v>0.73031383578873621</v>
      </c>
      <c r="AG29" s="48">
        <f t="shared" si="1"/>
        <v>0.7244466614463837</v>
      </c>
      <c r="AH29" s="48">
        <f t="shared" si="1"/>
        <v>0.71237225814533001</v>
      </c>
      <c r="AI29" s="48"/>
    </row>
    <row r="30" spans="1:35">
      <c r="A30" s="19" t="s">
        <v>11</v>
      </c>
      <c r="B30" s="19">
        <f t="shared" ref="B30:AH30" si="2">AVERAGEIF($A$3:$A$24,$A30,C$3:C$24)/AVERAGEIF($A$3:$A$24,$A30,$C$3:$C$24)</f>
        <v>1</v>
      </c>
      <c r="C30" s="48">
        <f t="shared" si="2"/>
        <v>0.99489482725799427</v>
      </c>
      <c r="D30" s="48">
        <f t="shared" si="2"/>
        <v>0.98978965451598855</v>
      </c>
      <c r="E30" s="48">
        <f t="shared" si="2"/>
        <v>0.98468448177398282</v>
      </c>
      <c r="F30" s="48">
        <f t="shared" si="2"/>
        <v>0.9795793090319771</v>
      </c>
      <c r="G30" s="48">
        <f t="shared" si="2"/>
        <v>0.97447413628997148</v>
      </c>
      <c r="H30" s="48">
        <f t="shared" si="2"/>
        <v>0.96936896354796576</v>
      </c>
      <c r="I30" s="48">
        <f t="shared" si="2"/>
        <v>0.96426379080596003</v>
      </c>
      <c r="J30" s="48">
        <f t="shared" si="2"/>
        <v>0.9591586180639543</v>
      </c>
      <c r="K30" s="48">
        <f t="shared" si="2"/>
        <v>0.95346337930589942</v>
      </c>
      <c r="L30" s="48">
        <f t="shared" si="2"/>
        <v>0.94822639582546508</v>
      </c>
      <c r="M30" s="48">
        <f t="shared" si="2"/>
        <v>0.94273297186665217</v>
      </c>
      <c r="N30" s="48">
        <f t="shared" si="2"/>
        <v>0.93628204266022252</v>
      </c>
      <c r="O30" s="48">
        <f t="shared" si="2"/>
        <v>0.93007470919810065</v>
      </c>
      <c r="P30" s="48">
        <f t="shared" si="2"/>
        <v>0.92355591048156982</v>
      </c>
      <c r="Q30" s="48">
        <f t="shared" si="2"/>
        <v>0.9168987718028091</v>
      </c>
      <c r="R30" s="48">
        <f t="shared" si="2"/>
        <v>0.91122869045493782</v>
      </c>
      <c r="S30" s="48">
        <f t="shared" si="2"/>
        <v>0.90529210724114006</v>
      </c>
      <c r="T30" s="48">
        <f t="shared" si="2"/>
        <v>0.89809804812899929</v>
      </c>
      <c r="U30" s="48">
        <f t="shared" si="2"/>
        <v>0.89221779369776066</v>
      </c>
      <c r="V30" s="48">
        <f t="shared" si="2"/>
        <v>0.88599740715394837</v>
      </c>
      <c r="W30" s="48">
        <f t="shared" si="2"/>
        <v>0.87908894500301737</v>
      </c>
      <c r="X30" s="48">
        <f t="shared" si="2"/>
        <v>0.87201684672227842</v>
      </c>
      <c r="Y30" s="48">
        <f t="shared" si="2"/>
        <v>0.8664715825511764</v>
      </c>
      <c r="Z30" s="48">
        <f t="shared" si="2"/>
        <v>0.85973288630605638</v>
      </c>
      <c r="AA30" s="48">
        <f t="shared" si="2"/>
        <v>0.85358619288010273</v>
      </c>
      <c r="AB30" s="48">
        <f t="shared" si="2"/>
        <v>0.84739810344895949</v>
      </c>
      <c r="AC30" s="48">
        <f t="shared" si="2"/>
        <v>0.8416827723040432</v>
      </c>
      <c r="AD30" s="48">
        <f t="shared" si="2"/>
        <v>0.83443388434459698</v>
      </c>
      <c r="AE30" s="48">
        <f t="shared" si="2"/>
        <v>0.82829055390778406</v>
      </c>
      <c r="AF30" s="48">
        <f t="shared" si="2"/>
        <v>0.82211155760901389</v>
      </c>
      <c r="AG30" s="48">
        <f t="shared" si="2"/>
        <v>0.81591432420984356</v>
      </c>
      <c r="AH30" s="48">
        <f t="shared" si="2"/>
        <v>0.802722720808</v>
      </c>
      <c r="AI30" s="48"/>
    </row>
    <row r="31" spans="1:35">
      <c r="A31" s="19" t="s">
        <v>12</v>
      </c>
      <c r="B31" s="19">
        <f t="shared" ref="B31:AH31" si="3">AVERAGEIF($A$3:$A$24,$A31,C$3:C$24)/AVERAGEIF($A$3:$A$24,$A31,$C$3:$C$24)</f>
        <v>1</v>
      </c>
      <c r="C31" s="48">
        <f t="shared" si="3"/>
        <v>1</v>
      </c>
      <c r="D31" s="48">
        <f t="shared" si="3"/>
        <v>1</v>
      </c>
      <c r="E31" s="48">
        <f t="shared" si="3"/>
        <v>1</v>
      </c>
      <c r="F31" s="48">
        <f t="shared" si="3"/>
        <v>1</v>
      </c>
      <c r="G31" s="48">
        <f t="shared" si="3"/>
        <v>1</v>
      </c>
      <c r="H31" s="48">
        <f t="shared" si="3"/>
        <v>1</v>
      </c>
      <c r="I31" s="48">
        <f t="shared" si="3"/>
        <v>1</v>
      </c>
      <c r="J31" s="48">
        <f t="shared" si="3"/>
        <v>1</v>
      </c>
      <c r="K31" s="48">
        <f t="shared" si="3"/>
        <v>1</v>
      </c>
      <c r="L31" s="48">
        <f t="shared" si="3"/>
        <v>1</v>
      </c>
      <c r="M31" s="48">
        <f t="shared" si="3"/>
        <v>1</v>
      </c>
      <c r="N31" s="48">
        <f t="shared" si="3"/>
        <v>1</v>
      </c>
      <c r="O31" s="48">
        <f t="shared" si="3"/>
        <v>1</v>
      </c>
      <c r="P31" s="48">
        <f t="shared" si="3"/>
        <v>1</v>
      </c>
      <c r="Q31" s="48">
        <f t="shared" si="3"/>
        <v>1</v>
      </c>
      <c r="R31" s="48">
        <f t="shared" si="3"/>
        <v>1</v>
      </c>
      <c r="S31" s="48">
        <f t="shared" si="3"/>
        <v>1</v>
      </c>
      <c r="T31" s="48">
        <f t="shared" si="3"/>
        <v>1</v>
      </c>
      <c r="U31" s="48">
        <f t="shared" si="3"/>
        <v>1</v>
      </c>
      <c r="V31" s="48">
        <f t="shared" si="3"/>
        <v>1</v>
      </c>
      <c r="W31" s="48">
        <f t="shared" si="3"/>
        <v>1</v>
      </c>
      <c r="X31" s="48">
        <f t="shared" si="3"/>
        <v>1</v>
      </c>
      <c r="Y31" s="48">
        <f t="shared" si="3"/>
        <v>1</v>
      </c>
      <c r="Z31" s="48">
        <f t="shared" si="3"/>
        <v>1</v>
      </c>
      <c r="AA31" s="48">
        <f t="shared" si="3"/>
        <v>1</v>
      </c>
      <c r="AB31" s="48">
        <f t="shared" si="3"/>
        <v>1</v>
      </c>
      <c r="AC31" s="48">
        <f t="shared" si="3"/>
        <v>1</v>
      </c>
      <c r="AD31" s="48">
        <f t="shared" si="3"/>
        <v>1</v>
      </c>
      <c r="AE31" s="48">
        <f t="shared" si="3"/>
        <v>1</v>
      </c>
      <c r="AF31" s="48">
        <f t="shared" si="3"/>
        <v>1</v>
      </c>
      <c r="AG31" s="48">
        <f t="shared" si="3"/>
        <v>1</v>
      </c>
      <c r="AH31" s="48">
        <f t="shared" si="3"/>
        <v>1</v>
      </c>
      <c r="AI31" s="48"/>
    </row>
    <row r="32" spans="1:35" s="19" customFormat="1">
      <c r="A32" s="19" t="s">
        <v>14</v>
      </c>
      <c r="B32" s="19">
        <f t="shared" ref="B32:AH32" si="4">AVERAGEIF($A$3:$A$24,$A32,C$3:C$24)/AVERAGEIF($A$3:$A$24,$A32,$C$3:$C$24)</f>
        <v>1</v>
      </c>
      <c r="C32" s="48">
        <f t="shared" si="4"/>
        <v>0.96730158730158722</v>
      </c>
      <c r="D32" s="48">
        <f t="shared" si="4"/>
        <v>0.93460317460317455</v>
      </c>
      <c r="E32" s="48">
        <f t="shared" si="4"/>
        <v>0.90190476190476188</v>
      </c>
      <c r="F32" s="48">
        <f t="shared" si="4"/>
        <v>0.91417735714285708</v>
      </c>
      <c r="G32" s="48">
        <f t="shared" si="4"/>
        <v>0.87368817857142844</v>
      </c>
      <c r="H32" s="48">
        <f t="shared" si="4"/>
        <v>0.82734514285714278</v>
      </c>
      <c r="I32" s="48">
        <f t="shared" si="4"/>
        <v>0.80490535714285705</v>
      </c>
      <c r="J32" s="48">
        <f t="shared" si="4"/>
        <v>0.77466042857142847</v>
      </c>
      <c r="K32" s="48">
        <f t="shared" si="4"/>
        <v>0.74441550000000001</v>
      </c>
      <c r="L32" s="48">
        <f t="shared" si="4"/>
        <v>0.72051224999999997</v>
      </c>
      <c r="M32" s="48">
        <f t="shared" si="4"/>
        <v>0.68490128571428566</v>
      </c>
      <c r="N32" s="48">
        <f t="shared" si="4"/>
        <v>0.65904675000000001</v>
      </c>
      <c r="O32" s="48">
        <f t="shared" si="4"/>
        <v>0.64392428571428573</v>
      </c>
      <c r="P32" s="48">
        <f t="shared" si="4"/>
        <v>0.63465567857142857</v>
      </c>
      <c r="Q32" s="48">
        <f t="shared" si="4"/>
        <v>0.62733835714285702</v>
      </c>
      <c r="R32" s="48">
        <f t="shared" si="4"/>
        <v>0.61026460714285702</v>
      </c>
      <c r="S32" s="48">
        <f t="shared" si="4"/>
        <v>0.60099599999999997</v>
      </c>
      <c r="T32" s="48">
        <f t="shared" si="4"/>
        <v>0.58880046428571431</v>
      </c>
      <c r="U32" s="48">
        <f t="shared" si="4"/>
        <v>0.58099532142857135</v>
      </c>
      <c r="V32" s="48">
        <f t="shared" si="4"/>
        <v>0.57611710714285702</v>
      </c>
      <c r="W32" s="48">
        <f t="shared" si="4"/>
        <v>0.57270235714285711</v>
      </c>
      <c r="X32" s="48">
        <f t="shared" si="4"/>
        <v>0.56636067857142858</v>
      </c>
      <c r="Y32" s="48">
        <f t="shared" si="4"/>
        <v>0.56294592857142856</v>
      </c>
      <c r="Z32" s="48">
        <f t="shared" si="4"/>
        <v>0.56050682142857133</v>
      </c>
      <c r="AA32" s="48">
        <f t="shared" si="4"/>
        <v>0.56001900000000004</v>
      </c>
      <c r="AB32" s="48">
        <f t="shared" si="4"/>
        <v>0.55806771428571422</v>
      </c>
      <c r="AC32" s="48">
        <f t="shared" si="4"/>
        <v>0.55660425000000002</v>
      </c>
      <c r="AD32" s="48">
        <f t="shared" si="4"/>
        <v>0.5551407857142856</v>
      </c>
      <c r="AE32" s="48">
        <f t="shared" si="4"/>
        <v>0.5541651428571428</v>
      </c>
      <c r="AF32" s="48">
        <f t="shared" si="4"/>
        <v>0.55221385714285709</v>
      </c>
      <c r="AG32" s="48">
        <f t="shared" si="4"/>
        <v>0.54977474999999998</v>
      </c>
      <c r="AH32" s="48">
        <f t="shared" si="4"/>
        <v>0.54684782142857136</v>
      </c>
      <c r="AI32" s="48"/>
    </row>
    <row r="33" spans="1:35">
      <c r="A33" s="19" t="s">
        <v>15</v>
      </c>
      <c r="B33" s="19">
        <f t="shared" ref="B33:AH33" si="5">AVERAGEIF($A$3:$A$24,$A33,C$3:C$24)/AVERAGEIF($A$3:$A$24,$A33,$C$3:$C$24)</f>
        <v>1</v>
      </c>
      <c r="C33" s="48">
        <f t="shared" si="5"/>
        <v>0.9981494452586116</v>
      </c>
      <c r="D33" s="48">
        <f t="shared" si="5"/>
        <v>0.99629889051722287</v>
      </c>
      <c r="E33" s="48">
        <f t="shared" si="5"/>
        <v>0.99444833577583458</v>
      </c>
      <c r="F33" s="48">
        <f t="shared" si="5"/>
        <v>0.99259778103444607</v>
      </c>
      <c r="G33" s="48">
        <f t="shared" si="5"/>
        <v>0.99074722629305767</v>
      </c>
      <c r="H33" s="48">
        <f t="shared" si="5"/>
        <v>0.98889667155166905</v>
      </c>
      <c r="I33" s="48">
        <f t="shared" si="5"/>
        <v>0.98465097893598519</v>
      </c>
      <c r="J33" s="48">
        <f t="shared" si="5"/>
        <v>0.98229891884543452</v>
      </c>
      <c r="K33" s="48">
        <f t="shared" si="5"/>
        <v>0.97938001880950887</v>
      </c>
      <c r="L33" s="48">
        <f t="shared" si="5"/>
        <v>0.97691085124973209</v>
      </c>
      <c r="M33" s="48">
        <f t="shared" si="5"/>
        <v>0.97419713819257725</v>
      </c>
      <c r="N33" s="48">
        <f t="shared" si="5"/>
        <v>0.97054947920647361</v>
      </c>
      <c r="O33" s="48">
        <f t="shared" si="5"/>
        <v>0.96714047393249292</v>
      </c>
      <c r="P33" s="48">
        <f t="shared" si="5"/>
        <v>0.96342490023200744</v>
      </c>
      <c r="Q33" s="48">
        <f t="shared" si="5"/>
        <v>0.95957131818204122</v>
      </c>
      <c r="R33" s="48">
        <f t="shared" si="5"/>
        <v>0.95669485785509567</v>
      </c>
      <c r="S33" s="48">
        <f t="shared" si="5"/>
        <v>0.95355726261645057</v>
      </c>
      <c r="T33" s="48">
        <f t="shared" si="5"/>
        <v>0.94916671031401367</v>
      </c>
      <c r="U33" s="48">
        <f t="shared" si="5"/>
        <v>0.94608604763578574</v>
      </c>
      <c r="V33" s="48">
        <f t="shared" si="5"/>
        <v>0.94266666229861662</v>
      </c>
      <c r="W33" s="48">
        <f t="shared" si="5"/>
        <v>0.93855446899890327</v>
      </c>
      <c r="X33" s="48">
        <f t="shared" si="5"/>
        <v>0.93427299398337527</v>
      </c>
      <c r="Y33" s="48">
        <f t="shared" si="5"/>
        <v>0.93153500847149184</v>
      </c>
      <c r="Z33" s="48">
        <f t="shared" si="5"/>
        <v>0.9275877690972063</v>
      </c>
      <c r="AA33" s="48">
        <f t="shared" si="5"/>
        <v>0.92424200811528401</v>
      </c>
      <c r="AB33" s="48">
        <f t="shared" si="5"/>
        <v>0.9208548617134874</v>
      </c>
      <c r="AC33" s="48">
        <f t="shared" si="5"/>
        <v>0.91795456766727879</v>
      </c>
      <c r="AD33" s="48">
        <f t="shared" si="5"/>
        <v>0.91347671052547907</v>
      </c>
      <c r="AE33" s="48">
        <f t="shared" si="5"/>
        <v>0.91013642560383978</v>
      </c>
      <c r="AF33" s="48">
        <f t="shared" si="5"/>
        <v>0.90676027534755321</v>
      </c>
      <c r="AG33" s="48">
        <f t="shared" si="5"/>
        <v>0.90336612134561334</v>
      </c>
      <c r="AH33" s="48">
        <f t="shared" si="5"/>
        <v>0.89265433162180896</v>
      </c>
      <c r="AI33" s="48"/>
    </row>
    <row r="34" spans="1:35">
      <c r="A34" s="19" t="s">
        <v>25</v>
      </c>
      <c r="B34" s="19">
        <f t="shared" ref="B34:AH34" si="6">AVERAGEIF($A$3:$A$24,$A34,C$3:C$24)/AVERAGEIF($A$3:$A$24,$A34,$C$3:$C$24)</f>
        <v>1</v>
      </c>
      <c r="C34" s="48">
        <f t="shared" si="6"/>
        <v>0.97854019627078914</v>
      </c>
      <c r="D34" s="48">
        <f t="shared" si="6"/>
        <v>0.9570760483834384</v>
      </c>
      <c r="E34" s="48">
        <f t="shared" si="6"/>
        <v>0.93561190049608134</v>
      </c>
      <c r="F34" s="48">
        <f t="shared" si="6"/>
        <v>0.91414775260872394</v>
      </c>
      <c r="G34" s="48">
        <f t="shared" si="6"/>
        <v>0.89268360472137331</v>
      </c>
      <c r="H34" s="48">
        <f t="shared" si="6"/>
        <v>0.87121945683401603</v>
      </c>
      <c r="I34" s="48">
        <f t="shared" si="6"/>
        <v>0.84975530894666096</v>
      </c>
      <c r="J34" s="48">
        <f t="shared" si="6"/>
        <v>0.82829116105930811</v>
      </c>
      <c r="K34" s="48">
        <f t="shared" si="6"/>
        <v>0.80682701317195304</v>
      </c>
      <c r="L34" s="48">
        <f t="shared" si="6"/>
        <v>0.7853628652846002</v>
      </c>
      <c r="M34" s="48">
        <f t="shared" si="6"/>
        <v>0.76389871739724513</v>
      </c>
      <c r="N34" s="48">
        <f t="shared" si="6"/>
        <v>0.74242743028770986</v>
      </c>
      <c r="O34" s="48">
        <f t="shared" si="6"/>
        <v>0.73871529313627127</v>
      </c>
      <c r="P34" s="48">
        <f t="shared" si="6"/>
        <v>0.73502171667058991</v>
      </c>
      <c r="Q34" s="48">
        <f t="shared" si="6"/>
        <v>0.73134660808723695</v>
      </c>
      <c r="R34" s="48">
        <f t="shared" si="6"/>
        <v>0.7276898750468006</v>
      </c>
      <c r="S34" s="48">
        <f t="shared" si="6"/>
        <v>0.72405142567156677</v>
      </c>
      <c r="T34" s="48">
        <f t="shared" si="6"/>
        <v>0.72043116854320899</v>
      </c>
      <c r="U34" s="48">
        <f t="shared" si="6"/>
        <v>0.71682901270049282</v>
      </c>
      <c r="V34" s="48">
        <f t="shared" si="6"/>
        <v>0.71324486763699035</v>
      </c>
      <c r="W34" s="48">
        <f t="shared" si="6"/>
        <v>0.70967864329880548</v>
      </c>
      <c r="X34" s="48">
        <f t="shared" si="6"/>
        <v>0.70613025008231145</v>
      </c>
      <c r="Y34" s="48">
        <f t="shared" si="6"/>
        <v>0.70259959883189982</v>
      </c>
      <c r="Z34" s="48">
        <f t="shared" si="6"/>
        <v>0.69908660083774021</v>
      </c>
      <c r="AA34" s="48">
        <f t="shared" si="6"/>
        <v>0.69559116783355168</v>
      </c>
      <c r="AB34" s="48">
        <f t="shared" si="6"/>
        <v>0.6921132119943838</v>
      </c>
      <c r="AC34" s="48">
        <f t="shared" si="6"/>
        <v>0.68865264593441189</v>
      </c>
      <c r="AD34" s="48">
        <f t="shared" si="6"/>
        <v>0.68520938270473986</v>
      </c>
      <c r="AE34" s="48">
        <f t="shared" si="6"/>
        <v>0.68178333579121619</v>
      </c>
      <c r="AF34" s="48">
        <f t="shared" si="6"/>
        <v>0.67837441911226015</v>
      </c>
      <c r="AG34" s="48">
        <f t="shared" si="6"/>
        <v>0.67498254701669869</v>
      </c>
      <c r="AH34" s="48">
        <f t="shared" si="6"/>
        <v>0.6716076342816153</v>
      </c>
      <c r="AI34" s="48"/>
    </row>
    <row r="35" spans="1:35">
      <c r="A35" s="19" t="s">
        <v>27</v>
      </c>
      <c r="B35" s="19">
        <f t="shared" ref="B35:AH35" si="7">AVERAGEIF($A$3:$A$24,$A35,C$3:C$24)/AVERAGEIF($A$3:$A$24,$A35,$C$3:$C$24)</f>
        <v>1</v>
      </c>
      <c r="C35" s="48">
        <f t="shared" si="7"/>
        <v>0.99524054927459615</v>
      </c>
      <c r="D35" s="48">
        <f t="shared" si="7"/>
        <v>0.9904810985491922</v>
      </c>
      <c r="E35" s="48">
        <f t="shared" si="7"/>
        <v>0.98572164782378835</v>
      </c>
      <c r="F35" s="48">
        <f t="shared" si="7"/>
        <v>0.9809621970983845</v>
      </c>
      <c r="G35" s="48">
        <f t="shared" si="7"/>
        <v>0.9696894043474662</v>
      </c>
      <c r="H35" s="48">
        <f t="shared" si="7"/>
        <v>0.95225976925164979</v>
      </c>
      <c r="I35" s="48">
        <f t="shared" si="7"/>
        <v>0.94075101259016181</v>
      </c>
      <c r="J35" s="48">
        <f t="shared" si="7"/>
        <v>0.93380841502871925</v>
      </c>
      <c r="K35" s="48">
        <f t="shared" si="7"/>
        <v>0.92631487358922315</v>
      </c>
      <c r="L35" s="48">
        <f t="shared" si="7"/>
        <v>0.92142456375625936</v>
      </c>
      <c r="M35" s="48">
        <f t="shared" si="7"/>
        <v>0.91813199465071338</v>
      </c>
      <c r="N35" s="48">
        <f t="shared" si="7"/>
        <v>0.91355514140805594</v>
      </c>
      <c r="O35" s="48">
        <f t="shared" si="7"/>
        <v>0.90963302147766956</v>
      </c>
      <c r="P35" s="48">
        <f t="shared" si="7"/>
        <v>0.90543731117518311</v>
      </c>
      <c r="Q35" s="48">
        <f t="shared" si="7"/>
        <v>0.90064855844866865</v>
      </c>
      <c r="R35" s="48">
        <f t="shared" si="7"/>
        <v>0.89718707920287333</v>
      </c>
      <c r="S35" s="48">
        <f t="shared" si="7"/>
        <v>0.8946911757373861</v>
      </c>
      <c r="T35" s="48">
        <f t="shared" si="7"/>
        <v>0.8913158239958946</v>
      </c>
      <c r="U35" s="48">
        <f t="shared" si="7"/>
        <v>0.88924244647149431</v>
      </c>
      <c r="V35" s="48">
        <f t="shared" si="7"/>
        <v>0.88683252937456547</v>
      </c>
      <c r="W35" s="48">
        <f t="shared" si="7"/>
        <v>0.88373159932873158</v>
      </c>
      <c r="X35" s="48">
        <f t="shared" si="7"/>
        <v>0.88046030171331346</v>
      </c>
      <c r="Y35" s="48">
        <f t="shared" si="7"/>
        <v>0.87873051372343924</v>
      </c>
      <c r="Z35" s="48">
        <f t="shared" si="7"/>
        <v>0.87579188320369816</v>
      </c>
      <c r="AA35" s="48">
        <f t="shared" si="7"/>
        <v>0.87345522596304892</v>
      </c>
      <c r="AB35" s="48">
        <f t="shared" si="7"/>
        <v>0.87107736331564944</v>
      </c>
      <c r="AC35" s="48">
        <f t="shared" si="7"/>
        <v>0.86918892104860679</v>
      </c>
      <c r="AD35" s="48">
        <f t="shared" si="7"/>
        <v>0.8657151769450171</v>
      </c>
      <c r="AE35" s="48">
        <f t="shared" si="7"/>
        <v>0.8633846601107954</v>
      </c>
      <c r="AF35" s="48">
        <f t="shared" si="7"/>
        <v>0.86101850023198978</v>
      </c>
      <c r="AG35" s="48">
        <f t="shared" si="7"/>
        <v>0.85863431203213403</v>
      </c>
      <c r="AH35" s="48">
        <f t="shared" si="7"/>
        <v>0.84885493360613595</v>
      </c>
      <c r="AI35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5A7E-5E0E-4784-8B7C-FF477F569C86}">
  <dimension ref="A1:C71"/>
  <sheetViews>
    <sheetView workbookViewId="0"/>
  </sheetViews>
  <sheetFormatPr defaultRowHeight="15"/>
  <cols>
    <col min="1" max="1" width="31.85546875" customWidth="1"/>
    <col min="2" max="2" width="27.7109375" customWidth="1"/>
  </cols>
  <sheetData>
    <row r="1" spans="1:3">
      <c r="A1" s="73" t="s">
        <v>0</v>
      </c>
      <c r="B1" s="74"/>
      <c r="C1" s="74"/>
    </row>
    <row r="2" spans="1:3">
      <c r="A2" s="48"/>
      <c r="B2" s="48"/>
      <c r="C2" s="48"/>
    </row>
    <row r="3" spans="1:3">
      <c r="A3" s="50" t="s">
        <v>202</v>
      </c>
      <c r="B3" s="50" t="s">
        <v>203</v>
      </c>
      <c r="C3" s="75" t="s">
        <v>204</v>
      </c>
    </row>
    <row r="4" spans="1:3">
      <c r="A4" s="48" t="s">
        <v>205</v>
      </c>
      <c r="B4" s="48" t="s">
        <v>206</v>
      </c>
      <c r="C4" s="76">
        <v>0.15</v>
      </c>
    </row>
    <row r="5" spans="1:3">
      <c r="A5" s="48" t="s">
        <v>205</v>
      </c>
      <c r="B5" s="48" t="s">
        <v>207</v>
      </c>
      <c r="C5" s="76">
        <v>0.37</v>
      </c>
    </row>
    <row r="6" spans="1:3">
      <c r="A6" s="48" t="s">
        <v>205</v>
      </c>
      <c r="B6" s="48" t="s">
        <v>208</v>
      </c>
      <c r="C6" s="76">
        <v>0.16</v>
      </c>
    </row>
    <row r="7" spans="1:3">
      <c r="A7" s="48" t="s">
        <v>209</v>
      </c>
      <c r="B7" s="48" t="s">
        <v>210</v>
      </c>
      <c r="C7" s="76">
        <v>0.04</v>
      </c>
    </row>
    <row r="8" spans="1:3">
      <c r="A8" s="48" t="s">
        <v>209</v>
      </c>
      <c r="B8" s="48" t="s">
        <v>211</v>
      </c>
      <c r="C8" s="76">
        <v>0.03</v>
      </c>
    </row>
    <row r="9" spans="1:3">
      <c r="A9" s="48" t="s">
        <v>209</v>
      </c>
      <c r="B9" s="48" t="s">
        <v>212</v>
      </c>
      <c r="C9" s="76">
        <v>0.03</v>
      </c>
    </row>
    <row r="10" spans="1:3">
      <c r="A10" s="48" t="s">
        <v>209</v>
      </c>
      <c r="B10" s="48" t="s">
        <v>213</v>
      </c>
      <c r="C10" s="76">
        <v>0.03</v>
      </c>
    </row>
    <row r="11" spans="1:3">
      <c r="A11" s="48" t="s">
        <v>209</v>
      </c>
      <c r="B11" s="48" t="s">
        <v>214</v>
      </c>
      <c r="C11" s="76">
        <v>0.08</v>
      </c>
    </row>
    <row r="12" spans="1:3">
      <c r="A12" s="48" t="s">
        <v>209</v>
      </c>
      <c r="B12" s="48" t="s">
        <v>215</v>
      </c>
      <c r="C12" s="76">
        <v>0.02</v>
      </c>
    </row>
    <row r="13" spans="1:3">
      <c r="A13" s="48" t="s">
        <v>209</v>
      </c>
      <c r="B13" s="48" t="s">
        <v>216</v>
      </c>
      <c r="C13" s="76">
        <v>0</v>
      </c>
    </row>
    <row r="14" spans="1:3">
      <c r="A14" s="48" t="s">
        <v>76</v>
      </c>
      <c r="B14" s="48" t="s">
        <v>217</v>
      </c>
      <c r="C14" s="76">
        <v>0.03</v>
      </c>
    </row>
    <row r="15" spans="1:3">
      <c r="A15" s="48" t="s">
        <v>76</v>
      </c>
      <c r="B15" s="48" t="s">
        <v>218</v>
      </c>
      <c r="C15" s="76">
        <v>0.06</v>
      </c>
    </row>
    <row r="16" spans="1:3">
      <c r="A16" s="48"/>
      <c r="B16" s="48"/>
      <c r="C16" s="48"/>
    </row>
    <row r="17" spans="1:3">
      <c r="A17" s="48"/>
      <c r="B17" s="48"/>
      <c r="C17" s="48"/>
    </row>
    <row r="18" spans="1:3">
      <c r="A18" s="1" t="s">
        <v>219</v>
      </c>
      <c r="B18" s="48"/>
      <c r="C18" s="48"/>
    </row>
    <row r="19" spans="1:3">
      <c r="A19" s="77">
        <f>SUM(C12:C15,C7:C10)</f>
        <v>0.24</v>
      </c>
      <c r="B19" s="48"/>
      <c r="C19" s="48"/>
    </row>
    <row r="20" spans="1:3">
      <c r="A20" s="48"/>
      <c r="B20" s="48"/>
      <c r="C20" s="48"/>
    </row>
    <row r="21" spans="1:3">
      <c r="A21" s="48"/>
      <c r="B21" s="48"/>
      <c r="C21" s="48"/>
    </row>
    <row r="22" spans="1:3">
      <c r="A22" s="73" t="s">
        <v>35</v>
      </c>
      <c r="B22" s="74"/>
      <c r="C22" s="74"/>
    </row>
    <row r="23" spans="1:3">
      <c r="A23" s="48"/>
      <c r="B23" s="48"/>
      <c r="C23" s="48"/>
    </row>
    <row r="24" spans="1:3">
      <c r="A24" s="1" t="s">
        <v>220</v>
      </c>
      <c r="B24" s="48"/>
      <c r="C24" s="48"/>
    </row>
    <row r="25" spans="1:3">
      <c r="A25" s="50" t="s">
        <v>203</v>
      </c>
      <c r="B25" s="75" t="s">
        <v>204</v>
      </c>
      <c r="C25" s="48"/>
    </row>
    <row r="26" spans="1:3">
      <c r="A26" s="48" t="s">
        <v>221</v>
      </c>
      <c r="B26" s="76">
        <v>0.31</v>
      </c>
      <c r="C26" s="48"/>
    </row>
    <row r="27" spans="1:3">
      <c r="A27" s="48" t="s">
        <v>213</v>
      </c>
      <c r="B27" s="76">
        <v>0.32</v>
      </c>
      <c r="C27" s="48"/>
    </row>
    <row r="28" spans="1:3">
      <c r="A28" s="48" t="s">
        <v>222</v>
      </c>
      <c r="B28" s="76">
        <v>0.28000000000000003</v>
      </c>
      <c r="C28" s="48"/>
    </row>
    <row r="29" spans="1:3">
      <c r="A29" s="48" t="s">
        <v>223</v>
      </c>
      <c r="B29" s="76">
        <v>0.02</v>
      </c>
      <c r="C29" s="48"/>
    </row>
    <row r="30" spans="1:3">
      <c r="A30" s="48" t="s">
        <v>215</v>
      </c>
      <c r="B30" s="76">
        <v>0.03</v>
      </c>
      <c r="C30" s="48"/>
    </row>
    <row r="31" spans="1:3">
      <c r="A31" s="48" t="s">
        <v>224</v>
      </c>
      <c r="B31" s="76">
        <v>0.04</v>
      </c>
      <c r="C31" s="48"/>
    </row>
    <row r="32" spans="1:3">
      <c r="A32" s="48" t="s">
        <v>225</v>
      </c>
      <c r="B32" s="76">
        <v>0.01</v>
      </c>
      <c r="C32" s="48"/>
    </row>
    <row r="33" spans="1:3">
      <c r="A33" s="48"/>
      <c r="B33" s="76"/>
      <c r="C33" s="48"/>
    </row>
    <row r="34" spans="1:3">
      <c r="A34" s="48" t="s">
        <v>226</v>
      </c>
      <c r="B34" s="76">
        <v>0.3</v>
      </c>
      <c r="C34" s="48"/>
    </row>
    <row r="35" spans="1:3">
      <c r="A35" s="48" t="s">
        <v>227</v>
      </c>
      <c r="B35" s="76">
        <v>0.7</v>
      </c>
      <c r="C35" s="48"/>
    </row>
    <row r="36" spans="1:3">
      <c r="A36" s="48"/>
      <c r="B36" s="76"/>
      <c r="C36" s="48"/>
    </row>
    <row r="37" spans="1:3">
      <c r="A37" s="1" t="s">
        <v>219</v>
      </c>
      <c r="B37" s="76"/>
      <c r="C37" s="48"/>
    </row>
    <row r="38" spans="1:3">
      <c r="A38" s="78">
        <f>B35*SUM(B29:B32,B27)</f>
        <v>0.29399999999999998</v>
      </c>
      <c r="B38" s="76" t="s">
        <v>228</v>
      </c>
      <c r="C38" s="48"/>
    </row>
    <row r="39" spans="1:3">
      <c r="A39" s="48"/>
      <c r="B39" s="76"/>
      <c r="C39" s="48"/>
    </row>
    <row r="40" spans="1:3">
      <c r="A40" s="48"/>
      <c r="B40" s="48"/>
      <c r="C40" s="48"/>
    </row>
    <row r="41" spans="1:3">
      <c r="A41" s="1" t="s">
        <v>229</v>
      </c>
      <c r="B41" s="48"/>
      <c r="C41" s="48"/>
    </row>
    <row r="42" spans="1:3">
      <c r="A42" s="50" t="s">
        <v>203</v>
      </c>
      <c r="B42" s="75" t="s">
        <v>204</v>
      </c>
      <c r="C42" s="48"/>
    </row>
    <row r="43" spans="1:3">
      <c r="A43" s="48" t="s">
        <v>221</v>
      </c>
      <c r="B43" s="76">
        <v>0.28000000000000003</v>
      </c>
      <c r="C43" s="48"/>
    </row>
    <row r="44" spans="1:3">
      <c r="A44" s="48" t="s">
        <v>213</v>
      </c>
      <c r="B44" s="76">
        <v>0.21</v>
      </c>
      <c r="C44" s="48"/>
    </row>
    <row r="45" spans="1:3">
      <c r="A45" s="48" t="s">
        <v>222</v>
      </c>
      <c r="B45" s="76">
        <v>0.43</v>
      </c>
      <c r="C45" s="48"/>
    </row>
    <row r="46" spans="1:3">
      <c r="A46" s="48" t="s">
        <v>223</v>
      </c>
      <c r="B46" s="76">
        <v>0.02</v>
      </c>
      <c r="C46" s="48"/>
    </row>
    <row r="47" spans="1:3">
      <c r="A47" s="48" t="s">
        <v>215</v>
      </c>
      <c r="B47" s="76">
        <v>0.02</v>
      </c>
      <c r="C47" s="48"/>
    </row>
    <row r="48" spans="1:3">
      <c r="A48" s="48" t="s">
        <v>224</v>
      </c>
      <c r="B48" s="76">
        <v>0.02</v>
      </c>
      <c r="C48" s="48"/>
    </row>
    <row r="49" spans="1:3">
      <c r="A49" s="48" t="s">
        <v>225</v>
      </c>
      <c r="B49" s="76">
        <v>0.02</v>
      </c>
      <c r="C49" s="48"/>
    </row>
    <row r="50" spans="1:3">
      <c r="A50" s="48"/>
      <c r="B50" s="48"/>
      <c r="C50" s="48"/>
    </row>
    <row r="51" spans="1:3">
      <c r="A51" s="48" t="s">
        <v>226</v>
      </c>
      <c r="B51" s="76">
        <v>0.3</v>
      </c>
      <c r="C51" s="48"/>
    </row>
    <row r="52" spans="1:3">
      <c r="A52" s="48" t="s">
        <v>227</v>
      </c>
      <c r="B52" s="76">
        <v>0.7</v>
      </c>
      <c r="C52" s="48"/>
    </row>
    <row r="53" spans="1:3">
      <c r="A53" s="48"/>
      <c r="B53" s="48"/>
      <c r="C53" s="48"/>
    </row>
    <row r="54" spans="1:3">
      <c r="A54" s="1" t="s">
        <v>219</v>
      </c>
      <c r="B54" s="76"/>
      <c r="C54" s="48"/>
    </row>
    <row r="55" spans="1:3">
      <c r="A55" s="78">
        <f>B52*SUM(B46:B49,B44)</f>
        <v>0.20299999999999999</v>
      </c>
      <c r="B55" s="76" t="s">
        <v>228</v>
      </c>
      <c r="C55" s="48"/>
    </row>
    <row r="56" spans="1:3">
      <c r="A56" s="48"/>
      <c r="B56" s="48"/>
      <c r="C56" s="48"/>
    </row>
    <row r="57" spans="1:3">
      <c r="A57" s="1" t="s">
        <v>230</v>
      </c>
      <c r="B57" s="48"/>
      <c r="C57" s="48"/>
    </row>
    <row r="58" spans="1:3">
      <c r="A58" s="77">
        <f>AVERAGE(A38,A55)</f>
        <v>0.2485</v>
      </c>
      <c r="B58" s="48"/>
      <c r="C58" s="48"/>
    </row>
    <row r="59" spans="1:3">
      <c r="A59" s="48"/>
      <c r="B59" s="48"/>
      <c r="C59" s="48"/>
    </row>
    <row r="60" spans="1:3">
      <c r="A60" s="48"/>
      <c r="B60" s="48"/>
      <c r="C60" s="48"/>
    </row>
    <row r="61" spans="1:3">
      <c r="A61" s="73" t="s">
        <v>231</v>
      </c>
      <c r="B61" s="73"/>
      <c r="C61" s="73"/>
    </row>
    <row r="62" spans="1:3">
      <c r="A62" s="48"/>
      <c r="B62" s="48"/>
      <c r="C62" s="48"/>
    </row>
    <row r="63" spans="1:3">
      <c r="A63" s="1" t="s">
        <v>232</v>
      </c>
      <c r="B63" s="12" t="s">
        <v>233</v>
      </c>
      <c r="C63" s="48"/>
    </row>
    <row r="64" spans="1:3">
      <c r="A64" s="48" t="s">
        <v>234</v>
      </c>
      <c r="B64" s="76">
        <v>0.63</v>
      </c>
      <c r="C64" s="48"/>
    </row>
    <row r="65" spans="1:3">
      <c r="A65" s="48" t="s">
        <v>235</v>
      </c>
      <c r="B65" s="76">
        <v>0.56000000000000005</v>
      </c>
      <c r="C65" s="48"/>
    </row>
    <row r="66" spans="1:3">
      <c r="A66" s="48" t="s">
        <v>236</v>
      </c>
      <c r="B66" s="76">
        <v>0.35</v>
      </c>
      <c r="C66" s="48"/>
    </row>
    <row r="67" spans="1:3">
      <c r="A67" s="48"/>
      <c r="B67" s="48"/>
      <c r="C67" s="48"/>
    </row>
    <row r="68" spans="1:3">
      <c r="A68" s="48" t="s">
        <v>237</v>
      </c>
      <c r="B68" s="48"/>
      <c r="C68" s="48"/>
    </row>
    <row r="69" spans="1:3">
      <c r="A69" s="48"/>
      <c r="B69" s="48"/>
      <c r="C69" s="48"/>
    </row>
    <row r="70" spans="1:3">
      <c r="A70" s="1" t="s">
        <v>219</v>
      </c>
      <c r="B70" s="48"/>
      <c r="C70" s="48"/>
    </row>
    <row r="71" spans="1:3">
      <c r="A71" s="79">
        <f>B66</f>
        <v>0.35</v>
      </c>
      <c r="B71" s="48"/>
      <c r="C71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7"/>
  <sheetViews>
    <sheetView workbookViewId="0"/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16</v>
      </c>
      <c r="B1" s="16" t="s">
        <v>47</v>
      </c>
      <c r="C1" s="16" t="s">
        <v>50</v>
      </c>
      <c r="D1" s="16" t="s">
        <v>48</v>
      </c>
    </row>
    <row r="2" spans="1:4">
      <c r="A2" t="s">
        <v>92</v>
      </c>
      <c r="B2" s="4">
        <f>('EIA Costs'!F2*1000)*(About!$A$81)</f>
        <v>30723.759999999998</v>
      </c>
      <c r="C2">
        <v>0</v>
      </c>
      <c r="D2" s="4">
        <f>'EIA Costs'!F3*1000*About!$A$85</f>
        <v>48554.86</v>
      </c>
    </row>
    <row r="3" spans="1:4">
      <c r="A3" t="s">
        <v>24</v>
      </c>
      <c r="B3" s="4">
        <f>('EIA Costs'!F4*1000)*(About!$A$83)</f>
        <v>10359.019</v>
      </c>
      <c r="C3">
        <v>0</v>
      </c>
      <c r="D3" s="4">
        <f>'EIA Costs'!F5*1000*About!$A$83</f>
        <v>12836.772000000001</v>
      </c>
    </row>
    <row r="4" spans="1:4">
      <c r="A4" t="s">
        <v>11</v>
      </c>
      <c r="B4" s="4">
        <f>('EIA Costs'!F8*1000)*(About!$A$85)</f>
        <v>108774.74</v>
      </c>
      <c r="C4" s="19">
        <v>0</v>
      </c>
      <c r="D4" s="4">
        <f>'EIA Costs'!F8*1000*About!$A$85</f>
        <v>108774.74</v>
      </c>
    </row>
    <row r="5" spans="1:4">
      <c r="A5" t="s">
        <v>12</v>
      </c>
      <c r="B5" s="4">
        <f>('EIA Costs'!F11*1000)*(About!$A$85)</f>
        <v>37383.74</v>
      </c>
      <c r="C5" s="19">
        <v>0</v>
      </c>
      <c r="D5" s="4">
        <f>'EIA Costs'!F11*1000*About!$A$85</f>
        <v>37383.74</v>
      </c>
    </row>
    <row r="6" spans="1:4">
      <c r="A6" t="s">
        <v>94</v>
      </c>
      <c r="B6" s="4">
        <f>'Start Year Wind and Solar'!C3*1000*About!$A$83</f>
        <v>39314.9</v>
      </c>
      <c r="C6" s="19">
        <v>0</v>
      </c>
      <c r="D6" s="4">
        <f>B6</f>
        <v>39314.9</v>
      </c>
    </row>
    <row r="7" spans="1:4">
      <c r="A7" t="s">
        <v>13</v>
      </c>
      <c r="B7" s="4">
        <f>'Start Year Wind and Solar'!C7*1000*About!$A$83</f>
        <v>14628.8</v>
      </c>
      <c r="C7" s="19">
        <v>0</v>
      </c>
      <c r="D7" s="4">
        <f>B7</f>
        <v>14628.8</v>
      </c>
    </row>
    <row r="8" spans="1:4">
      <c r="A8" t="s">
        <v>14</v>
      </c>
      <c r="B8" s="4">
        <f>('EIA Costs'!F14*1000)*(About!$A$85)</f>
        <v>76356.94</v>
      </c>
      <c r="C8" s="19">
        <v>0</v>
      </c>
      <c r="D8" s="4">
        <f>'EIA Costs'!F14*1000*About!$A$85</f>
        <v>76356.94</v>
      </c>
    </row>
    <row r="9" spans="1:4">
      <c r="A9" t="s">
        <v>15</v>
      </c>
      <c r="B9" s="4">
        <f>('EIA Costs'!F9*1000)*(About!$A$85)</f>
        <v>112420.62</v>
      </c>
      <c r="C9" s="19">
        <v>0</v>
      </c>
      <c r="D9" s="4">
        <f>'EIA Costs'!F9*1000*About!$A$85</f>
        <v>112420.62</v>
      </c>
    </row>
    <row r="10" spans="1:4">
      <c r="A10" t="s">
        <v>25</v>
      </c>
      <c r="B10" s="4">
        <f>('EIA Costs'!F10*1000)*(About!$A$85)</f>
        <v>101734.42</v>
      </c>
      <c r="C10" s="19">
        <v>0</v>
      </c>
      <c r="D10" s="4">
        <f>'EIA Costs'!F10*1000*About!$A$85</f>
        <v>101734.42</v>
      </c>
    </row>
    <row r="11" spans="1:4">
      <c r="A11" t="s">
        <v>26</v>
      </c>
      <c r="B11" s="4">
        <f>(B12)*(About!$A$85)</f>
        <v>14803.376442000002</v>
      </c>
      <c r="C11" s="19">
        <v>0</v>
      </c>
      <c r="D11" s="4">
        <f>D12</f>
        <v>6259.06</v>
      </c>
    </row>
    <row r="12" spans="1:4">
      <c r="A12" t="s">
        <v>27</v>
      </c>
      <c r="B12" s="4">
        <f>('EIA Costs'!F6*1000)*(About!$A$83)</f>
        <v>16484.829000000002</v>
      </c>
      <c r="C12" s="19">
        <v>0</v>
      </c>
      <c r="D12" s="4">
        <f>'EIA Costs'!F7*1000*About!$A$85</f>
        <v>6259.06</v>
      </c>
    </row>
    <row r="13" spans="1:4">
      <c r="A13" t="s">
        <v>104</v>
      </c>
      <c r="B13" s="4">
        <f>B2*'Coal Cost Multipliers'!$B$35</f>
        <v>30723.759999999998</v>
      </c>
      <c r="C13" s="4">
        <f>C2*'Coal Cost Multipliers'!$B$35</f>
        <v>0</v>
      </c>
      <c r="D13" s="4">
        <f>D2*'Coal Cost Multipliers'!$B$35</f>
        <v>48554.86</v>
      </c>
    </row>
    <row r="14" spans="1:4">
      <c r="A14" t="s">
        <v>93</v>
      </c>
      <c r="B14" s="4">
        <f>'Start Year Wind and Solar'!C11*1000*About!A83</f>
        <v>104391.09636871508</v>
      </c>
      <c r="C14">
        <v>0</v>
      </c>
      <c r="D14" s="4">
        <f>B14</f>
        <v>104391.09636871508</v>
      </c>
    </row>
    <row r="15" spans="1:4">
      <c r="A15" t="s">
        <v>115</v>
      </c>
      <c r="B15" s="4">
        <f>B11</f>
        <v>14803.376442000002</v>
      </c>
      <c r="C15" s="19">
        <v>0</v>
      </c>
      <c r="D15" s="4">
        <f>D11</f>
        <v>6259.06</v>
      </c>
    </row>
    <row r="16" spans="1:4">
      <c r="A16" t="s">
        <v>116</v>
      </c>
      <c r="B16" s="4">
        <f>B11</f>
        <v>14803.376442000002</v>
      </c>
      <c r="C16" s="19">
        <v>0</v>
      </c>
      <c r="D16" s="4">
        <f>D11</f>
        <v>6259.06</v>
      </c>
    </row>
    <row r="17" spans="1:4">
      <c r="A17" t="s">
        <v>117</v>
      </c>
      <c r="B17" s="4">
        <f>('EIA Costs'!F16*1000)*(About!$A$85)</f>
        <v>17977.96</v>
      </c>
      <c r="C17" s="19">
        <v>0</v>
      </c>
      <c r="D17" s="4">
        <f>'EIA Costs'!F16*1000*About!$A$85</f>
        <v>17977.96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17"/>
  <sheetViews>
    <sheetView workbookViewId="0"/>
  </sheetViews>
  <sheetFormatPr defaultColWidth="9.140625" defaultRowHeight="15"/>
  <cols>
    <col min="1" max="1" width="33.28515625" style="19" customWidth="1"/>
    <col min="2" max="4" width="24" style="19" customWidth="1"/>
    <col min="5" max="16384" width="9.140625" style="19"/>
  </cols>
  <sheetData>
    <row r="1" spans="1:4">
      <c r="A1" s="5" t="s">
        <v>17</v>
      </c>
      <c r="B1" s="16" t="s">
        <v>47</v>
      </c>
      <c r="C1" s="16" t="s">
        <v>50</v>
      </c>
      <c r="D1" s="16" t="s">
        <v>48</v>
      </c>
    </row>
    <row r="2" spans="1:4">
      <c r="A2" s="19" t="s">
        <v>10</v>
      </c>
      <c r="B2" s="15">
        <f>'EIA Costs'!E2*About!$A$81</f>
        <v>4.4074200000000001</v>
      </c>
      <c r="C2" s="19">
        <v>0</v>
      </c>
      <c r="D2" s="15">
        <f>'EIA Costs'!E3*About!$A$85</f>
        <v>6.3308999999999997</v>
      </c>
    </row>
    <row r="3" spans="1:4">
      <c r="A3" s="19" t="s">
        <v>24</v>
      </c>
      <c r="B3" s="15">
        <f>'EIA Costs'!E4*About!$A$83</f>
        <v>3.3006229999999999</v>
      </c>
      <c r="C3" s="19">
        <v>0</v>
      </c>
      <c r="D3" s="15">
        <f>'EIA Costs'!E5*About!$A$83</f>
        <v>2.3223220000000002</v>
      </c>
    </row>
    <row r="4" spans="1:4">
      <c r="A4" s="19" t="s">
        <v>11</v>
      </c>
      <c r="B4" s="15">
        <f>'EIA Costs'!E8*About!$A$85</f>
        <v>2.1192799999999998</v>
      </c>
      <c r="C4" s="19">
        <v>0</v>
      </c>
      <c r="D4" s="15">
        <f>'EIA Costs'!E8*About!$A$85</f>
        <v>2.1192799999999998</v>
      </c>
    </row>
    <row r="5" spans="1:4">
      <c r="A5" s="19" t="s">
        <v>12</v>
      </c>
      <c r="B5" s="15">
        <f>'EIA Costs'!E11*About!$A$85</f>
        <v>1.2482199999999999</v>
      </c>
      <c r="C5" s="19">
        <v>0</v>
      </c>
      <c r="D5" s="15">
        <f>'EIA Costs'!E11*About!$A$85</f>
        <v>1.2482199999999999</v>
      </c>
    </row>
    <row r="6" spans="1:4">
      <c r="A6" s="19" t="s">
        <v>94</v>
      </c>
      <c r="B6" s="4">
        <f>'Start Year Wind and Solar'!D3</f>
        <v>0</v>
      </c>
      <c r="C6" s="19">
        <v>0</v>
      </c>
      <c r="D6" s="4">
        <f>B6</f>
        <v>0</v>
      </c>
    </row>
    <row r="7" spans="1:4">
      <c r="A7" s="19" t="s">
        <v>13</v>
      </c>
      <c r="B7" s="4">
        <f>'Start Year Wind and Solar'!D7</f>
        <v>0</v>
      </c>
      <c r="C7" s="19">
        <v>0</v>
      </c>
      <c r="D7" s="4">
        <f>B7</f>
        <v>0</v>
      </c>
    </row>
    <row r="8" spans="1:4">
      <c r="A8" s="19" t="s">
        <v>14</v>
      </c>
      <c r="B8" s="4">
        <f>'EIA Costs'!E14*About!$A$83</f>
        <v>0</v>
      </c>
      <c r="C8" s="19">
        <v>0</v>
      </c>
      <c r="D8" s="4">
        <f>'EIA Costs'!E14*About!$A$83</f>
        <v>0</v>
      </c>
    </row>
    <row r="9" spans="1:4">
      <c r="A9" s="19" t="s">
        <v>15</v>
      </c>
      <c r="B9" s="15">
        <f>'EIA Costs'!E9*About!$A$85</f>
        <v>4.3193799999999998</v>
      </c>
      <c r="C9" s="19">
        <v>0</v>
      </c>
      <c r="D9" s="15">
        <f>'EIA Costs'!E9*About!$A$85</f>
        <v>4.3193799999999998</v>
      </c>
    </row>
    <row r="10" spans="1:4">
      <c r="A10" s="19" t="s">
        <v>25</v>
      </c>
      <c r="B10" s="4">
        <f>'EIA Costs'!E10*About!$A$83</f>
        <v>1.0605879999999999</v>
      </c>
      <c r="C10" s="19">
        <v>0</v>
      </c>
      <c r="D10" s="4">
        <f>'EIA Costs'!E10*About!$A$83</f>
        <v>1.0605879999999999</v>
      </c>
    </row>
    <row r="11" spans="1:4">
      <c r="A11" s="19" t="s">
        <v>26</v>
      </c>
      <c r="B11" s="15">
        <f>B12</f>
        <v>3.3006229999999999</v>
      </c>
      <c r="C11" s="19">
        <v>0</v>
      </c>
      <c r="D11" s="15">
        <f>D12</f>
        <v>4.0960640000000001</v>
      </c>
    </row>
    <row r="12" spans="1:4">
      <c r="A12" s="19" t="s">
        <v>27</v>
      </c>
      <c r="B12" s="15">
        <f>'EIA Costs'!E6*About!$A$83</f>
        <v>3.3006229999999999</v>
      </c>
      <c r="C12" s="19">
        <v>0</v>
      </c>
      <c r="D12" s="15">
        <f>'EIA Costs'!E7*About!$A$83</f>
        <v>4.0960640000000001</v>
      </c>
    </row>
    <row r="13" spans="1:4">
      <c r="A13" s="19" t="s">
        <v>104</v>
      </c>
      <c r="B13" s="15">
        <f>B2*'Coal Cost Multipliers'!$B$34</f>
        <v>7.4666880000000004</v>
      </c>
      <c r="C13" s="4">
        <f>C2*'Coal Cost Multipliers'!$B$34</f>
        <v>0</v>
      </c>
      <c r="D13" s="15">
        <f>D2*'Coal Cost Multipliers'!$B$34</f>
        <v>10.725289411764706</v>
      </c>
    </row>
    <row r="14" spans="1:4">
      <c r="A14" s="19" t="s">
        <v>93</v>
      </c>
      <c r="B14" s="19">
        <f>'Start Year Wind and Solar'!D11</f>
        <v>0</v>
      </c>
      <c r="C14" s="19">
        <v>0</v>
      </c>
      <c r="D14" s="19">
        <f>B14</f>
        <v>0</v>
      </c>
    </row>
    <row r="15" spans="1:4">
      <c r="A15" s="19" t="s">
        <v>115</v>
      </c>
      <c r="B15" s="15">
        <f>B11</f>
        <v>3.3006229999999999</v>
      </c>
      <c r="C15" s="19">
        <v>0</v>
      </c>
      <c r="D15" s="15">
        <f>D11</f>
        <v>4.0960640000000001</v>
      </c>
    </row>
    <row r="16" spans="1:4">
      <c r="A16" s="19" t="s">
        <v>116</v>
      </c>
      <c r="B16" s="15">
        <f>B11</f>
        <v>3.3006229999999999</v>
      </c>
      <c r="C16" s="19">
        <v>0</v>
      </c>
      <c r="D16" s="15">
        <f>D11</f>
        <v>4.0960640000000001</v>
      </c>
    </row>
    <row r="17" spans="1:4">
      <c r="A17" s="19" t="s">
        <v>117</v>
      </c>
      <c r="B17" s="15">
        <f>'EIA Costs'!E16*About!$A$85</f>
        <v>5.5406599999999999</v>
      </c>
      <c r="C17" s="19">
        <v>0</v>
      </c>
      <c r="D17" s="15">
        <f>'EIA Costs'!E16*About!$A$85</f>
        <v>5.5406599999999999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A97A-5393-41EE-9CB8-F8916F6DA0CB}">
  <sheetPr>
    <tabColor theme="3"/>
  </sheetPr>
  <dimension ref="A1:AG17"/>
  <sheetViews>
    <sheetView workbookViewId="0"/>
  </sheetViews>
  <sheetFormatPr defaultRowHeight="15"/>
  <cols>
    <col min="1" max="1" width="28.140625" style="48" customWidth="1"/>
    <col min="2" max="17" width="9.140625" style="48" customWidth="1"/>
    <col min="18" max="16384" width="9.140625" style="48"/>
  </cols>
  <sheetData>
    <row r="1" spans="1:33">
      <c r="A1" s="82" t="s">
        <v>279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81" t="s">
        <v>269</v>
      </c>
      <c r="B2" s="4">
        <f>'EIA Costs'!$D$3*INDEX('Cost Improvement'!$B$28:$AI$35,MATCH("coal",'Cost Improvement'!$A$28:$A$35,0),MATCH('CCaMC-BCCpUC'!B$1,'Cost Improvement'!$B$27:$AI$27,0))*1000*About!$A$81</f>
        <v>4569731.1322124023</v>
      </c>
      <c r="C2" s="4">
        <f>'EIA Costs'!$D$3*INDEX('Cost Improvement'!$B$28:$AI$35,MATCH("coal",'Cost Improvement'!$A$28:$A$35,0),MATCH('CCaMC-BCCpUC'!C$1,'Cost Improvement'!$B$27:$AI$27,0))*1000*About!$A$81</f>
        <v>4552590.2644248065</v>
      </c>
      <c r="D2" s="4">
        <f>'EIA Costs'!$D$3*INDEX('Cost Improvement'!$B$28:$AI$35,MATCH("coal",'Cost Improvement'!$A$28:$A$35,0),MATCH('CCaMC-BCCpUC'!D$1,'Cost Improvement'!$B$27:$AI$27,0))*1000*About!$A$81</f>
        <v>4535449.3966372078</v>
      </c>
      <c r="E2" s="4">
        <f>'EIA Costs'!$D$3*INDEX('Cost Improvement'!$B$28:$AI$35,MATCH("coal",'Cost Improvement'!$A$28:$A$35,0),MATCH('CCaMC-BCCpUC'!E$1,'Cost Improvement'!$B$27:$AI$27,0))*1000*About!$A$81</f>
        <v>4518308.5288496101</v>
      </c>
      <c r="F2" s="4">
        <f>'EIA Costs'!$D$3*INDEX('Cost Improvement'!$B$28:$AI$35,MATCH("coal",'Cost Improvement'!$A$28:$A$35,0),MATCH('CCaMC-BCCpUC'!F$1,'Cost Improvement'!$B$27:$AI$27,0))*1000*About!$A$81</f>
        <v>4501167.6610620134</v>
      </c>
      <c r="G2" s="4">
        <f>'EIA Costs'!$D$3*INDEX('Cost Improvement'!$B$28:$AI$35,MATCH("coal",'Cost Improvement'!$A$28:$A$35,0),MATCH('CCaMC-BCCpUC'!G$1,'Cost Improvement'!$B$27:$AI$27,0))*1000*About!$A$81</f>
        <v>4484026.7932744157</v>
      </c>
      <c r="H2" s="4">
        <f>'EIA Costs'!$D$3*INDEX('Cost Improvement'!$B$28:$AI$35,MATCH("coal",'Cost Improvement'!$A$28:$A$35,0),MATCH('CCaMC-BCCpUC'!H$1,'Cost Improvement'!$B$27:$AI$27,0))*1000*About!$A$81</f>
        <v>4455404.616671402</v>
      </c>
      <c r="I2" s="4">
        <f>'EIA Costs'!$D$3*INDEX('Cost Improvement'!$B$28:$AI$35,MATCH("coal",'Cost Improvement'!$A$28:$A$35,0),MATCH('CCaMC-BCCpUC'!I$1,'Cost Improvement'!$B$27:$AI$27,0))*1000*About!$A$81</f>
        <v>4435833.0454290295</v>
      </c>
      <c r="J2" s="4">
        <f>'EIA Costs'!$D$3*INDEX('Cost Improvement'!$B$28:$AI$35,MATCH("coal",'Cost Improvement'!$A$28:$A$35,0),MATCH('CCaMC-BCCpUC'!J$1,'Cost Improvement'!$B$27:$AI$27,0))*1000*About!$A$81</f>
        <v>4413541.2713430207</v>
      </c>
      <c r="K2" s="4">
        <f>'EIA Costs'!$D$3*INDEX('Cost Improvement'!$B$28:$AI$35,MATCH("coal",'Cost Improvement'!$A$28:$A$35,0),MATCH('CCaMC-BCCpUC'!K$1,'Cost Improvement'!$B$27:$AI$27,0))*1000*About!$A$81</f>
        <v>4393376.7279538382</v>
      </c>
      <c r="L2" s="4">
        <f>'EIA Costs'!$D$3*INDEX('Cost Improvement'!$B$28:$AI$35,MATCH("coal",'Cost Improvement'!$A$28:$A$35,0),MATCH('CCaMC-BCCpUC'!L$1,'Cost Improvement'!$B$27:$AI$27,0))*1000*About!$A$81</f>
        <v>4372032.3022896806</v>
      </c>
      <c r="M2" s="4">
        <f>'EIA Costs'!$D$3*INDEX('Cost Improvement'!$B$28:$AI$35,MATCH("coal",'Cost Improvement'!$A$28:$A$35,0),MATCH('CCaMC-BCCpUC'!M$1,'Cost Improvement'!$B$27:$AI$27,0))*1000*About!$A$81</f>
        <v>4346250.2432129709</v>
      </c>
      <c r="N2" s="4">
        <f>'EIA Costs'!$D$3*INDEX('Cost Improvement'!$B$28:$AI$35,MATCH("coal",'Cost Improvement'!$A$28:$A$35,0),MATCH('CCaMC-BCCpUC'!N$1,'Cost Improvement'!$B$27:$AI$27,0))*1000*About!$A$81</f>
        <v>4321599.070129849</v>
      </c>
      <c r="O2" s="4">
        <f>'EIA Costs'!$D$3*INDEX('Cost Improvement'!$B$28:$AI$35,MATCH("coal",'Cost Improvement'!$A$28:$A$35,0),MATCH('CCaMC-BCCpUC'!O$1,'Cost Improvement'!$B$27:$AI$27,0))*1000*About!$A$81</f>
        <v>4295500.0116916802</v>
      </c>
      <c r="P2" s="4">
        <f>'EIA Costs'!$D$3*INDEX('Cost Improvement'!$B$28:$AI$35,MATCH("coal",'Cost Improvement'!$A$28:$A$35,0),MATCH('CCaMC-BCCpUC'!P$1,'Cost Improvement'!$B$27:$AI$27,0))*1000*About!$A$81</f>
        <v>4268755.1337363096</v>
      </c>
      <c r="Q2" s="4">
        <f>'EIA Costs'!$D$3*INDEX('Cost Improvement'!$B$28:$AI$35,MATCH("coal",'Cost Improvement'!$A$28:$A$35,0),MATCH('CCaMC-BCCpUC'!Q$1,'Cost Improvement'!$B$27:$AI$27,0))*1000*About!$A$81</f>
        <v>4246607.2219228838</v>
      </c>
      <c r="R2" s="4">
        <f>'EIA Costs'!$D$3*INDEX('Cost Improvement'!$B$28:$AI$35,MATCH("coal",'Cost Improvement'!$A$28:$A$35,0),MATCH('CCaMC-BCCpUC'!R$1,'Cost Improvement'!$B$27:$AI$27,0))*1000*About!$A$81</f>
        <v>4223222.1710664006</v>
      </c>
      <c r="S2" s="4">
        <f>'EIA Costs'!$D$3*INDEX('Cost Improvement'!$B$28:$AI$35,MATCH("coal",'Cost Improvement'!$A$28:$A$35,0),MATCH('CCaMC-BCCpUC'!S$1,'Cost Improvement'!$B$27:$AI$27,0))*1000*About!$A$81</f>
        <v>4193968.2852415047</v>
      </c>
      <c r="T2" s="4">
        <f>'EIA Costs'!$D$3*INDEX('Cost Improvement'!$B$28:$AI$35,MATCH("coal",'Cost Improvement'!$A$28:$A$35,0),MATCH('CCaMC-BCCpUC'!T$1,'Cost Improvement'!$B$27:$AI$27,0))*1000*About!$A$81</f>
        <v>4170847.1219609892</v>
      </c>
      <c r="U2" s="4">
        <f>'EIA Costs'!$D$3*INDEX('Cost Improvement'!$B$28:$AI$35,MATCH("coal",'Cost Improvement'!$A$28:$A$35,0),MATCH('CCaMC-BCCpUC'!U$1,'Cost Improvement'!$B$27:$AI$27,0))*1000*About!$A$81</f>
        <v>4146139.0023969011</v>
      </c>
      <c r="V2" s="4">
        <f>'EIA Costs'!$D$3*INDEX('Cost Improvement'!$B$28:$AI$35,MATCH("coal",'Cost Improvement'!$A$28:$A$35,0),MATCH('CCaMC-BCCpUC'!V$1,'Cost Improvement'!$B$27:$AI$27,0))*1000*About!$A$81</f>
        <v>4118208.6763381818</v>
      </c>
      <c r="W2" s="4">
        <f>'EIA Costs'!$D$3*INDEX('Cost Improvement'!$B$28:$AI$35,MATCH("coal",'Cost Improvement'!$A$28:$A$35,0),MATCH('CCaMC-BCCpUC'!W$1,'Cost Improvement'!$B$27:$AI$27,0))*1000*About!$A$81</f>
        <v>4089504.5676405933</v>
      </c>
      <c r="X2" s="4">
        <f>'EIA Costs'!$D$3*INDEX('Cost Improvement'!$B$28:$AI$35,MATCH("coal",'Cost Improvement'!$A$28:$A$35,0),MATCH('CCaMC-BCCpUC'!X$1,'Cost Improvement'!$B$27:$AI$27,0))*1000*About!$A$81</f>
        <v>4067960.8777427687</v>
      </c>
      <c r="Y2" s="4">
        <f>'EIA Costs'!$D$3*INDEX('Cost Improvement'!$B$28:$AI$35,MATCH("coal",'Cost Improvement'!$A$28:$A$35,0),MATCH('CCaMC-BCCpUC'!Y$1,'Cost Improvement'!$B$27:$AI$27,0))*1000*About!$A$81</f>
        <v>4040816.0984535846</v>
      </c>
      <c r="Z2" s="4">
        <f>'EIA Costs'!$D$3*INDEX('Cost Improvement'!$B$28:$AI$35,MATCH("coal",'Cost Improvement'!$A$28:$A$35,0),MATCH('CCaMC-BCCpUC'!Z$1,'Cost Improvement'!$B$27:$AI$27,0))*1000*About!$A$81</f>
        <v>4016452.2937785359</v>
      </c>
      <c r="AA2" s="4">
        <f>'EIA Costs'!$D$3*INDEX('Cost Improvement'!$B$28:$AI$35,MATCH("coal",'Cost Improvement'!$A$28:$A$35,0),MATCH('CCaMC-BCCpUC'!AA$1,'Cost Improvement'!$B$27:$AI$27,0))*1000*About!$A$81</f>
        <v>3991895.4748903452</v>
      </c>
      <c r="AB2" s="4">
        <f>'EIA Costs'!$D$3*INDEX('Cost Improvement'!$B$28:$AI$35,MATCH("coal",'Cost Improvement'!$A$28:$A$35,0),MATCH('CCaMC-BCCpUC'!AB$1,'Cost Improvement'!$B$27:$AI$27,0))*1000*About!$A$81</f>
        <v>3969568.9164387039</v>
      </c>
      <c r="AC2" s="4">
        <f>'EIA Costs'!$D$3*INDEX('Cost Improvement'!$B$28:$AI$35,MATCH("coal",'Cost Improvement'!$A$28:$A$35,0),MATCH('CCaMC-BCCpUC'!AC$1,'Cost Improvement'!$B$27:$AI$27,0))*1000*About!$A$81</f>
        <v>3940008.1347892489</v>
      </c>
      <c r="AD2" s="4">
        <f>'EIA Costs'!$D$3*INDEX('Cost Improvement'!$B$28:$AI$35,MATCH("coal",'Cost Improvement'!$A$28:$A$35,0),MATCH('CCaMC-BCCpUC'!AD$1,'Cost Improvement'!$B$27:$AI$27,0))*1000*About!$A$81</f>
        <v>3915663.3842819501</v>
      </c>
      <c r="AE2" s="4">
        <f>'EIA Costs'!$D$3*INDEX('Cost Improvement'!$B$28:$AI$35,MATCH("coal",'Cost Improvement'!$A$28:$A$35,0),MATCH('CCaMC-BCCpUC'!AE$1,'Cost Improvement'!$B$27:$AI$27,0))*1000*About!$A$81</f>
        <v>3891151.7937051742</v>
      </c>
      <c r="AF2" s="4">
        <f>'EIA Costs'!$D$3*INDEX('Cost Improvement'!$B$28:$AI$35,MATCH("coal",'Cost Improvement'!$A$28:$A$35,0),MATCH('CCaMC-BCCpUC'!AF$1,'Cost Improvement'!$B$27:$AI$27,0))*1000*About!$A$81</f>
        <v>3866554.4845028631</v>
      </c>
      <c r="AG2" s="4">
        <f>'EIA Costs'!$D$3*INDEX('Cost Improvement'!$B$28:$AI$35,MATCH("coal",'Cost Improvement'!$A$28:$A$35,0),MATCH('CCaMC-BCCpUC'!AG$1,'Cost Improvement'!$B$27:$AI$27,0))*1000*About!$A$81</f>
        <v>3808772.4758979324</v>
      </c>
    </row>
    <row r="3" spans="1:33">
      <c r="A3" s="81" t="s">
        <v>270</v>
      </c>
      <c r="B3" s="4">
        <f>'EIA Costs'!$D$5*INDEX('Cost Improvement'!$B$28:$AI$35,MATCH("natural gas nonpeaker",'Cost Improvement'!$A$28:$A$35,0),MATCH('CCaMC-BCCpUC'!B$1,'Cost Improvement'!$B$27:$AI$27,0))*1000*About!$A$83</f>
        <v>972127.06225900899</v>
      </c>
      <c r="C3" s="4">
        <f>'EIA Costs'!$D$5*INDEX('Cost Improvement'!$B$28:$AI$35,MATCH("natural gas nonpeaker",'Cost Improvement'!$A$28:$A$35,0),MATCH('CCaMC-BCCpUC'!C$1,'Cost Improvement'!$B$27:$AI$27,0))*1000*About!$A$83</f>
        <v>957724.4245180178</v>
      </c>
      <c r="D3" s="4">
        <f>'EIA Costs'!$D$5*INDEX('Cost Improvement'!$B$28:$AI$35,MATCH("natural gas nonpeaker",'Cost Improvement'!$A$28:$A$35,0),MATCH('CCaMC-BCCpUC'!D$1,'Cost Improvement'!$B$27:$AI$27,0))*1000*About!$A$83</f>
        <v>943321.78677702683</v>
      </c>
      <c r="E3" s="4">
        <f>'EIA Costs'!$D$5*INDEX('Cost Improvement'!$B$28:$AI$35,MATCH("natural gas nonpeaker",'Cost Improvement'!$A$28:$A$35,0),MATCH('CCaMC-BCCpUC'!E$1,'Cost Improvement'!$B$27:$AI$27,0))*1000*About!$A$83</f>
        <v>928919.14903603599</v>
      </c>
      <c r="F3" s="4">
        <f>'EIA Costs'!$D$5*INDEX('Cost Improvement'!$B$28:$AI$35,MATCH("natural gas nonpeaker",'Cost Improvement'!$A$28:$A$35,0),MATCH('CCaMC-BCCpUC'!F$1,'Cost Improvement'!$B$27:$AI$27,0))*1000*About!$A$83</f>
        <v>914516.51129504479</v>
      </c>
      <c r="G3" s="4">
        <f>'EIA Costs'!$D$5*INDEX('Cost Improvement'!$B$28:$AI$35,MATCH("natural gas nonpeaker",'Cost Improvement'!$A$28:$A$35,0),MATCH('CCaMC-BCCpUC'!G$1,'Cost Improvement'!$B$27:$AI$27,0))*1000*About!$A$83</f>
        <v>893433.48340722674</v>
      </c>
      <c r="H3" s="4">
        <f>'EIA Costs'!$D$5*INDEX('Cost Improvement'!$B$28:$AI$35,MATCH("natural gas nonpeaker",'Cost Improvement'!$A$28:$A$35,0),MATCH('CCaMC-BCCpUC'!H$1,'Cost Improvement'!$B$27:$AI$27,0))*1000*About!$A$83</f>
        <v>878508.68199289055</v>
      </c>
      <c r="I3" s="4">
        <f>'EIA Costs'!$D$5*INDEX('Cost Improvement'!$B$28:$AI$35,MATCH("natural gas nonpeaker",'Cost Improvement'!$A$28:$A$35,0),MATCH('CCaMC-BCCpUC'!I$1,'Cost Improvement'!$B$27:$AI$27,0))*1000*About!$A$83</f>
        <v>868050.45902204327</v>
      </c>
      <c r="J3" s="4">
        <f>'EIA Costs'!$D$5*INDEX('Cost Improvement'!$B$28:$AI$35,MATCH("natural gas nonpeaker",'Cost Improvement'!$A$28:$A$35,0),MATCH('CCaMC-BCCpUC'!J$1,'Cost Improvement'!$B$27:$AI$27,0))*1000*About!$A$83</f>
        <v>857074.95306661155</v>
      </c>
      <c r="K3" s="4">
        <f>'EIA Costs'!$D$5*INDEX('Cost Improvement'!$B$28:$AI$35,MATCH("natural gas nonpeaker",'Cost Improvement'!$A$28:$A$35,0),MATCH('CCaMC-BCCpUC'!K$1,'Cost Improvement'!$B$27:$AI$27,0))*1000*About!$A$83</f>
        <v>848685.73957477685</v>
      </c>
      <c r="L3" s="4">
        <f>'EIA Costs'!$D$5*INDEX('Cost Improvement'!$B$28:$AI$35,MATCH("natural gas nonpeaker",'Cost Improvement'!$A$28:$A$35,0),MATCH('CCaMC-BCCpUC'!L$1,'Cost Improvement'!$B$27:$AI$27,0))*1000*About!$A$83</f>
        <v>841926.12738785136</v>
      </c>
      <c r="M3" s="4">
        <f>'EIA Costs'!$D$5*INDEX('Cost Improvement'!$B$28:$AI$35,MATCH("natural gas nonpeaker",'Cost Improvement'!$A$28:$A$35,0),MATCH('CCaMC-BCCpUC'!M$1,'Cost Improvement'!$B$27:$AI$27,0))*1000*About!$A$83</f>
        <v>833953.01532861136</v>
      </c>
      <c r="N3" s="4">
        <f>'EIA Costs'!$D$5*INDEX('Cost Improvement'!$B$28:$AI$35,MATCH("natural gas nonpeaker",'Cost Improvement'!$A$28:$A$35,0),MATCH('CCaMC-BCCpUC'!N$1,'Cost Improvement'!$B$27:$AI$27,0))*1000*About!$A$83</f>
        <v>826618.55136739567</v>
      </c>
      <c r="O3" s="4">
        <f>'EIA Costs'!$D$5*INDEX('Cost Improvement'!$B$28:$AI$35,MATCH("natural gas nonpeaker",'Cost Improvement'!$A$28:$A$35,0),MATCH('CCaMC-BCCpUC'!O$1,'Cost Improvement'!$B$27:$AI$27,0))*1000*About!$A$83</f>
        <v>819039.03638588695</v>
      </c>
      <c r="P3" s="4">
        <f>'EIA Costs'!$D$5*INDEX('Cost Improvement'!$B$28:$AI$35,MATCH("natural gas nonpeaker",'Cost Improvement'!$A$28:$A$35,0),MATCH('CCaMC-BCCpUC'!P$1,'Cost Improvement'!$B$27:$AI$27,0))*1000*About!$A$83</f>
        <v>810876.97011711833</v>
      </c>
      <c r="Q3" s="4">
        <f>'EIA Costs'!$D$5*INDEX('Cost Improvement'!$B$28:$AI$35,MATCH("natural gas nonpeaker",'Cost Improvement'!$A$28:$A$35,0),MATCH('CCaMC-BCCpUC'!Q$1,'Cost Improvement'!$B$27:$AI$27,0))*1000*About!$A$83</f>
        <v>803948.12765856809</v>
      </c>
      <c r="R3" s="4">
        <f>'EIA Costs'!$D$5*INDEX('Cost Improvement'!$B$28:$AI$35,MATCH("natural gas nonpeaker",'Cost Improvement'!$A$28:$A$35,0),MATCH('CCaMC-BCCpUC'!R$1,'Cost Improvement'!$B$27:$AI$27,0))*1000*About!$A$83</f>
        <v>798020.56336896564</v>
      </c>
      <c r="S3" s="4">
        <f>'EIA Costs'!$D$5*INDEX('Cost Improvement'!$B$28:$AI$35,MATCH("natural gas nonpeaker",'Cost Improvement'!$A$28:$A$35,0),MATCH('CCaMC-BCCpUC'!S$1,'Cost Improvement'!$B$27:$AI$27,0))*1000*About!$A$83</f>
        <v>791354.14752660913</v>
      </c>
      <c r="T3" s="4">
        <f>'EIA Costs'!$D$5*INDEX('Cost Improvement'!$B$28:$AI$35,MATCH("natural gas nonpeaker",'Cost Improvement'!$A$28:$A$35,0),MATCH('CCaMC-BCCpUC'!T$1,'Cost Improvement'!$B$27:$AI$27,0))*1000*About!$A$83</f>
        <v>785845.65062133886</v>
      </c>
      <c r="U3" s="4">
        <f>'EIA Costs'!$D$5*INDEX('Cost Improvement'!$B$28:$AI$35,MATCH("natural gas nonpeaker",'Cost Improvement'!$A$28:$A$35,0),MATCH('CCaMC-BCCpUC'!U$1,'Cost Improvement'!$B$27:$AI$27,0))*1000*About!$A$83</f>
        <v>780037.46028106601</v>
      </c>
      <c r="V3" s="4">
        <f>'EIA Costs'!$D$5*INDEX('Cost Improvement'!$B$28:$AI$35,MATCH("natural gas nonpeaker",'Cost Improvement'!$A$28:$A$35,0),MATCH('CCaMC-BCCpUC'!V$1,'Cost Improvement'!$B$27:$AI$27,0))*1000*About!$A$83</f>
        <v>773623.51307843532</v>
      </c>
      <c r="W3" s="4">
        <f>'EIA Costs'!$D$5*INDEX('Cost Improvement'!$B$28:$AI$35,MATCH("natural gas nonpeaker",'Cost Improvement'!$A$28:$A$35,0),MATCH('CCaMC-BCCpUC'!W$1,'Cost Improvement'!$B$27:$AI$27,0))*1000*About!$A$83</f>
        <v>767066.13595942128</v>
      </c>
      <c r="X3" s="4">
        <f>'EIA Costs'!$D$5*INDEX('Cost Improvement'!$B$28:$AI$35,MATCH("natural gas nonpeaker",'Cost Improvement'!$A$28:$A$35,0),MATCH('CCaMC-BCCpUC'!X$1,'Cost Improvement'!$B$27:$AI$27,0))*1000*About!$A$83</f>
        <v>761851.86140581919</v>
      </c>
      <c r="Y3" s="4">
        <f>'EIA Costs'!$D$5*INDEX('Cost Improvement'!$B$28:$AI$35,MATCH("natural gas nonpeaker",'Cost Improvement'!$A$28:$A$35,0),MATCH('CCaMC-BCCpUC'!Y$1,'Cost Improvement'!$B$27:$AI$27,0))*1000*About!$A$83</f>
        <v>755588.11562729464</v>
      </c>
      <c r="Z3" s="4">
        <f>'EIA Costs'!$D$5*INDEX('Cost Improvement'!$B$28:$AI$35,MATCH("natural gas nonpeaker",'Cost Improvement'!$A$28:$A$35,0),MATCH('CCaMC-BCCpUC'!Z$1,'Cost Improvement'!$B$27:$AI$27,0))*1000*About!$A$83</f>
        <v>749844.77021291957</v>
      </c>
      <c r="AA3" s="4">
        <f>'EIA Costs'!$D$5*INDEX('Cost Improvement'!$B$28:$AI$35,MATCH("natural gas nonpeaker",'Cost Improvement'!$A$28:$A$35,0),MATCH('CCaMC-BCCpUC'!AA$1,'Cost Improvement'!$B$27:$AI$27,0))*1000*About!$A$83</f>
        <v>744064.83414782514</v>
      </c>
      <c r="AB3" s="4">
        <f>'EIA Costs'!$D$5*INDEX('Cost Improvement'!$B$28:$AI$35,MATCH("natural gas nonpeaker",'Cost Improvement'!$A$28:$A$35,0),MATCH('CCaMC-BCCpUC'!AB$1,'Cost Improvement'!$B$27:$AI$27,0))*1000*About!$A$83</f>
        <v>738699.81797475065</v>
      </c>
      <c r="AC3" s="4">
        <f>'EIA Costs'!$D$5*INDEX('Cost Improvement'!$B$28:$AI$35,MATCH("natural gas nonpeaker",'Cost Improvement'!$A$28:$A$35,0),MATCH('CCaMC-BCCpUC'!AC$1,'Cost Improvement'!$B$27:$AI$27,0))*1000*About!$A$83</f>
        <v>731989.08388166805</v>
      </c>
      <c r="AD3" s="4">
        <f>'EIA Costs'!$D$5*INDEX('Cost Improvement'!$B$28:$AI$35,MATCH("natural gas nonpeaker",'Cost Improvement'!$A$28:$A$35,0),MATCH('CCaMC-BCCpUC'!AD$1,'Cost Improvement'!$B$27:$AI$27,0))*1000*About!$A$83</f>
        <v>726248.29368785908</v>
      </c>
      <c r="AE3" s="4">
        <f>'EIA Costs'!$D$5*INDEX('Cost Improvement'!$B$28:$AI$35,MATCH("natural gas nonpeaker",'Cost Improvement'!$A$28:$A$35,0),MATCH('CCaMC-BCCpUC'!AE$1,'Cost Improvement'!$B$27:$AI$27,0))*1000*About!$A$83</f>
        <v>720476.28932651109</v>
      </c>
      <c r="AF3" s="4">
        <f>'EIA Costs'!$D$5*INDEX('Cost Improvement'!$B$28:$AI$35,MATCH("natural gas nonpeaker",'Cost Improvement'!$A$28:$A$35,0),MATCH('CCaMC-BCCpUC'!AF$1,'Cost Improvement'!$B$27:$AI$27,0))*1000*About!$A$83</f>
        <v>714688.14758270246</v>
      </c>
      <c r="AG3" s="4">
        <f>'EIA Costs'!$D$5*INDEX('Cost Improvement'!$B$28:$AI$35,MATCH("natural gas nonpeaker",'Cost Improvement'!$A$28:$A$35,0),MATCH('CCaMC-BCCpUC'!AG$1,'Cost Improvement'!$B$27:$AI$27,0))*1000*About!$A$83</f>
        <v>702776.39011643489</v>
      </c>
    </row>
    <row r="4" spans="1:33">
      <c r="A4" s="81" t="s">
        <v>271</v>
      </c>
      <c r="B4" s="4">
        <f>'EIA Costs'!$D$8*INDEX('Cost Improvement'!$B$28:$AI$35,MATCH("nuclear",'Cost Improvement'!$A$28:$A$35,0),MATCH('CCaMC-BCCpUC'!B$1,'Cost Improvement'!$B$27:$AI$27,0))*1000*About!$A$85</f>
        <v>5643706.0601622975</v>
      </c>
      <c r="C4" s="4">
        <f>'EIA Costs'!$D$8*INDEX('Cost Improvement'!$B$28:$AI$35,MATCH("nuclear",'Cost Improvement'!$A$28:$A$35,0),MATCH('CCaMC-BCCpUC'!C$1,'Cost Improvement'!$B$27:$AI$27,0))*1000*About!$A$85</f>
        <v>5614746.1203245949</v>
      </c>
      <c r="D4" s="4">
        <f>'EIA Costs'!$D$8*INDEX('Cost Improvement'!$B$28:$AI$35,MATCH("nuclear",'Cost Improvement'!$A$28:$A$35,0),MATCH('CCaMC-BCCpUC'!D$1,'Cost Improvement'!$B$27:$AI$27,0))*1000*About!$A$85</f>
        <v>5585786.1804868924</v>
      </c>
      <c r="E4" s="4">
        <f>'EIA Costs'!$D$8*INDEX('Cost Improvement'!$B$28:$AI$35,MATCH("nuclear",'Cost Improvement'!$A$28:$A$35,0),MATCH('CCaMC-BCCpUC'!E$1,'Cost Improvement'!$B$27:$AI$27,0))*1000*About!$A$85</f>
        <v>5556826.2406491898</v>
      </c>
      <c r="F4" s="4">
        <f>'EIA Costs'!$D$8*INDEX('Cost Improvement'!$B$28:$AI$35,MATCH("nuclear",'Cost Improvement'!$A$28:$A$35,0),MATCH('CCaMC-BCCpUC'!F$1,'Cost Improvement'!$B$27:$AI$27,0))*1000*About!$A$85</f>
        <v>5527866.3008114873</v>
      </c>
      <c r="G4" s="4">
        <f>'EIA Costs'!$D$8*INDEX('Cost Improvement'!$B$28:$AI$35,MATCH("nuclear",'Cost Improvement'!$A$28:$A$35,0),MATCH('CCaMC-BCCpUC'!G$1,'Cost Improvement'!$B$27:$AI$27,0))*1000*About!$A$85</f>
        <v>5498906.3609737847</v>
      </c>
      <c r="H4" s="4">
        <f>'EIA Costs'!$D$8*INDEX('Cost Improvement'!$B$28:$AI$35,MATCH("nuclear",'Cost Improvement'!$A$28:$A$35,0),MATCH('CCaMC-BCCpUC'!H$1,'Cost Improvement'!$B$27:$AI$27,0))*1000*About!$A$85</f>
        <v>5469946.4211360822</v>
      </c>
      <c r="I4" s="4">
        <f>'EIA Costs'!$D$8*INDEX('Cost Improvement'!$B$28:$AI$35,MATCH("nuclear",'Cost Improvement'!$A$28:$A$35,0),MATCH('CCaMC-BCCpUC'!I$1,'Cost Improvement'!$B$27:$AI$27,0))*1000*About!$A$85</f>
        <v>5440986.4812983796</v>
      </c>
      <c r="J4" s="4">
        <f>'EIA Costs'!$D$8*INDEX('Cost Improvement'!$B$28:$AI$35,MATCH("nuclear",'Cost Improvement'!$A$28:$A$35,0),MATCH('CCaMC-BCCpUC'!J$1,'Cost Improvement'!$B$27:$AI$27,0))*1000*About!$A$85</f>
        <v>5408679.2940336792</v>
      </c>
      <c r="K4" s="4">
        <f>'EIA Costs'!$D$8*INDEX('Cost Improvement'!$B$28:$AI$35,MATCH("nuclear",'Cost Improvement'!$A$28:$A$35,0),MATCH('CCaMC-BCCpUC'!K$1,'Cost Improvement'!$B$27:$AI$27,0))*1000*About!$A$85</f>
        <v>5378971.6359016588</v>
      </c>
      <c r="L4" s="4">
        <f>'EIA Costs'!$D$8*INDEX('Cost Improvement'!$B$28:$AI$35,MATCH("nuclear",'Cost Improvement'!$A$28:$A$35,0),MATCH('CCaMC-BCCpUC'!L$1,'Cost Improvement'!$B$27:$AI$27,0))*1000*About!$A$85</f>
        <v>5347809.2765869154</v>
      </c>
      <c r="M4" s="4">
        <f>'EIA Costs'!$D$8*INDEX('Cost Improvement'!$B$28:$AI$35,MATCH("nuclear",'Cost Improvement'!$A$28:$A$35,0),MATCH('CCaMC-BCCpUC'!M$1,'Cost Improvement'!$B$27:$AI$27,0))*1000*About!$A$85</f>
        <v>5311215.3098091939</v>
      </c>
      <c r="N4" s="4">
        <f>'EIA Costs'!$D$8*INDEX('Cost Improvement'!$B$28:$AI$35,MATCH("nuclear",'Cost Improvement'!$A$28:$A$35,0),MATCH('CCaMC-BCCpUC'!N$1,'Cost Improvement'!$B$27:$AI$27,0))*1000*About!$A$85</f>
        <v>5276003.1803279538</v>
      </c>
      <c r="O4" s="4">
        <f>'EIA Costs'!$D$8*INDEX('Cost Improvement'!$B$28:$AI$35,MATCH("nuclear",'Cost Improvement'!$A$28:$A$35,0),MATCH('CCaMC-BCCpUC'!O$1,'Cost Improvement'!$B$27:$AI$27,0))*1000*About!$A$85</f>
        <v>5239024.2124878448</v>
      </c>
      <c r="P4" s="4">
        <f>'EIA Costs'!$D$8*INDEX('Cost Improvement'!$B$28:$AI$35,MATCH("nuclear",'Cost Improvement'!$A$28:$A$35,0),MATCH('CCaMC-BCCpUC'!P$1,'Cost Improvement'!$B$27:$AI$27,0))*1000*About!$A$85</f>
        <v>5201260.4882475538</v>
      </c>
      <c r="Q4" s="4">
        <f>'EIA Costs'!$D$8*INDEX('Cost Improvement'!$B$28:$AI$35,MATCH("nuclear",'Cost Improvement'!$A$28:$A$35,0),MATCH('CCaMC-BCCpUC'!Q$1,'Cost Improvement'!$B$27:$AI$27,0))*1000*About!$A$85</f>
        <v>5169096.0105682509</v>
      </c>
      <c r="R4" s="4">
        <f>'EIA Costs'!$D$8*INDEX('Cost Improvement'!$B$28:$AI$35,MATCH("nuclear",'Cost Improvement'!$A$28:$A$35,0),MATCH('CCaMC-BCCpUC'!R$1,'Cost Improvement'!$B$27:$AI$27,0))*1000*About!$A$85</f>
        <v>5135419.756815169</v>
      </c>
      <c r="S4" s="4">
        <f>'EIA Costs'!$D$8*INDEX('Cost Improvement'!$B$28:$AI$35,MATCH("nuclear",'Cost Improvement'!$A$28:$A$35,0),MATCH('CCaMC-BCCpUC'!S$1,'Cost Improvement'!$B$27:$AI$27,0))*1000*About!$A$85</f>
        <v>5094610.2622877378</v>
      </c>
      <c r="T4" s="4">
        <f>'EIA Costs'!$D$8*INDEX('Cost Improvement'!$B$28:$AI$35,MATCH("nuclear",'Cost Improvement'!$A$28:$A$35,0),MATCH('CCaMC-BCCpUC'!T$1,'Cost Improvement'!$B$27:$AI$27,0))*1000*About!$A$85</f>
        <v>5061253.5429043015</v>
      </c>
      <c r="U4" s="4">
        <f>'EIA Costs'!$D$8*INDEX('Cost Improvement'!$B$28:$AI$35,MATCH("nuclear",'Cost Improvement'!$A$28:$A$35,0),MATCH('CCaMC-BCCpUC'!U$1,'Cost Improvement'!$B$27:$AI$27,0))*1000*About!$A$85</f>
        <v>5025967.3676503599</v>
      </c>
      <c r="V4" s="4">
        <f>'EIA Costs'!$D$8*INDEX('Cost Improvement'!$B$28:$AI$35,MATCH("nuclear",'Cost Improvement'!$A$28:$A$35,0),MATCH('CCaMC-BCCpUC'!V$1,'Cost Improvement'!$B$27:$AI$27,0))*1000*About!$A$85</f>
        <v>4986777.9692944866</v>
      </c>
      <c r="W4" s="4">
        <f>'EIA Costs'!$D$8*INDEX('Cost Improvement'!$B$28:$AI$35,MATCH("nuclear",'Cost Improvement'!$A$28:$A$35,0),MATCH('CCaMC-BCCpUC'!W$1,'Cost Improvement'!$B$27:$AI$27,0))*1000*About!$A$85</f>
        <v>4946660.3178286804</v>
      </c>
      <c r="X4" s="4">
        <f>'EIA Costs'!$D$8*INDEX('Cost Improvement'!$B$28:$AI$35,MATCH("nuclear",'Cost Improvement'!$A$28:$A$35,0),MATCH('CCaMC-BCCpUC'!X$1,'Cost Improvement'!$B$27:$AI$27,0))*1000*About!$A$85</f>
        <v>4915203.8863042518</v>
      </c>
      <c r="Y4" s="4">
        <f>'EIA Costs'!$D$8*INDEX('Cost Improvement'!$B$28:$AI$35,MATCH("nuclear",'Cost Improvement'!$A$28:$A$35,0),MATCH('CCaMC-BCCpUC'!Y$1,'Cost Improvement'!$B$27:$AI$27,0))*1000*About!$A$85</f>
        <v>4876977.5132302325</v>
      </c>
      <c r="Z4" s="4">
        <f>'EIA Costs'!$D$8*INDEX('Cost Improvement'!$B$28:$AI$35,MATCH("nuclear",'Cost Improvement'!$A$28:$A$35,0),MATCH('CCaMC-BCCpUC'!Z$1,'Cost Improvement'!$B$27:$AI$27,0))*1000*About!$A$85</f>
        <v>4842109.3744204007</v>
      </c>
      <c r="AA4" s="4">
        <f>'EIA Costs'!$D$8*INDEX('Cost Improvement'!$B$28:$AI$35,MATCH("nuclear",'Cost Improvement'!$A$28:$A$35,0),MATCH('CCaMC-BCCpUC'!AA$1,'Cost Improvement'!$B$27:$AI$27,0))*1000*About!$A$85</f>
        <v>4807006.409899395</v>
      </c>
      <c r="AB4" s="4">
        <f>'EIA Costs'!$D$8*INDEX('Cost Improvement'!$B$28:$AI$35,MATCH("nuclear",'Cost Improvement'!$A$28:$A$35,0),MATCH('CCaMC-BCCpUC'!AB$1,'Cost Improvement'!$B$27:$AI$27,0))*1000*About!$A$85</f>
        <v>4774585.245234888</v>
      </c>
      <c r="AC4" s="4">
        <f>'EIA Costs'!$D$8*INDEX('Cost Improvement'!$B$28:$AI$35,MATCH("nuclear",'Cost Improvement'!$A$28:$A$35,0),MATCH('CCaMC-BCCpUC'!AC$1,'Cost Improvement'!$B$27:$AI$27,0))*1000*About!$A$85</f>
        <v>4733464.7249695286</v>
      </c>
      <c r="AD4" s="4">
        <f>'EIA Costs'!$D$8*INDEX('Cost Improvement'!$B$28:$AI$35,MATCH("nuclear",'Cost Improvement'!$A$28:$A$35,0),MATCH('CCaMC-BCCpUC'!AD$1,'Cost Improvement'!$B$27:$AI$27,0))*1000*About!$A$85</f>
        <v>4698615.6632738542</v>
      </c>
      <c r="AE4" s="4">
        <f>'EIA Costs'!$D$8*INDEX('Cost Improvement'!$B$28:$AI$35,MATCH("nuclear",'Cost Improvement'!$A$28:$A$35,0),MATCH('CCaMC-BCCpUC'!AE$1,'Cost Improvement'!$B$27:$AI$27,0))*1000*About!$A$85</f>
        <v>4663564.2810556944</v>
      </c>
      <c r="AF4" s="4">
        <f>'EIA Costs'!$D$8*INDEX('Cost Improvement'!$B$28:$AI$35,MATCH("nuclear",'Cost Improvement'!$A$28:$A$35,0),MATCH('CCaMC-BCCpUC'!AF$1,'Cost Improvement'!$B$27:$AI$27,0))*1000*About!$A$85</f>
        <v>4628409.4458581563</v>
      </c>
      <c r="AG4" s="4">
        <f>'EIA Costs'!$D$8*INDEX('Cost Improvement'!$B$28:$AI$35,MATCH("nuclear",'Cost Improvement'!$A$28:$A$35,0),MATCH('CCaMC-BCCpUC'!AG$1,'Cost Improvement'!$B$27:$AI$27,0))*1000*About!$A$85</f>
        <v>4553577.8857550342</v>
      </c>
    </row>
    <row r="5" spans="1:33">
      <c r="A5" s="81" t="s">
        <v>272</v>
      </c>
      <c r="B5" s="4">
        <f>'EIA Costs'!$D$11*INDEX('Cost Improvement'!$B$28:$AI$35,MATCH("hydro",'Cost Improvement'!$A$28:$A$35,0),MATCH('CCaMC-BCCpUC'!B$1,'Cost Improvement'!$B$27:$AI$27,0))*1000*About!$A$85</f>
        <v>2471296</v>
      </c>
      <c r="C5" s="4">
        <f>'EIA Costs'!$D$11*INDEX('Cost Improvement'!$B$28:$AI$35,MATCH("hydro",'Cost Improvement'!$A$28:$A$35,0),MATCH('CCaMC-BCCpUC'!C$1,'Cost Improvement'!$B$27:$AI$27,0))*1000*About!$A$85</f>
        <v>2471296</v>
      </c>
      <c r="D5" s="4">
        <f>'EIA Costs'!$D$11*INDEX('Cost Improvement'!$B$28:$AI$35,MATCH("hydro",'Cost Improvement'!$A$28:$A$35,0),MATCH('CCaMC-BCCpUC'!D$1,'Cost Improvement'!$B$27:$AI$27,0))*1000*About!$A$85</f>
        <v>2471296</v>
      </c>
      <c r="E5" s="4">
        <f>'EIA Costs'!$D$11*INDEX('Cost Improvement'!$B$28:$AI$35,MATCH("hydro",'Cost Improvement'!$A$28:$A$35,0),MATCH('CCaMC-BCCpUC'!E$1,'Cost Improvement'!$B$27:$AI$27,0))*1000*About!$A$85</f>
        <v>2471296</v>
      </c>
      <c r="F5" s="4">
        <f>'EIA Costs'!$D$11*INDEX('Cost Improvement'!$B$28:$AI$35,MATCH("hydro",'Cost Improvement'!$A$28:$A$35,0),MATCH('CCaMC-BCCpUC'!F$1,'Cost Improvement'!$B$27:$AI$27,0))*1000*About!$A$85</f>
        <v>2471296</v>
      </c>
      <c r="G5" s="4">
        <f>'EIA Costs'!$D$11*INDEX('Cost Improvement'!$B$28:$AI$35,MATCH("hydro",'Cost Improvement'!$A$28:$A$35,0),MATCH('CCaMC-BCCpUC'!G$1,'Cost Improvement'!$B$27:$AI$27,0))*1000*About!$A$85</f>
        <v>2471296</v>
      </c>
      <c r="H5" s="4">
        <f>'EIA Costs'!$D$11*INDEX('Cost Improvement'!$B$28:$AI$35,MATCH("hydro",'Cost Improvement'!$A$28:$A$35,0),MATCH('CCaMC-BCCpUC'!H$1,'Cost Improvement'!$B$27:$AI$27,0))*1000*About!$A$85</f>
        <v>2471296</v>
      </c>
      <c r="I5" s="4">
        <f>'EIA Costs'!$D$11*INDEX('Cost Improvement'!$B$28:$AI$35,MATCH("hydro",'Cost Improvement'!$A$28:$A$35,0),MATCH('CCaMC-BCCpUC'!I$1,'Cost Improvement'!$B$27:$AI$27,0))*1000*About!$A$85</f>
        <v>2471296</v>
      </c>
      <c r="J5" s="4">
        <f>'EIA Costs'!$D$11*INDEX('Cost Improvement'!$B$28:$AI$35,MATCH("hydro",'Cost Improvement'!$A$28:$A$35,0),MATCH('CCaMC-BCCpUC'!J$1,'Cost Improvement'!$B$27:$AI$27,0))*1000*About!$A$85</f>
        <v>2471296</v>
      </c>
      <c r="K5" s="4">
        <f>'EIA Costs'!$D$11*INDEX('Cost Improvement'!$B$28:$AI$35,MATCH("hydro",'Cost Improvement'!$A$28:$A$35,0),MATCH('CCaMC-BCCpUC'!K$1,'Cost Improvement'!$B$27:$AI$27,0))*1000*About!$A$85</f>
        <v>2471296</v>
      </c>
      <c r="L5" s="4">
        <f>'EIA Costs'!$D$11*INDEX('Cost Improvement'!$B$28:$AI$35,MATCH("hydro",'Cost Improvement'!$A$28:$A$35,0),MATCH('CCaMC-BCCpUC'!L$1,'Cost Improvement'!$B$27:$AI$27,0))*1000*About!$A$85</f>
        <v>2471296</v>
      </c>
      <c r="M5" s="4">
        <f>'EIA Costs'!$D$11*INDEX('Cost Improvement'!$B$28:$AI$35,MATCH("hydro",'Cost Improvement'!$A$28:$A$35,0),MATCH('CCaMC-BCCpUC'!M$1,'Cost Improvement'!$B$27:$AI$27,0))*1000*About!$A$85</f>
        <v>2471296</v>
      </c>
      <c r="N5" s="4">
        <f>'EIA Costs'!$D$11*INDEX('Cost Improvement'!$B$28:$AI$35,MATCH("hydro",'Cost Improvement'!$A$28:$A$35,0),MATCH('CCaMC-BCCpUC'!N$1,'Cost Improvement'!$B$27:$AI$27,0))*1000*About!$A$85</f>
        <v>2471296</v>
      </c>
      <c r="O5" s="4">
        <f>'EIA Costs'!$D$11*INDEX('Cost Improvement'!$B$28:$AI$35,MATCH("hydro",'Cost Improvement'!$A$28:$A$35,0),MATCH('CCaMC-BCCpUC'!O$1,'Cost Improvement'!$B$27:$AI$27,0))*1000*About!$A$85</f>
        <v>2471296</v>
      </c>
      <c r="P5" s="4">
        <f>'EIA Costs'!$D$11*INDEX('Cost Improvement'!$B$28:$AI$35,MATCH("hydro",'Cost Improvement'!$A$28:$A$35,0),MATCH('CCaMC-BCCpUC'!P$1,'Cost Improvement'!$B$27:$AI$27,0))*1000*About!$A$85</f>
        <v>2471296</v>
      </c>
      <c r="Q5" s="4">
        <f>'EIA Costs'!$D$11*INDEX('Cost Improvement'!$B$28:$AI$35,MATCH("hydro",'Cost Improvement'!$A$28:$A$35,0),MATCH('CCaMC-BCCpUC'!Q$1,'Cost Improvement'!$B$27:$AI$27,0))*1000*About!$A$85</f>
        <v>2471296</v>
      </c>
      <c r="R5" s="4">
        <f>'EIA Costs'!$D$11*INDEX('Cost Improvement'!$B$28:$AI$35,MATCH("hydro",'Cost Improvement'!$A$28:$A$35,0),MATCH('CCaMC-BCCpUC'!R$1,'Cost Improvement'!$B$27:$AI$27,0))*1000*About!$A$85</f>
        <v>2471296</v>
      </c>
      <c r="S5" s="4">
        <f>'EIA Costs'!$D$11*INDEX('Cost Improvement'!$B$28:$AI$35,MATCH("hydro",'Cost Improvement'!$A$28:$A$35,0),MATCH('CCaMC-BCCpUC'!S$1,'Cost Improvement'!$B$27:$AI$27,0))*1000*About!$A$85</f>
        <v>2471296</v>
      </c>
      <c r="T5" s="4">
        <f>'EIA Costs'!$D$11*INDEX('Cost Improvement'!$B$28:$AI$35,MATCH("hydro",'Cost Improvement'!$A$28:$A$35,0),MATCH('CCaMC-BCCpUC'!T$1,'Cost Improvement'!$B$27:$AI$27,0))*1000*About!$A$85</f>
        <v>2471296</v>
      </c>
      <c r="U5" s="4">
        <f>'EIA Costs'!$D$11*INDEX('Cost Improvement'!$B$28:$AI$35,MATCH("hydro",'Cost Improvement'!$A$28:$A$35,0),MATCH('CCaMC-BCCpUC'!U$1,'Cost Improvement'!$B$27:$AI$27,0))*1000*About!$A$85</f>
        <v>2471296</v>
      </c>
      <c r="V5" s="4">
        <f>'EIA Costs'!$D$11*INDEX('Cost Improvement'!$B$28:$AI$35,MATCH("hydro",'Cost Improvement'!$A$28:$A$35,0),MATCH('CCaMC-BCCpUC'!V$1,'Cost Improvement'!$B$27:$AI$27,0))*1000*About!$A$85</f>
        <v>2471296</v>
      </c>
      <c r="W5" s="4">
        <f>'EIA Costs'!$D$11*INDEX('Cost Improvement'!$B$28:$AI$35,MATCH("hydro",'Cost Improvement'!$A$28:$A$35,0),MATCH('CCaMC-BCCpUC'!W$1,'Cost Improvement'!$B$27:$AI$27,0))*1000*About!$A$85</f>
        <v>2471296</v>
      </c>
      <c r="X5" s="4">
        <f>'EIA Costs'!$D$11*INDEX('Cost Improvement'!$B$28:$AI$35,MATCH("hydro",'Cost Improvement'!$A$28:$A$35,0),MATCH('CCaMC-BCCpUC'!X$1,'Cost Improvement'!$B$27:$AI$27,0))*1000*About!$A$85</f>
        <v>2471296</v>
      </c>
      <c r="Y5" s="4">
        <f>'EIA Costs'!$D$11*INDEX('Cost Improvement'!$B$28:$AI$35,MATCH("hydro",'Cost Improvement'!$A$28:$A$35,0),MATCH('CCaMC-BCCpUC'!Y$1,'Cost Improvement'!$B$27:$AI$27,0))*1000*About!$A$85</f>
        <v>2471296</v>
      </c>
      <c r="Z5" s="4">
        <f>'EIA Costs'!$D$11*INDEX('Cost Improvement'!$B$28:$AI$35,MATCH("hydro",'Cost Improvement'!$A$28:$A$35,0),MATCH('CCaMC-BCCpUC'!Z$1,'Cost Improvement'!$B$27:$AI$27,0))*1000*About!$A$85</f>
        <v>2471296</v>
      </c>
      <c r="AA5" s="4">
        <f>'EIA Costs'!$D$11*INDEX('Cost Improvement'!$B$28:$AI$35,MATCH("hydro",'Cost Improvement'!$A$28:$A$35,0),MATCH('CCaMC-BCCpUC'!AA$1,'Cost Improvement'!$B$27:$AI$27,0))*1000*About!$A$85</f>
        <v>2471296</v>
      </c>
      <c r="AB5" s="4">
        <f>'EIA Costs'!$D$11*INDEX('Cost Improvement'!$B$28:$AI$35,MATCH("hydro",'Cost Improvement'!$A$28:$A$35,0),MATCH('CCaMC-BCCpUC'!AB$1,'Cost Improvement'!$B$27:$AI$27,0))*1000*About!$A$85</f>
        <v>2471296</v>
      </c>
      <c r="AC5" s="4">
        <f>'EIA Costs'!$D$11*INDEX('Cost Improvement'!$B$28:$AI$35,MATCH("hydro",'Cost Improvement'!$A$28:$A$35,0),MATCH('CCaMC-BCCpUC'!AC$1,'Cost Improvement'!$B$27:$AI$27,0))*1000*About!$A$85</f>
        <v>2471296</v>
      </c>
      <c r="AD5" s="4">
        <f>'EIA Costs'!$D$11*INDEX('Cost Improvement'!$B$28:$AI$35,MATCH("hydro",'Cost Improvement'!$A$28:$A$35,0),MATCH('CCaMC-BCCpUC'!AD$1,'Cost Improvement'!$B$27:$AI$27,0))*1000*About!$A$85</f>
        <v>2471296</v>
      </c>
      <c r="AE5" s="4">
        <f>'EIA Costs'!$D$11*INDEX('Cost Improvement'!$B$28:$AI$35,MATCH("hydro",'Cost Improvement'!$A$28:$A$35,0),MATCH('CCaMC-BCCpUC'!AE$1,'Cost Improvement'!$B$27:$AI$27,0))*1000*About!$A$85</f>
        <v>2471296</v>
      </c>
      <c r="AF5" s="4">
        <f>'EIA Costs'!$D$11*INDEX('Cost Improvement'!$B$28:$AI$35,MATCH("hydro",'Cost Improvement'!$A$28:$A$35,0),MATCH('CCaMC-BCCpUC'!AF$1,'Cost Improvement'!$B$27:$AI$27,0))*1000*About!$A$85</f>
        <v>2471296</v>
      </c>
      <c r="AG5" s="4">
        <f>'EIA Costs'!$D$11*INDEX('Cost Improvement'!$B$28:$AI$35,MATCH("hydro",'Cost Improvement'!$A$28:$A$35,0),MATCH('CCaMC-BCCpUC'!AG$1,'Cost Improvement'!$B$27:$AI$27,0))*1000*About!$A$85</f>
        <v>2471296</v>
      </c>
    </row>
    <row r="6" spans="1:33">
      <c r="A6" s="81" t="s">
        <v>0</v>
      </c>
      <c r="B6" s="18">
        <f>'Start Year Wind and Solar'!$B$3*10^3*About!$A$83</f>
        <v>1370950.6181274424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</row>
    <row r="7" spans="1:33">
      <c r="A7" s="81" t="s">
        <v>231</v>
      </c>
      <c r="B7" s="18">
        <f>'Start Year Wind and Solar'!$B$7*10^6*About!$A$83</f>
        <v>1257162.5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</row>
    <row r="8" spans="1:33">
      <c r="A8" s="81" t="s">
        <v>6</v>
      </c>
      <c r="B8" s="4">
        <f>'EIA Costs'!$D$14*INDEX('Cost Improvement'!$B$28:$AI$35,MATCH("solar thermal",'Cost Improvement'!$A$28:$A$35,0),MATCH('CCaMC-BCCpUC'!B$1,'Cost Improvement'!$B$27:$AI$27,0))*1000*About!$A$85</f>
        <v>6246367.4114285707</v>
      </c>
      <c r="C8" s="4">
        <f>'EIA Costs'!$D$14*INDEX('Cost Improvement'!$B$28:$AI$35,MATCH("solar thermal",'Cost Improvement'!$A$28:$A$35,0),MATCH('CCaMC-BCCpUC'!C$1,'Cost Improvement'!$B$27:$AI$27,0))*1000*About!$A$85</f>
        <v>6035216.8228571424</v>
      </c>
      <c r="D8" s="4">
        <f>'EIA Costs'!$D$14*INDEX('Cost Improvement'!$B$28:$AI$35,MATCH("solar thermal",'Cost Improvement'!$A$28:$A$35,0),MATCH('CCaMC-BCCpUC'!D$1,'Cost Improvement'!$B$27:$AI$27,0))*1000*About!$A$85</f>
        <v>5824066.2342857141</v>
      </c>
      <c r="E8" s="4">
        <f>'EIA Costs'!$D$14*INDEX('Cost Improvement'!$B$28:$AI$35,MATCH("solar thermal",'Cost Improvement'!$A$28:$A$35,0),MATCH('CCaMC-BCCpUC'!E$1,'Cost Improvement'!$B$27:$AI$27,0))*1000*About!$A$85</f>
        <v>5903316.7389424285</v>
      </c>
      <c r="F8" s="4">
        <f>'EIA Costs'!$D$14*INDEX('Cost Improvement'!$B$28:$AI$35,MATCH("solar thermal",'Cost Improvement'!$A$28:$A$35,0),MATCH('CCaMC-BCCpUC'!F$1,'Cost Improvement'!$B$27:$AI$27,0))*1000*About!$A$85</f>
        <v>5641857.1395122139</v>
      </c>
      <c r="G8" s="4">
        <f>'EIA Costs'!$D$14*INDEX('Cost Improvement'!$B$28:$AI$35,MATCH("solar thermal",'Cost Improvement'!$A$28:$A$35,0),MATCH('CCaMC-BCCpUC'!G$1,'Cost Improvement'!$B$27:$AI$27,0))*1000*About!$A$85</f>
        <v>5342596.1522125704</v>
      </c>
      <c r="H8" s="4">
        <f>'EIA Costs'!$D$14*INDEX('Cost Improvement'!$B$28:$AI$35,MATCH("solar thermal",'Cost Improvement'!$A$28:$A$35,0),MATCH('CCaMC-BCCpUC'!H$1,'Cost Improvement'!$B$27:$AI$27,0))*1000*About!$A$85</f>
        <v>5197690.8320464278</v>
      </c>
      <c r="I8" s="4">
        <f>'EIA Costs'!$D$14*INDEX('Cost Improvement'!$B$28:$AI$35,MATCH("solar thermal",'Cost Improvement'!$A$28:$A$35,0),MATCH('CCaMC-BCCpUC'!I$1,'Cost Improvement'!$B$27:$AI$27,0))*1000*About!$A$85</f>
        <v>5002383.6613877146</v>
      </c>
      <c r="J8" s="4">
        <f>'EIA Costs'!$D$14*INDEX('Cost Improvement'!$B$28:$AI$35,MATCH("solar thermal",'Cost Improvement'!$A$28:$A$35,0),MATCH('CCaMC-BCCpUC'!J$1,'Cost Improvement'!$B$27:$AI$27,0))*1000*About!$A$85</f>
        <v>4807076.4907289995</v>
      </c>
      <c r="K8" s="4">
        <f>'EIA Costs'!$D$14*INDEX('Cost Improvement'!$B$28:$AI$35,MATCH("solar thermal",'Cost Improvement'!$A$28:$A$35,0),MATCH('CCaMC-BCCpUC'!K$1,'Cost Improvement'!$B$27:$AI$27,0))*1000*About!$A$85</f>
        <v>4652720.8235955006</v>
      </c>
      <c r="L8" s="4">
        <f>'EIA Costs'!$D$14*INDEX('Cost Improvement'!$B$28:$AI$35,MATCH("solar thermal",'Cost Improvement'!$A$28:$A$35,0),MATCH('CCaMC-BCCpUC'!L$1,'Cost Improvement'!$B$27:$AI$27,0))*1000*About!$A$85</f>
        <v>4422762.380723143</v>
      </c>
      <c r="M8" s="4">
        <f>'EIA Costs'!$D$14*INDEX('Cost Improvement'!$B$28:$AI$35,MATCH("solar thermal",'Cost Improvement'!$A$28:$A$35,0),MATCH('CCaMC-BCCpUC'!M$1,'Cost Improvement'!$B$27:$AI$27,0))*1000*About!$A$85</f>
        <v>4255806.2509665005</v>
      </c>
      <c r="N8" s="4">
        <f>'EIA Costs'!$D$14*INDEX('Cost Improvement'!$B$28:$AI$35,MATCH("solar thermal",'Cost Improvement'!$A$28:$A$35,0),MATCH('CCaMC-BCCpUC'!N$1,'Cost Improvement'!$B$27:$AI$27,0))*1000*About!$A$85</f>
        <v>4158152.665637143</v>
      </c>
      <c r="O8" s="4">
        <f>'EIA Costs'!$D$14*INDEX('Cost Improvement'!$B$28:$AI$35,MATCH("solar thermal",'Cost Improvement'!$A$28:$A$35,0),MATCH('CCaMC-BCCpUC'!O$1,'Cost Improvement'!$B$27:$AI$27,0))*1000*About!$A$85</f>
        <v>4098300.4681772138</v>
      </c>
      <c r="P8" s="4">
        <f>'EIA Costs'!$D$14*INDEX('Cost Improvement'!$B$28:$AI$35,MATCH("solar thermal",'Cost Improvement'!$A$28:$A$35,0),MATCH('CCaMC-BCCpUC'!P$1,'Cost Improvement'!$B$27:$AI$27,0))*1000*About!$A$85</f>
        <v>4051048.7333404277</v>
      </c>
      <c r="Q8" s="4">
        <f>'EIA Costs'!$D$14*INDEX('Cost Improvement'!$B$28:$AI$35,MATCH("solar thermal",'Cost Improvement'!$A$28:$A$35,0),MATCH('CCaMC-BCCpUC'!Q$1,'Cost Improvement'!$B$27:$AI$27,0))*1000*About!$A$85</f>
        <v>3940794.6853879276</v>
      </c>
      <c r="R8" s="4">
        <f>'EIA Costs'!$D$14*INDEX('Cost Improvement'!$B$28:$AI$35,MATCH("solar thermal",'Cost Improvement'!$A$28:$A$35,0),MATCH('CCaMC-BCCpUC'!R$1,'Cost Improvement'!$B$27:$AI$27,0))*1000*About!$A$85</f>
        <v>3880942.4879279998</v>
      </c>
      <c r="S8" s="4">
        <f>'EIA Costs'!$D$14*INDEX('Cost Improvement'!$B$28:$AI$35,MATCH("solar thermal",'Cost Improvement'!$A$28:$A$35,0),MATCH('CCaMC-BCCpUC'!S$1,'Cost Improvement'!$B$27:$AI$27,0))*1000*About!$A$85</f>
        <v>3802189.5965333581</v>
      </c>
      <c r="T8" s="4">
        <f>'EIA Costs'!$D$14*INDEX('Cost Improvement'!$B$28:$AI$35,MATCH("solar thermal",'Cost Improvement'!$A$28:$A$35,0),MATCH('CCaMC-BCCpUC'!T$1,'Cost Improvement'!$B$27:$AI$27,0))*1000*About!$A$85</f>
        <v>3751787.7460407852</v>
      </c>
      <c r="U8" s="4">
        <f>'EIA Costs'!$D$14*INDEX('Cost Improvement'!$B$28:$AI$35,MATCH("solar thermal",'Cost Improvement'!$A$28:$A$35,0),MATCH('CCaMC-BCCpUC'!U$1,'Cost Improvement'!$B$27:$AI$27,0))*1000*About!$A$85</f>
        <v>3720286.5894829277</v>
      </c>
      <c r="V8" s="4">
        <f>'EIA Costs'!$D$14*INDEX('Cost Improvement'!$B$28:$AI$35,MATCH("solar thermal",'Cost Improvement'!$A$28:$A$35,0),MATCH('CCaMC-BCCpUC'!V$1,'Cost Improvement'!$B$27:$AI$27,0))*1000*About!$A$85</f>
        <v>3698235.7798924283</v>
      </c>
      <c r="W8" s="4">
        <f>'EIA Costs'!$D$14*INDEX('Cost Improvement'!$B$28:$AI$35,MATCH("solar thermal",'Cost Improvement'!$A$28:$A$35,0),MATCH('CCaMC-BCCpUC'!W$1,'Cost Improvement'!$B$27:$AI$27,0))*1000*About!$A$85</f>
        <v>3657284.2763672145</v>
      </c>
      <c r="X8" s="4">
        <f>'EIA Costs'!$D$14*INDEX('Cost Improvement'!$B$28:$AI$35,MATCH("solar thermal",'Cost Improvement'!$A$28:$A$35,0),MATCH('CCaMC-BCCpUC'!X$1,'Cost Improvement'!$B$27:$AI$27,0))*1000*About!$A$85</f>
        <v>3635233.4667767142</v>
      </c>
      <c r="Y8" s="4">
        <f>'EIA Costs'!$D$14*INDEX('Cost Improvement'!$B$28:$AI$35,MATCH("solar thermal",'Cost Improvement'!$A$28:$A$35,0),MATCH('CCaMC-BCCpUC'!Y$1,'Cost Improvement'!$B$27:$AI$27,0))*1000*About!$A$85</f>
        <v>3619482.8884977857</v>
      </c>
      <c r="Z8" s="4">
        <f>'EIA Costs'!$D$14*INDEX('Cost Improvement'!$B$28:$AI$35,MATCH("solar thermal",'Cost Improvement'!$A$28:$A$35,0),MATCH('CCaMC-BCCpUC'!Z$1,'Cost Improvement'!$B$27:$AI$27,0))*1000*About!$A$85</f>
        <v>3616332.7728420002</v>
      </c>
      <c r="AA8" s="4">
        <f>'EIA Costs'!$D$14*INDEX('Cost Improvement'!$B$28:$AI$35,MATCH("solar thermal",'Cost Improvement'!$A$28:$A$35,0),MATCH('CCaMC-BCCpUC'!AA$1,'Cost Improvement'!$B$27:$AI$27,0))*1000*About!$A$85</f>
        <v>3603732.3102188567</v>
      </c>
      <c r="AB8" s="4">
        <f>'EIA Costs'!$D$14*INDEX('Cost Improvement'!$B$28:$AI$35,MATCH("solar thermal",'Cost Improvement'!$A$28:$A$35,0),MATCH('CCaMC-BCCpUC'!AB$1,'Cost Improvement'!$B$27:$AI$27,0))*1000*About!$A$85</f>
        <v>3594281.9632515004</v>
      </c>
      <c r="AC8" s="4">
        <f>'EIA Costs'!$D$14*INDEX('Cost Improvement'!$B$28:$AI$35,MATCH("solar thermal",'Cost Improvement'!$A$28:$A$35,0),MATCH('CCaMC-BCCpUC'!AC$1,'Cost Improvement'!$B$27:$AI$27,0))*1000*About!$A$85</f>
        <v>3584831.6162841418</v>
      </c>
      <c r="AD8" s="4">
        <f>'EIA Costs'!$D$14*INDEX('Cost Improvement'!$B$28:$AI$35,MATCH("solar thermal",'Cost Improvement'!$A$28:$A$35,0),MATCH('CCaMC-BCCpUC'!AD$1,'Cost Improvement'!$B$27:$AI$27,0))*1000*About!$A$85</f>
        <v>3578531.3849725714</v>
      </c>
      <c r="AE8" s="4">
        <f>'EIA Costs'!$D$14*INDEX('Cost Improvement'!$B$28:$AI$35,MATCH("solar thermal",'Cost Improvement'!$A$28:$A$35,0),MATCH('CCaMC-BCCpUC'!AE$1,'Cost Improvement'!$B$27:$AI$27,0))*1000*About!$A$85</f>
        <v>3565930.9223494283</v>
      </c>
      <c r="AF8" s="4">
        <f>'EIA Costs'!$D$14*INDEX('Cost Improvement'!$B$28:$AI$35,MATCH("solar thermal",'Cost Improvement'!$A$28:$A$35,0),MATCH('CCaMC-BCCpUC'!AF$1,'Cost Improvement'!$B$27:$AI$27,0))*1000*About!$A$85</f>
        <v>3550180.3440705002</v>
      </c>
      <c r="AG8" s="4">
        <f>'EIA Costs'!$D$14*INDEX('Cost Improvement'!$B$28:$AI$35,MATCH("solar thermal",'Cost Improvement'!$A$28:$A$35,0),MATCH('CCaMC-BCCpUC'!AG$1,'Cost Improvement'!$B$27:$AI$27,0))*1000*About!$A$85</f>
        <v>3531279.6501357853</v>
      </c>
    </row>
    <row r="9" spans="1:33">
      <c r="A9" s="81" t="s">
        <v>2</v>
      </c>
      <c r="B9" s="4">
        <f>'EIA Costs'!$D$9*INDEX('Cost Improvement'!$B$28:$AI$35,MATCH("biomass",'Cost Improvement'!$A$28:$A$35,0),MATCH('CCaMC-BCCpUC'!B$1,'Cost Improvement'!$B$27:$AI$27,0))*1000*About!$A$85</f>
        <v>3678571.9803605257</v>
      </c>
      <c r="C9" s="4">
        <f>'EIA Costs'!$D$9*INDEX('Cost Improvement'!$B$28:$AI$35,MATCH("biomass",'Cost Improvement'!$A$28:$A$35,0),MATCH('CCaMC-BCCpUC'!C$1,'Cost Improvement'!$B$27:$AI$27,0))*1000*About!$A$85</f>
        <v>3671751.960721049</v>
      </c>
      <c r="D9" s="4">
        <f>'EIA Costs'!$D$9*INDEX('Cost Improvement'!$B$28:$AI$35,MATCH("biomass",'Cost Improvement'!$A$28:$A$35,0),MATCH('CCaMC-BCCpUC'!D$1,'Cost Improvement'!$B$27:$AI$27,0))*1000*About!$A$85</f>
        <v>3664931.9410815747</v>
      </c>
      <c r="E9" s="4">
        <f>'EIA Costs'!$D$9*INDEX('Cost Improvement'!$B$28:$AI$35,MATCH("biomass",'Cost Improvement'!$A$28:$A$35,0),MATCH('CCaMC-BCCpUC'!E$1,'Cost Improvement'!$B$27:$AI$27,0))*1000*About!$A$85</f>
        <v>3658111.9214420989</v>
      </c>
      <c r="F9" s="4">
        <f>'EIA Costs'!$D$9*INDEX('Cost Improvement'!$B$28:$AI$35,MATCH("biomass",'Cost Improvement'!$A$28:$A$35,0),MATCH('CCaMC-BCCpUC'!F$1,'Cost Improvement'!$B$27:$AI$27,0))*1000*About!$A$85</f>
        <v>3651291.9018026246</v>
      </c>
      <c r="G9" s="4">
        <f>'EIA Costs'!$D$9*INDEX('Cost Improvement'!$B$28:$AI$35,MATCH("biomass",'Cost Improvement'!$A$28:$A$35,0),MATCH('CCaMC-BCCpUC'!G$1,'Cost Improvement'!$B$27:$AI$27,0))*1000*About!$A$85</f>
        <v>3644471.8821631493</v>
      </c>
      <c r="H9" s="4">
        <f>'EIA Costs'!$D$9*INDEX('Cost Improvement'!$B$28:$AI$35,MATCH("biomass",'Cost Improvement'!$A$28:$A$35,0),MATCH('CCaMC-BCCpUC'!H$1,'Cost Improvement'!$B$27:$AI$27,0))*1000*About!$A$85</f>
        <v>3628824.8405628484</v>
      </c>
      <c r="I9" s="4">
        <f>'EIA Costs'!$D$9*INDEX('Cost Improvement'!$B$28:$AI$35,MATCH("biomass",'Cost Improvement'!$A$28:$A$35,0),MATCH('CCaMC-BCCpUC'!I$1,'Cost Improvement'!$B$27:$AI$27,0))*1000*About!$A$85</f>
        <v>3620156.577121614</v>
      </c>
      <c r="J9" s="4">
        <f>'EIA Costs'!$D$9*INDEX('Cost Improvement'!$B$28:$AI$35,MATCH("biomass",'Cost Improvement'!$A$28:$A$35,0),MATCH('CCaMC-BCCpUC'!J$1,'Cost Improvement'!$B$27:$AI$27,0))*1000*About!$A$85</f>
        <v>3609399.2862804136</v>
      </c>
      <c r="K9" s="4">
        <f>'EIA Costs'!$D$9*INDEX('Cost Improvement'!$B$28:$AI$35,MATCH("biomass",'Cost Improvement'!$A$28:$A$35,0),MATCH('CCaMC-BCCpUC'!K$1,'Cost Improvement'!$B$27:$AI$27,0))*1000*About!$A$85</f>
        <v>3600299.4359089527</v>
      </c>
      <c r="L9" s="4">
        <f>'EIA Costs'!$D$9*INDEX('Cost Improvement'!$B$28:$AI$35,MATCH("biomass",'Cost Improvement'!$A$28:$A$35,0),MATCH('CCaMC-BCCpUC'!L$1,'Cost Improvement'!$B$27:$AI$27,0))*1000*About!$A$85</f>
        <v>3590298.3395178188</v>
      </c>
      <c r="M9" s="4">
        <f>'EIA Costs'!$D$9*INDEX('Cost Improvement'!$B$28:$AI$35,MATCH("biomass",'Cost Improvement'!$A$28:$A$35,0),MATCH('CCaMC-BCCpUC'!M$1,'Cost Improvement'!$B$27:$AI$27,0))*1000*About!$A$85</f>
        <v>3576855.2862717039</v>
      </c>
      <c r="N9" s="4">
        <f>'EIA Costs'!$D$9*INDEX('Cost Improvement'!$B$28:$AI$35,MATCH("biomass",'Cost Improvement'!$A$28:$A$35,0),MATCH('CCaMC-BCCpUC'!N$1,'Cost Improvement'!$B$27:$AI$27,0))*1000*About!$A$85</f>
        <v>3564291.7655070182</v>
      </c>
      <c r="O9" s="4">
        <f>'EIA Costs'!$D$9*INDEX('Cost Improvement'!$B$28:$AI$35,MATCH("biomass",'Cost Improvement'!$A$28:$A$35,0),MATCH('CCaMC-BCCpUC'!O$1,'Cost Improvement'!$B$27:$AI$27,0))*1000*About!$A$85</f>
        <v>3550598.4199158382</v>
      </c>
      <c r="P9" s="4">
        <f>'EIA Costs'!$D$9*INDEX('Cost Improvement'!$B$28:$AI$35,MATCH("biomass",'Cost Improvement'!$A$28:$A$35,0),MATCH('CCaMC-BCCpUC'!P$1,'Cost Improvement'!$B$27:$AI$27,0))*1000*About!$A$85</f>
        <v>3536396.4594575493</v>
      </c>
      <c r="Q9" s="4">
        <f>'EIA Costs'!$D$9*INDEX('Cost Improvement'!$B$28:$AI$35,MATCH("biomass",'Cost Improvement'!$A$28:$A$35,0),MATCH('CCaMC-BCCpUC'!Q$1,'Cost Improvement'!$B$27:$AI$27,0))*1000*About!$A$85</f>
        <v>3525795.5755803068</v>
      </c>
      <c r="R9" s="4">
        <f>'EIA Costs'!$D$9*INDEX('Cost Improvement'!$B$28:$AI$35,MATCH("biomass",'Cost Improvement'!$A$28:$A$35,0),MATCH('CCaMC-BCCpUC'!R$1,'Cost Improvement'!$B$27:$AI$27,0))*1000*About!$A$85</f>
        <v>3514232.3071885663</v>
      </c>
      <c r="S9" s="4">
        <f>'EIA Costs'!$D$9*INDEX('Cost Improvement'!$B$28:$AI$35,MATCH("biomass",'Cost Improvement'!$A$28:$A$35,0),MATCH('CCaMC-BCCpUC'!S$1,'Cost Improvement'!$B$27:$AI$27,0))*1000*About!$A$85</f>
        <v>3498051.4008575836</v>
      </c>
      <c r="T9" s="4">
        <f>'EIA Costs'!$D$9*INDEX('Cost Improvement'!$B$28:$AI$35,MATCH("biomass",'Cost Improvement'!$A$28:$A$35,0),MATCH('CCaMC-BCCpUC'!T$1,'Cost Improvement'!$B$27:$AI$27,0))*1000*About!$A$85</f>
        <v>3486697.951268544</v>
      </c>
      <c r="U9" s="4">
        <f>'EIA Costs'!$D$9*INDEX('Cost Improvement'!$B$28:$AI$35,MATCH("biomass",'Cost Improvement'!$A$28:$A$35,0),MATCH('CCaMC-BCCpUC'!U$1,'Cost Improvement'!$B$27:$AI$27,0))*1000*About!$A$85</f>
        <v>3474096.1759020234</v>
      </c>
      <c r="V9" s="4">
        <f>'EIA Costs'!$D$9*INDEX('Cost Improvement'!$B$28:$AI$35,MATCH("biomass",'Cost Improvement'!$A$28:$A$35,0),MATCH('CCaMC-BCCpUC'!V$1,'Cost Improvement'!$B$27:$AI$27,0))*1000*About!$A$85</f>
        <v>3458941.1316128066</v>
      </c>
      <c r="W9" s="4">
        <f>'EIA Costs'!$D$9*INDEX('Cost Improvement'!$B$28:$AI$35,MATCH("biomass",'Cost Improvement'!$A$28:$A$35,0),MATCH('CCaMC-BCCpUC'!W$1,'Cost Improvement'!$B$27:$AI$27,0))*1000*About!$A$85</f>
        <v>3443162.2178423791</v>
      </c>
      <c r="X9" s="4">
        <f>'EIA Costs'!$D$9*INDEX('Cost Improvement'!$B$28:$AI$35,MATCH("biomass",'Cost Improvement'!$A$28:$A$35,0),MATCH('CCaMC-BCCpUC'!X$1,'Cost Improvement'!$B$27:$AI$27,0))*1000*About!$A$85</f>
        <v>3433071.6679407684</v>
      </c>
      <c r="Y9" s="4">
        <f>'EIA Costs'!$D$9*INDEX('Cost Improvement'!$B$28:$AI$35,MATCH("biomass",'Cost Improvement'!$A$28:$A$35,0),MATCH('CCaMC-BCCpUC'!Y$1,'Cost Improvement'!$B$27:$AI$27,0))*1000*About!$A$85</f>
        <v>3418524.5435286914</v>
      </c>
      <c r="Z9" s="4">
        <f>'EIA Costs'!$D$9*INDEX('Cost Improvement'!$B$28:$AI$35,MATCH("biomass",'Cost Improvement'!$A$28:$A$35,0),MATCH('CCaMC-BCCpUC'!Z$1,'Cost Improvement'!$B$27:$AI$27,0))*1000*About!$A$85</f>
        <v>3406194.102772003</v>
      </c>
      <c r="AA9" s="4">
        <f>'EIA Costs'!$D$9*INDEX('Cost Improvement'!$B$28:$AI$35,MATCH("biomass",'Cost Improvement'!$A$28:$A$35,0),MATCH('CCaMC-BCCpUC'!AA$1,'Cost Improvement'!$B$27:$AI$27,0))*1000*About!$A$85</f>
        <v>3393711.1405199929</v>
      </c>
      <c r="AB9" s="4">
        <f>'EIA Costs'!$D$9*INDEX('Cost Improvement'!$B$28:$AI$35,MATCH("biomass",'Cost Improvement'!$A$28:$A$35,0),MATCH('CCaMC-BCCpUC'!AB$1,'Cost Improvement'!$B$27:$AI$27,0))*1000*About!$A$85</f>
        <v>3383022.4200444478</v>
      </c>
      <c r="AC9" s="4">
        <f>'EIA Costs'!$D$9*INDEX('Cost Improvement'!$B$28:$AI$35,MATCH("biomass",'Cost Improvement'!$A$28:$A$35,0),MATCH('CCaMC-BCCpUC'!AC$1,'Cost Improvement'!$B$27:$AI$27,0))*1000*About!$A$85</f>
        <v>3366519.7611569166</v>
      </c>
      <c r="AD9" s="4">
        <f>'EIA Costs'!$D$9*INDEX('Cost Improvement'!$B$28:$AI$35,MATCH("biomass",'Cost Improvement'!$A$28:$A$35,0),MATCH('CCaMC-BCCpUC'!AD$1,'Cost Improvement'!$B$27:$AI$27,0))*1000*About!$A$85</f>
        <v>3354209.5018289862</v>
      </c>
      <c r="AE9" s="4">
        <f>'EIA Costs'!$D$9*INDEX('Cost Improvement'!$B$28:$AI$35,MATCH("biomass",'Cost Improvement'!$A$28:$A$35,0),MATCH('CCaMC-BCCpUC'!AE$1,'Cost Improvement'!$B$27:$AI$27,0))*1000*About!$A$85</f>
        <v>3341767.0646836697</v>
      </c>
      <c r="AF9" s="4">
        <f>'EIA Costs'!$D$9*INDEX('Cost Improvement'!$B$28:$AI$35,MATCH("biomass",'Cost Improvement'!$A$28:$A$35,0),MATCH('CCaMC-BCCpUC'!AF$1,'Cost Improvement'!$B$27:$AI$27,0))*1000*About!$A$85</f>
        <v>3329258.2766781528</v>
      </c>
      <c r="AG9" s="4">
        <f>'EIA Costs'!$D$9*INDEX('Cost Improvement'!$B$28:$AI$35,MATCH("biomass",'Cost Improvement'!$A$28:$A$35,0),MATCH('CCaMC-BCCpUC'!AG$1,'Cost Improvement'!$B$27:$AI$27,0))*1000*About!$A$85</f>
        <v>3289781.1325243618</v>
      </c>
    </row>
    <row r="10" spans="1:33">
      <c r="A10" s="81" t="s">
        <v>23</v>
      </c>
      <c r="B10" s="4">
        <f>'EIA Costs'!$D$10*INDEX('Cost Improvement'!$B$28:$AI$35,MATCH("geothermal",'Cost Improvement'!$A$28:$A$35,0),MATCH('CCaMC-BCCpUC'!B$1,'Cost Improvement'!$B$27:$AI$27,0))*1000*About!$A$85</f>
        <v>2354993.9779531322</v>
      </c>
      <c r="C10" s="4">
        <f>'EIA Costs'!$D$10*INDEX('Cost Improvement'!$B$28:$AI$35,MATCH("geothermal",'Cost Improvement'!$A$28:$A$35,0),MATCH('CCaMC-BCCpUC'!C$1,'Cost Improvement'!$B$27:$AI$27,0))*1000*About!$A$85</f>
        <v>2303337.5010815179</v>
      </c>
      <c r="D10" s="4">
        <f>'EIA Costs'!$D$10*INDEX('Cost Improvement'!$B$28:$AI$35,MATCH("geothermal",'Cost Improvement'!$A$28:$A$35,0),MATCH('CCaMC-BCCpUC'!D$1,'Cost Improvement'!$B$27:$AI$27,0))*1000*About!$A$85</f>
        <v>2251681.0242098891</v>
      </c>
      <c r="E10" s="4">
        <f>'EIA Costs'!$D$10*INDEX('Cost Improvement'!$B$28:$AI$35,MATCH("geothermal",'Cost Improvement'!$A$28:$A$35,0),MATCH('CCaMC-BCCpUC'!E$1,'Cost Improvement'!$B$27:$AI$27,0))*1000*About!$A$85</f>
        <v>2200024.5473382599</v>
      </c>
      <c r="F10" s="4">
        <f>'EIA Costs'!$D$10*INDEX('Cost Improvement'!$B$28:$AI$35,MATCH("geothermal",'Cost Improvement'!$A$28:$A$35,0),MATCH('CCaMC-BCCpUC'!F$1,'Cost Improvement'!$B$27:$AI$27,0))*1000*About!$A$85</f>
        <v>2148368.070466646</v>
      </c>
      <c r="G10" s="4">
        <f>'EIA Costs'!$D$10*INDEX('Cost Improvement'!$B$28:$AI$35,MATCH("geothermal",'Cost Improvement'!$A$28:$A$35,0),MATCH('CCaMC-BCCpUC'!G$1,'Cost Improvement'!$B$27:$AI$27,0))*1000*About!$A$85</f>
        <v>2096711.5935950165</v>
      </c>
      <c r="H10" s="4">
        <f>'EIA Costs'!$D$10*INDEX('Cost Improvement'!$B$28:$AI$35,MATCH("geothermal",'Cost Improvement'!$A$28:$A$35,0),MATCH('CCaMC-BCCpUC'!H$1,'Cost Improvement'!$B$27:$AI$27,0))*1000*About!$A$85</f>
        <v>2045055.1167233922</v>
      </c>
      <c r="I10" s="4">
        <f>'EIA Costs'!$D$10*INDEX('Cost Improvement'!$B$28:$AI$35,MATCH("geothermal",'Cost Improvement'!$A$28:$A$35,0),MATCH('CCaMC-BCCpUC'!I$1,'Cost Improvement'!$B$27:$AI$27,0))*1000*About!$A$85</f>
        <v>1993398.6398517734</v>
      </c>
      <c r="J10" s="4">
        <f>'EIA Costs'!$D$10*INDEX('Cost Improvement'!$B$28:$AI$35,MATCH("geothermal",'Cost Improvement'!$A$28:$A$35,0),MATCH('CCaMC-BCCpUC'!J$1,'Cost Improvement'!$B$27:$AI$27,0))*1000*About!$A$85</f>
        <v>1941742.1629801493</v>
      </c>
      <c r="K10" s="4">
        <f>'EIA Costs'!$D$10*INDEX('Cost Improvement'!$B$28:$AI$35,MATCH("geothermal",'Cost Improvement'!$A$28:$A$35,0),MATCH('CCaMC-BCCpUC'!K$1,'Cost Improvement'!$B$27:$AI$27,0))*1000*About!$A$85</f>
        <v>1890085.6861085305</v>
      </c>
      <c r="L10" s="4">
        <f>'EIA Costs'!$D$10*INDEX('Cost Improvement'!$B$28:$AI$35,MATCH("geothermal",'Cost Improvement'!$A$28:$A$35,0),MATCH('CCaMC-BCCpUC'!L$1,'Cost Improvement'!$B$27:$AI$27,0))*1000*About!$A$85</f>
        <v>1838429.2092369059</v>
      </c>
      <c r="M10" s="4">
        <f>'EIA Costs'!$D$10*INDEX('Cost Improvement'!$B$28:$AI$35,MATCH("geothermal",'Cost Improvement'!$A$28:$A$35,0),MATCH('CCaMC-BCCpUC'!M$1,'Cost Improvement'!$B$27:$AI$27,0))*1000*About!$A$85</f>
        <v>1786755.550827614</v>
      </c>
      <c r="N10" s="4">
        <f>'EIA Costs'!$D$10*INDEX('Cost Improvement'!$B$28:$AI$35,MATCH("geothermal",'Cost Improvement'!$A$28:$A$35,0),MATCH('CCaMC-BCCpUC'!N$1,'Cost Improvement'!$B$27:$AI$27,0))*1000*About!$A$85</f>
        <v>1777821.773073476</v>
      </c>
      <c r="O10" s="4">
        <f>'EIA Costs'!$D$10*INDEX('Cost Improvement'!$B$28:$AI$35,MATCH("geothermal",'Cost Improvement'!$A$28:$A$35,0),MATCH('CCaMC-BCCpUC'!O$1,'Cost Improvement'!$B$27:$AI$27,0))*1000*About!$A$85</f>
        <v>1768932.6642081086</v>
      </c>
      <c r="P10" s="4">
        <f>'EIA Costs'!$D$10*INDEX('Cost Improvement'!$B$28:$AI$35,MATCH("geothermal",'Cost Improvement'!$A$28:$A$35,0),MATCH('CCaMC-BCCpUC'!P$1,'Cost Improvement'!$B$27:$AI$27,0))*1000*About!$A$85</f>
        <v>1760088.0008870678</v>
      </c>
      <c r="Q10" s="4">
        <f>'EIA Costs'!$D$10*INDEX('Cost Improvement'!$B$28:$AI$35,MATCH("geothermal",'Cost Improvement'!$A$28:$A$35,0),MATCH('CCaMC-BCCpUC'!Q$1,'Cost Improvement'!$B$27:$AI$27,0))*1000*About!$A$85</f>
        <v>1751287.5608826322</v>
      </c>
      <c r="R10" s="4">
        <f>'EIA Costs'!$D$10*INDEX('Cost Improvement'!$B$28:$AI$35,MATCH("geothermal",'Cost Improvement'!$A$28:$A$35,0),MATCH('CCaMC-BCCpUC'!R$1,'Cost Improvement'!$B$27:$AI$27,0))*1000*About!$A$85</f>
        <v>1742531.1230782196</v>
      </c>
      <c r="S10" s="4">
        <f>'EIA Costs'!$D$10*INDEX('Cost Improvement'!$B$28:$AI$35,MATCH("geothermal",'Cost Improvement'!$A$28:$A$35,0),MATCH('CCaMC-BCCpUC'!S$1,'Cost Improvement'!$B$27:$AI$27,0))*1000*About!$A$85</f>
        <v>1733818.4674628286</v>
      </c>
      <c r="T10" s="4">
        <f>'EIA Costs'!$D$10*INDEX('Cost Improvement'!$B$28:$AI$35,MATCH("geothermal",'Cost Improvement'!$A$28:$A$35,0),MATCH('CCaMC-BCCpUC'!T$1,'Cost Improvement'!$B$27:$AI$27,0))*1000*About!$A$85</f>
        <v>1725149.3751255139</v>
      </c>
      <c r="U10" s="4">
        <f>'EIA Costs'!$D$10*INDEX('Cost Improvement'!$B$28:$AI$35,MATCH("geothermal",'Cost Improvement'!$A$28:$A$35,0),MATCH('CCaMC-BCCpUC'!U$1,'Cost Improvement'!$B$27:$AI$27,0))*1000*About!$A$85</f>
        <v>1716523.6282498864</v>
      </c>
      <c r="V10" s="4">
        <f>'EIA Costs'!$D$10*INDEX('Cost Improvement'!$B$28:$AI$35,MATCH("geothermal",'Cost Improvement'!$A$28:$A$35,0),MATCH('CCaMC-BCCpUC'!V$1,'Cost Improvement'!$B$27:$AI$27,0))*1000*About!$A$85</f>
        <v>1707941.0101086374</v>
      </c>
      <c r="W10" s="4">
        <f>'EIA Costs'!$D$10*INDEX('Cost Improvement'!$B$28:$AI$35,MATCH("geothermal",'Cost Improvement'!$A$28:$A$35,0),MATCH('CCaMC-BCCpUC'!W$1,'Cost Improvement'!$B$27:$AI$27,0))*1000*About!$A$85</f>
        <v>1699401.3050580942</v>
      </c>
      <c r="X10" s="4">
        <f>'EIA Costs'!$D$10*INDEX('Cost Improvement'!$B$28:$AI$35,MATCH("geothermal",'Cost Improvement'!$A$28:$A$35,0),MATCH('CCaMC-BCCpUC'!X$1,'Cost Improvement'!$B$27:$AI$27,0))*1000*About!$A$85</f>
        <v>1690904.2985328033</v>
      </c>
      <c r="Y10" s="4">
        <f>'EIA Costs'!$D$10*INDEX('Cost Improvement'!$B$28:$AI$35,MATCH("geothermal",'Cost Improvement'!$A$28:$A$35,0),MATCH('CCaMC-BCCpUC'!Y$1,'Cost Improvement'!$B$27:$AI$27,0))*1000*About!$A$85</f>
        <v>1682449.7770401391</v>
      </c>
      <c r="Z10" s="4">
        <f>'EIA Costs'!$D$10*INDEX('Cost Improvement'!$B$28:$AI$35,MATCH("geothermal",'Cost Improvement'!$A$28:$A$35,0),MATCH('CCaMC-BCCpUC'!Z$1,'Cost Improvement'!$B$27:$AI$27,0))*1000*About!$A$85</f>
        <v>1674037.5281549389</v>
      </c>
      <c r="AA10" s="4">
        <f>'EIA Costs'!$D$10*INDEX('Cost Improvement'!$B$28:$AI$35,MATCH("geothermal",'Cost Improvement'!$A$28:$A$35,0),MATCH('CCaMC-BCCpUC'!AA$1,'Cost Improvement'!$B$27:$AI$27,0))*1000*About!$A$85</f>
        <v>1665667.3405141637</v>
      </c>
      <c r="AB10" s="4">
        <f>'EIA Costs'!$D$10*INDEX('Cost Improvement'!$B$28:$AI$35,MATCH("geothermal",'Cost Improvement'!$A$28:$A$35,0),MATCH('CCaMC-BCCpUC'!AB$1,'Cost Improvement'!$B$27:$AI$27,0))*1000*About!$A$85</f>
        <v>1657339.0038115932</v>
      </c>
      <c r="AC10" s="4">
        <f>'EIA Costs'!$D$10*INDEX('Cost Improvement'!$B$28:$AI$35,MATCH("geothermal",'Cost Improvement'!$A$28:$A$35,0),MATCH('CCaMC-BCCpUC'!AC$1,'Cost Improvement'!$B$27:$AI$27,0))*1000*About!$A$85</f>
        <v>1649052.3087925352</v>
      </c>
      <c r="AD10" s="4">
        <f>'EIA Costs'!$D$10*INDEX('Cost Improvement'!$B$28:$AI$35,MATCH("geothermal",'Cost Improvement'!$A$28:$A$35,0),MATCH('CCaMC-BCCpUC'!AD$1,'Cost Improvement'!$B$27:$AI$27,0))*1000*About!$A$85</f>
        <v>1640807.0472485726</v>
      </c>
      <c r="AE10" s="4">
        <f>'EIA Costs'!$D$10*INDEX('Cost Improvement'!$B$28:$AI$35,MATCH("geothermal",'Cost Improvement'!$A$28:$A$35,0),MATCH('CCaMC-BCCpUC'!AE$1,'Cost Improvement'!$B$27:$AI$27,0))*1000*About!$A$85</f>
        <v>1632603.0120123297</v>
      </c>
      <c r="AF10" s="4">
        <f>'EIA Costs'!$D$10*INDEX('Cost Improvement'!$B$28:$AI$35,MATCH("geothermal",'Cost Improvement'!$A$28:$A$35,0),MATCH('CCaMC-BCCpUC'!AF$1,'Cost Improvement'!$B$27:$AI$27,0))*1000*About!$A$85</f>
        <v>1624439.9969522676</v>
      </c>
      <c r="AG10" s="4">
        <f>'EIA Costs'!$D$10*INDEX('Cost Improvement'!$B$28:$AI$35,MATCH("geothermal",'Cost Improvement'!$A$28:$A$35,0),MATCH('CCaMC-BCCpUC'!AG$1,'Cost Improvement'!$B$27:$AI$27,0))*1000*About!$A$85</f>
        <v>1616317.7969675066</v>
      </c>
    </row>
    <row r="11" spans="1:33">
      <c r="A11" s="81" t="s">
        <v>273</v>
      </c>
      <c r="B11" s="4">
        <f>'EIA Costs'!$D$7*INDEX('Cost Improvement'!$B$28:$AI$35,MATCH("natural gas peaker",'Cost Improvement'!$A$28:$A$35,0),MATCH('CCaMC-BCCpUC'!B$1,'Cost Improvement'!$B$27:$AI$27,0))*1000*About!$A$85</f>
        <v>634545.46940649697</v>
      </c>
      <c r="C11" s="4">
        <f>'EIA Costs'!$D$7*INDEX('Cost Improvement'!$B$28:$AI$35,MATCH("natural gas peaker",'Cost Improvement'!$A$28:$A$35,0),MATCH('CCaMC-BCCpUC'!C$1,'Cost Improvement'!$B$27:$AI$27,0))*1000*About!$A$85</f>
        <v>631510.93881299393</v>
      </c>
      <c r="D11" s="4">
        <f>'EIA Costs'!$D$7*INDEX('Cost Improvement'!$B$28:$AI$35,MATCH("natural gas peaker",'Cost Improvement'!$A$28:$A$35,0),MATCH('CCaMC-BCCpUC'!D$1,'Cost Improvement'!$B$27:$AI$27,0))*1000*About!$A$85</f>
        <v>628476.4082194909</v>
      </c>
      <c r="E11" s="4">
        <f>'EIA Costs'!$D$7*INDEX('Cost Improvement'!$B$28:$AI$35,MATCH("natural gas peaker",'Cost Improvement'!$A$28:$A$35,0),MATCH('CCaMC-BCCpUC'!E$1,'Cost Improvement'!$B$27:$AI$27,0))*1000*About!$A$85</f>
        <v>625441.87762598798</v>
      </c>
      <c r="F11" s="4">
        <f>'EIA Costs'!$D$7*INDEX('Cost Improvement'!$B$28:$AI$35,MATCH("natural gas peaker",'Cost Improvement'!$A$28:$A$35,0),MATCH('CCaMC-BCCpUC'!F$1,'Cost Improvement'!$B$27:$AI$27,0))*1000*About!$A$85</f>
        <v>618254.57042385743</v>
      </c>
      <c r="G11" s="4">
        <f>'EIA Costs'!$D$7*INDEX('Cost Improvement'!$B$28:$AI$35,MATCH("natural gas peaker",'Cost Improvement'!$A$28:$A$35,0),MATCH('CCaMC-BCCpUC'!G$1,'Cost Improvement'!$B$27:$AI$27,0))*1000*About!$A$85</f>
        <v>607141.78367946693</v>
      </c>
      <c r="H11" s="4">
        <f>'EIA Costs'!$D$7*INDEX('Cost Improvement'!$B$28:$AI$35,MATCH("natural gas peaker",'Cost Improvement'!$A$28:$A$35,0),MATCH('CCaMC-BCCpUC'!H$1,'Cost Improvement'!$B$27:$AI$27,0))*1000*About!$A$85</f>
        <v>599804.03060723539</v>
      </c>
      <c r="I11" s="4">
        <f>'EIA Costs'!$D$7*INDEX('Cost Improvement'!$B$28:$AI$35,MATCH("natural gas peaker",'Cost Improvement'!$A$28:$A$35,0),MATCH('CCaMC-BCCpUC'!I$1,'Cost Improvement'!$B$27:$AI$27,0))*1000*About!$A$85</f>
        <v>595377.56925401092</v>
      </c>
      <c r="J11" s="4">
        <f>'EIA Costs'!$D$7*INDEX('Cost Improvement'!$B$28:$AI$35,MATCH("natural gas peaker",'Cost Improvement'!$A$28:$A$35,0),MATCH('CCaMC-BCCpUC'!J$1,'Cost Improvement'!$B$27:$AI$27,0))*1000*About!$A$85</f>
        <v>590599.83710301691</v>
      </c>
      <c r="K11" s="4">
        <f>'EIA Costs'!$D$7*INDEX('Cost Improvement'!$B$28:$AI$35,MATCH("natural gas peaker",'Cost Improvement'!$A$28:$A$35,0),MATCH('CCaMC-BCCpUC'!K$1,'Cost Improvement'!$B$27:$AI$27,0))*1000*About!$A$85</f>
        <v>587481.8733597158</v>
      </c>
      <c r="L11" s="4">
        <f>'EIA Costs'!$D$7*INDEX('Cost Improvement'!$B$28:$AI$35,MATCH("natural gas peaker",'Cost Improvement'!$A$28:$A$35,0),MATCH('CCaMC-BCCpUC'!L$1,'Cost Improvement'!$B$27:$AI$27,0))*1000*About!$A$85</f>
        <v>585382.59714940179</v>
      </c>
      <c r="M11" s="4">
        <f>'EIA Costs'!$D$7*INDEX('Cost Improvement'!$B$28:$AI$35,MATCH("natural gas peaker",'Cost Improvement'!$A$28:$A$35,0),MATCH('CCaMC-BCCpUC'!M$1,'Cost Improvement'!$B$27:$AI$27,0))*1000*About!$A$85</f>
        <v>582464.48705894826</v>
      </c>
      <c r="N11" s="4">
        <f>'EIA Costs'!$D$7*INDEX('Cost Improvement'!$B$28:$AI$35,MATCH("natural gas peaker",'Cost Improvement'!$A$28:$A$35,0),MATCH('CCaMC-BCCpUC'!N$1,'Cost Improvement'!$B$27:$AI$27,0))*1000*About!$A$85</f>
        <v>579963.82183373254</v>
      </c>
      <c r="O11" s="4">
        <f>'EIA Costs'!$D$7*INDEX('Cost Improvement'!$B$28:$AI$35,MATCH("natural gas peaker",'Cost Improvement'!$A$28:$A$35,0),MATCH('CCaMC-BCCpUC'!O$1,'Cost Improvement'!$B$27:$AI$27,0))*1000*About!$A$85</f>
        <v>577288.72085907322</v>
      </c>
      <c r="P11" s="4">
        <f>'EIA Costs'!$D$7*INDEX('Cost Improvement'!$B$28:$AI$35,MATCH("natural gas peaker",'Cost Improvement'!$A$28:$A$35,0),MATCH('CCaMC-BCCpUC'!P$1,'Cost Improvement'!$B$27:$AI$27,0))*1000*About!$A$85</f>
        <v>574235.50789570215</v>
      </c>
      <c r="Q11" s="4">
        <f>'EIA Costs'!$D$7*INDEX('Cost Improvement'!$B$28:$AI$35,MATCH("natural gas peaker",'Cost Improvement'!$A$28:$A$35,0),MATCH('CCaMC-BCCpUC'!Q$1,'Cost Improvement'!$B$27:$AI$27,0))*1000*About!$A$85</f>
        <v>572028.53795816796</v>
      </c>
      <c r="R11" s="4">
        <f>'EIA Costs'!$D$7*INDEX('Cost Improvement'!$B$28:$AI$35,MATCH("natural gas peaker",'Cost Improvement'!$A$28:$A$35,0),MATCH('CCaMC-BCCpUC'!R$1,'Cost Improvement'!$B$27:$AI$27,0))*1000*About!$A$85</f>
        <v>570437.19982664264</v>
      </c>
      <c r="S11" s="4">
        <f>'EIA Costs'!$D$7*INDEX('Cost Improvement'!$B$28:$AI$35,MATCH("natural gas peaker",'Cost Improvement'!$A$28:$A$35,0),MATCH('CCaMC-BCCpUC'!S$1,'Cost Improvement'!$B$27:$AI$27,0))*1000*About!$A$85</f>
        <v>568285.1430633025</v>
      </c>
      <c r="T11" s="4">
        <f>'EIA Costs'!$D$7*INDEX('Cost Improvement'!$B$28:$AI$35,MATCH("natural gas peaker",'Cost Improvement'!$A$28:$A$35,0),MATCH('CCaMC-BCCpUC'!T$1,'Cost Improvement'!$B$27:$AI$27,0))*1000*About!$A$85</f>
        <v>566963.1990212953</v>
      </c>
      <c r="U11" s="4">
        <f>'EIA Costs'!$D$7*INDEX('Cost Improvement'!$B$28:$AI$35,MATCH("natural gas peaker",'Cost Improvement'!$A$28:$A$35,0),MATCH('CCaMC-BCCpUC'!U$1,'Cost Improvement'!$B$27:$AI$27,0))*1000*About!$A$85</f>
        <v>565426.68407863542</v>
      </c>
      <c r="V11" s="4">
        <f>'EIA Costs'!$D$7*INDEX('Cost Improvement'!$B$28:$AI$35,MATCH("natural gas peaker",'Cost Improvement'!$A$28:$A$35,0),MATCH('CCaMC-BCCpUC'!V$1,'Cost Improvement'!$B$27:$AI$27,0))*1000*About!$A$85</f>
        <v>563449.59310001263</v>
      </c>
      <c r="W11" s="4">
        <f>'EIA Costs'!$D$7*INDEX('Cost Improvement'!$B$28:$AI$35,MATCH("natural gas peaker",'Cost Improvement'!$A$28:$A$35,0),MATCH('CCaMC-BCCpUC'!W$1,'Cost Improvement'!$B$27:$AI$27,0))*1000*About!$A$85</f>
        <v>561363.87916637433</v>
      </c>
      <c r="X11" s="4">
        <f>'EIA Costs'!$D$7*INDEX('Cost Improvement'!$B$28:$AI$35,MATCH("natural gas peaker",'Cost Improvement'!$A$28:$A$35,0),MATCH('CCaMC-BCCpUC'!X$1,'Cost Improvement'!$B$27:$AI$27,0))*1000*About!$A$85</f>
        <v>560261.00093979051</v>
      </c>
      <c r="Y11" s="4">
        <f>'EIA Costs'!$D$7*INDEX('Cost Improvement'!$B$28:$AI$35,MATCH("natural gas peaker",'Cost Improvement'!$A$28:$A$35,0),MATCH('CCaMC-BCCpUC'!Y$1,'Cost Improvement'!$B$27:$AI$27,0))*1000*About!$A$85</f>
        <v>558387.38889301382</v>
      </c>
      <c r="Z11" s="4">
        <f>'EIA Costs'!$D$7*INDEX('Cost Improvement'!$B$28:$AI$35,MATCH("natural gas peaker",'Cost Improvement'!$A$28:$A$35,0),MATCH('CCaMC-BCCpUC'!Z$1,'Cost Improvement'!$B$27:$AI$27,0))*1000*About!$A$85</f>
        <v>556897.58296952071</v>
      </c>
      <c r="AA11" s="4">
        <f>'EIA Costs'!$D$7*INDEX('Cost Improvement'!$B$28:$AI$35,MATCH("natural gas peaker",'Cost Improvement'!$A$28:$A$35,0),MATCH('CCaMC-BCCpUC'!AA$1,'Cost Improvement'!$B$27:$AI$27,0))*1000*About!$A$85</f>
        <v>555381.50530279183</v>
      </c>
      <c r="AB11" s="4">
        <f>'EIA Costs'!$D$7*INDEX('Cost Improvement'!$B$28:$AI$35,MATCH("natural gas peaker",'Cost Improvement'!$A$28:$A$35,0),MATCH('CCaMC-BCCpUC'!AB$1,'Cost Improvement'!$B$27:$AI$27,0))*1000*About!$A$85</f>
        <v>554177.47228217078</v>
      </c>
      <c r="AC11" s="4">
        <f>'EIA Costs'!$D$7*INDEX('Cost Improvement'!$B$28:$AI$35,MATCH("natural gas peaker",'Cost Improvement'!$A$28:$A$35,0),MATCH('CCaMC-BCCpUC'!AC$1,'Cost Improvement'!$B$27:$AI$27,0))*1000*About!$A$85</f>
        <v>551962.68251660408</v>
      </c>
      <c r="AD11" s="4">
        <f>'EIA Costs'!$D$7*INDEX('Cost Improvement'!$B$28:$AI$35,MATCH("natural gas peaker",'Cost Improvement'!$A$28:$A$35,0),MATCH('CCaMC-BCCpUC'!AD$1,'Cost Improvement'!$B$27:$AI$27,0))*1000*About!$A$85</f>
        <v>550476.79159344092</v>
      </c>
      <c r="AE11" s="4">
        <f>'EIA Costs'!$D$7*INDEX('Cost Improvement'!$B$28:$AI$35,MATCH("natural gas peaker",'Cost Improvement'!$A$28:$A$35,0),MATCH('CCaMC-BCCpUC'!AE$1,'Cost Improvement'!$B$27:$AI$27,0))*1000*About!$A$85</f>
        <v>548968.17537791212</v>
      </c>
      <c r="AF11" s="4">
        <f>'EIA Costs'!$D$7*INDEX('Cost Improvement'!$B$28:$AI$35,MATCH("natural gas peaker",'Cost Improvement'!$A$28:$A$35,0),MATCH('CCaMC-BCCpUC'!AF$1,'Cost Improvement'!$B$27:$AI$27,0))*1000*About!$A$85</f>
        <v>547448.06466544804</v>
      </c>
      <c r="AG11" s="4">
        <f>'EIA Costs'!$D$7*INDEX('Cost Improvement'!$B$28:$AI$35,MATCH("natural gas peaker",'Cost Improvement'!$A$28:$A$35,0),MATCH('CCaMC-BCCpUC'!AG$1,'Cost Improvement'!$B$27:$AI$27,0))*1000*About!$A$85</f>
        <v>541212.92856860009</v>
      </c>
    </row>
    <row r="12" spans="1:33">
      <c r="A12" s="81" t="s">
        <v>274</v>
      </c>
      <c r="B12" s="4">
        <f>'EIA Costs'!$D$7*INDEX('Cost Improvement'!$B$28:$AI$35,MATCH("natural gas peaker",'Cost Improvement'!$A$28:$A$35,0),MATCH('CCaMC-BCCpUC'!B$1,'Cost Improvement'!$B$27:$AI$27,0))*1000*About!$A$85</f>
        <v>634545.46940649697</v>
      </c>
      <c r="C12" s="4">
        <f>'EIA Costs'!$D$7*INDEX('Cost Improvement'!$B$28:$AI$35,MATCH("natural gas peaker",'Cost Improvement'!$A$28:$A$35,0),MATCH('CCaMC-BCCpUC'!C$1,'Cost Improvement'!$B$27:$AI$27,0))*1000*About!$A$85</f>
        <v>631510.93881299393</v>
      </c>
      <c r="D12" s="4">
        <f>'EIA Costs'!$D$7*INDEX('Cost Improvement'!$B$28:$AI$35,MATCH("natural gas peaker",'Cost Improvement'!$A$28:$A$35,0),MATCH('CCaMC-BCCpUC'!D$1,'Cost Improvement'!$B$27:$AI$27,0))*1000*About!$A$85</f>
        <v>628476.4082194909</v>
      </c>
      <c r="E12" s="4">
        <f>'EIA Costs'!$D$7*INDEX('Cost Improvement'!$B$28:$AI$35,MATCH("natural gas peaker",'Cost Improvement'!$A$28:$A$35,0),MATCH('CCaMC-BCCpUC'!E$1,'Cost Improvement'!$B$27:$AI$27,0))*1000*About!$A$85</f>
        <v>625441.87762598798</v>
      </c>
      <c r="F12" s="4">
        <f>'EIA Costs'!$D$7*INDEX('Cost Improvement'!$B$28:$AI$35,MATCH("natural gas peaker",'Cost Improvement'!$A$28:$A$35,0),MATCH('CCaMC-BCCpUC'!F$1,'Cost Improvement'!$B$27:$AI$27,0))*1000*About!$A$85</f>
        <v>618254.57042385743</v>
      </c>
      <c r="G12" s="4">
        <f>'EIA Costs'!$D$7*INDEX('Cost Improvement'!$B$28:$AI$35,MATCH("natural gas peaker",'Cost Improvement'!$A$28:$A$35,0),MATCH('CCaMC-BCCpUC'!G$1,'Cost Improvement'!$B$27:$AI$27,0))*1000*About!$A$85</f>
        <v>607141.78367946693</v>
      </c>
      <c r="H12" s="4">
        <f>'EIA Costs'!$D$7*INDEX('Cost Improvement'!$B$28:$AI$35,MATCH("natural gas peaker",'Cost Improvement'!$A$28:$A$35,0),MATCH('CCaMC-BCCpUC'!H$1,'Cost Improvement'!$B$27:$AI$27,0))*1000*About!$A$85</f>
        <v>599804.03060723539</v>
      </c>
      <c r="I12" s="4">
        <f>'EIA Costs'!$D$7*INDEX('Cost Improvement'!$B$28:$AI$35,MATCH("natural gas peaker",'Cost Improvement'!$A$28:$A$35,0),MATCH('CCaMC-BCCpUC'!I$1,'Cost Improvement'!$B$27:$AI$27,0))*1000*About!$A$85</f>
        <v>595377.56925401092</v>
      </c>
      <c r="J12" s="4">
        <f>'EIA Costs'!$D$7*INDEX('Cost Improvement'!$B$28:$AI$35,MATCH("natural gas peaker",'Cost Improvement'!$A$28:$A$35,0),MATCH('CCaMC-BCCpUC'!J$1,'Cost Improvement'!$B$27:$AI$27,0))*1000*About!$A$85</f>
        <v>590599.83710301691</v>
      </c>
      <c r="K12" s="4">
        <f>'EIA Costs'!$D$7*INDEX('Cost Improvement'!$B$28:$AI$35,MATCH("natural gas peaker",'Cost Improvement'!$A$28:$A$35,0),MATCH('CCaMC-BCCpUC'!K$1,'Cost Improvement'!$B$27:$AI$27,0))*1000*About!$A$85</f>
        <v>587481.8733597158</v>
      </c>
      <c r="L12" s="4">
        <f>'EIA Costs'!$D$7*INDEX('Cost Improvement'!$B$28:$AI$35,MATCH("natural gas peaker",'Cost Improvement'!$A$28:$A$35,0),MATCH('CCaMC-BCCpUC'!L$1,'Cost Improvement'!$B$27:$AI$27,0))*1000*About!$A$85</f>
        <v>585382.59714940179</v>
      </c>
      <c r="M12" s="4">
        <f>'EIA Costs'!$D$7*INDEX('Cost Improvement'!$B$28:$AI$35,MATCH("natural gas peaker",'Cost Improvement'!$A$28:$A$35,0),MATCH('CCaMC-BCCpUC'!M$1,'Cost Improvement'!$B$27:$AI$27,0))*1000*About!$A$85</f>
        <v>582464.48705894826</v>
      </c>
      <c r="N12" s="4">
        <f>'EIA Costs'!$D$7*INDEX('Cost Improvement'!$B$28:$AI$35,MATCH("natural gas peaker",'Cost Improvement'!$A$28:$A$35,0),MATCH('CCaMC-BCCpUC'!N$1,'Cost Improvement'!$B$27:$AI$27,0))*1000*About!$A$85</f>
        <v>579963.82183373254</v>
      </c>
      <c r="O12" s="4">
        <f>'EIA Costs'!$D$7*INDEX('Cost Improvement'!$B$28:$AI$35,MATCH("natural gas peaker",'Cost Improvement'!$A$28:$A$35,0),MATCH('CCaMC-BCCpUC'!O$1,'Cost Improvement'!$B$27:$AI$27,0))*1000*About!$A$85</f>
        <v>577288.72085907322</v>
      </c>
      <c r="P12" s="4">
        <f>'EIA Costs'!$D$7*INDEX('Cost Improvement'!$B$28:$AI$35,MATCH("natural gas peaker",'Cost Improvement'!$A$28:$A$35,0),MATCH('CCaMC-BCCpUC'!P$1,'Cost Improvement'!$B$27:$AI$27,0))*1000*About!$A$85</f>
        <v>574235.50789570215</v>
      </c>
      <c r="Q12" s="4">
        <f>'EIA Costs'!$D$7*INDEX('Cost Improvement'!$B$28:$AI$35,MATCH("natural gas peaker",'Cost Improvement'!$A$28:$A$35,0),MATCH('CCaMC-BCCpUC'!Q$1,'Cost Improvement'!$B$27:$AI$27,0))*1000*About!$A$85</f>
        <v>572028.53795816796</v>
      </c>
      <c r="R12" s="4">
        <f>'EIA Costs'!$D$7*INDEX('Cost Improvement'!$B$28:$AI$35,MATCH("natural gas peaker",'Cost Improvement'!$A$28:$A$35,0),MATCH('CCaMC-BCCpUC'!R$1,'Cost Improvement'!$B$27:$AI$27,0))*1000*About!$A$85</f>
        <v>570437.19982664264</v>
      </c>
      <c r="S12" s="4">
        <f>'EIA Costs'!$D$7*INDEX('Cost Improvement'!$B$28:$AI$35,MATCH("natural gas peaker",'Cost Improvement'!$A$28:$A$35,0),MATCH('CCaMC-BCCpUC'!S$1,'Cost Improvement'!$B$27:$AI$27,0))*1000*About!$A$85</f>
        <v>568285.1430633025</v>
      </c>
      <c r="T12" s="4">
        <f>'EIA Costs'!$D$7*INDEX('Cost Improvement'!$B$28:$AI$35,MATCH("natural gas peaker",'Cost Improvement'!$A$28:$A$35,0),MATCH('CCaMC-BCCpUC'!T$1,'Cost Improvement'!$B$27:$AI$27,0))*1000*About!$A$85</f>
        <v>566963.1990212953</v>
      </c>
      <c r="U12" s="4">
        <f>'EIA Costs'!$D$7*INDEX('Cost Improvement'!$B$28:$AI$35,MATCH("natural gas peaker",'Cost Improvement'!$A$28:$A$35,0),MATCH('CCaMC-BCCpUC'!U$1,'Cost Improvement'!$B$27:$AI$27,0))*1000*About!$A$85</f>
        <v>565426.68407863542</v>
      </c>
      <c r="V12" s="4">
        <f>'EIA Costs'!$D$7*INDEX('Cost Improvement'!$B$28:$AI$35,MATCH("natural gas peaker",'Cost Improvement'!$A$28:$A$35,0),MATCH('CCaMC-BCCpUC'!V$1,'Cost Improvement'!$B$27:$AI$27,0))*1000*About!$A$85</f>
        <v>563449.59310001263</v>
      </c>
      <c r="W12" s="4">
        <f>'EIA Costs'!$D$7*INDEX('Cost Improvement'!$B$28:$AI$35,MATCH("natural gas peaker",'Cost Improvement'!$A$28:$A$35,0),MATCH('CCaMC-BCCpUC'!W$1,'Cost Improvement'!$B$27:$AI$27,0))*1000*About!$A$85</f>
        <v>561363.87916637433</v>
      </c>
      <c r="X12" s="4">
        <f>'EIA Costs'!$D$7*INDEX('Cost Improvement'!$B$28:$AI$35,MATCH("natural gas peaker",'Cost Improvement'!$A$28:$A$35,0),MATCH('CCaMC-BCCpUC'!X$1,'Cost Improvement'!$B$27:$AI$27,0))*1000*About!$A$85</f>
        <v>560261.00093979051</v>
      </c>
      <c r="Y12" s="4">
        <f>'EIA Costs'!$D$7*INDEX('Cost Improvement'!$B$28:$AI$35,MATCH("natural gas peaker",'Cost Improvement'!$A$28:$A$35,0),MATCH('CCaMC-BCCpUC'!Y$1,'Cost Improvement'!$B$27:$AI$27,0))*1000*About!$A$85</f>
        <v>558387.38889301382</v>
      </c>
      <c r="Z12" s="4">
        <f>'EIA Costs'!$D$7*INDEX('Cost Improvement'!$B$28:$AI$35,MATCH("natural gas peaker",'Cost Improvement'!$A$28:$A$35,0),MATCH('CCaMC-BCCpUC'!Z$1,'Cost Improvement'!$B$27:$AI$27,0))*1000*About!$A$85</f>
        <v>556897.58296952071</v>
      </c>
      <c r="AA12" s="4">
        <f>'EIA Costs'!$D$7*INDEX('Cost Improvement'!$B$28:$AI$35,MATCH("natural gas peaker",'Cost Improvement'!$A$28:$A$35,0),MATCH('CCaMC-BCCpUC'!AA$1,'Cost Improvement'!$B$27:$AI$27,0))*1000*About!$A$85</f>
        <v>555381.50530279183</v>
      </c>
      <c r="AB12" s="4">
        <f>'EIA Costs'!$D$7*INDEX('Cost Improvement'!$B$28:$AI$35,MATCH("natural gas peaker",'Cost Improvement'!$A$28:$A$35,0),MATCH('CCaMC-BCCpUC'!AB$1,'Cost Improvement'!$B$27:$AI$27,0))*1000*About!$A$85</f>
        <v>554177.47228217078</v>
      </c>
      <c r="AC12" s="4">
        <f>'EIA Costs'!$D$7*INDEX('Cost Improvement'!$B$28:$AI$35,MATCH("natural gas peaker",'Cost Improvement'!$A$28:$A$35,0),MATCH('CCaMC-BCCpUC'!AC$1,'Cost Improvement'!$B$27:$AI$27,0))*1000*About!$A$85</f>
        <v>551962.68251660408</v>
      </c>
      <c r="AD12" s="4">
        <f>'EIA Costs'!$D$7*INDEX('Cost Improvement'!$B$28:$AI$35,MATCH("natural gas peaker",'Cost Improvement'!$A$28:$A$35,0),MATCH('CCaMC-BCCpUC'!AD$1,'Cost Improvement'!$B$27:$AI$27,0))*1000*About!$A$85</f>
        <v>550476.79159344092</v>
      </c>
      <c r="AE12" s="4">
        <f>'EIA Costs'!$D$7*INDEX('Cost Improvement'!$B$28:$AI$35,MATCH("natural gas peaker",'Cost Improvement'!$A$28:$A$35,0),MATCH('CCaMC-BCCpUC'!AE$1,'Cost Improvement'!$B$27:$AI$27,0))*1000*About!$A$85</f>
        <v>548968.17537791212</v>
      </c>
      <c r="AF12" s="4">
        <f>'EIA Costs'!$D$7*INDEX('Cost Improvement'!$B$28:$AI$35,MATCH("natural gas peaker",'Cost Improvement'!$A$28:$A$35,0),MATCH('CCaMC-BCCpUC'!AF$1,'Cost Improvement'!$B$27:$AI$27,0))*1000*About!$A$85</f>
        <v>547448.06466544804</v>
      </c>
      <c r="AG12" s="4">
        <f>'EIA Costs'!$D$7*INDEX('Cost Improvement'!$B$28:$AI$35,MATCH("natural gas peaker",'Cost Improvement'!$A$28:$A$35,0),MATCH('CCaMC-BCCpUC'!AG$1,'Cost Improvement'!$B$27:$AI$27,0))*1000*About!$A$85</f>
        <v>541212.92856860009</v>
      </c>
    </row>
    <row r="13" spans="1:33">
      <c r="A13" s="81" t="s">
        <v>275</v>
      </c>
      <c r="B13" s="4">
        <f>B2*'Coal Cost Multipliers'!$B$33</f>
        <v>5296054.618964388</v>
      </c>
      <c r="C13" s="4">
        <f>C2*'Coal Cost Multipliers'!$B$33</f>
        <v>5276189.3425634103</v>
      </c>
      <c r="D13" s="4">
        <f>D2*'Coal Cost Multipliers'!$B$33</f>
        <v>5256324.0661624279</v>
      </c>
      <c r="E13" s="4">
        <f>E2*'Coal Cost Multipliers'!$B$33</f>
        <v>5236458.7897614483</v>
      </c>
      <c r="F13" s="4">
        <f>F2*'Coal Cost Multipliers'!$B$33</f>
        <v>5216593.5133604687</v>
      </c>
      <c r="G13" s="4">
        <f>G2*'Coal Cost Multipliers'!$B$33</f>
        <v>5196728.2369594881</v>
      </c>
      <c r="H13" s="4">
        <f>H2*'Coal Cost Multipliers'!$B$33</f>
        <v>5163556.786338537</v>
      </c>
      <c r="I13" s="4">
        <f>I2*'Coal Cost Multipliers'!$B$33</f>
        <v>5140874.4649328189</v>
      </c>
      <c r="J13" s="4">
        <f>J2*'Coal Cost Multipliers'!$B$33</f>
        <v>5115039.5854404755</v>
      </c>
      <c r="K13" s="4">
        <f>K2*'Coal Cost Multipliers'!$B$33</f>
        <v>5091670.0435427483</v>
      </c>
      <c r="L13" s="4">
        <f>L2*'Coal Cost Multipliers'!$B$33</f>
        <v>5066933.0861907136</v>
      </c>
      <c r="M13" s="4">
        <f>M2*'Coal Cost Multipliers'!$B$33</f>
        <v>5037053.167852167</v>
      </c>
      <c r="N13" s="4">
        <f>N2*'Coal Cost Multipliers'!$B$33</f>
        <v>5008483.8811058477</v>
      </c>
      <c r="O13" s="4">
        <f>O2*'Coal Cost Multipliers'!$B$33</f>
        <v>4978236.5788044613</v>
      </c>
      <c r="P13" s="4">
        <f>P2*'Coal Cost Multipliers'!$B$33</f>
        <v>4947240.8089591125</v>
      </c>
      <c r="Q13" s="4">
        <f>Q2*'Coal Cost Multipliers'!$B$33</f>
        <v>4921572.6575370133</v>
      </c>
      <c r="R13" s="4">
        <f>R2*'Coal Cost Multipliers'!$B$33</f>
        <v>4894470.7333712401</v>
      </c>
      <c r="S13" s="4">
        <f>S2*'Coal Cost Multipliers'!$B$33</f>
        <v>4860567.1682241606</v>
      </c>
      <c r="T13" s="4">
        <f>T2*'Coal Cost Multipliers'!$B$33</f>
        <v>4833771.0745274359</v>
      </c>
      <c r="U13" s="4">
        <f>U2*'Coal Cost Multipliers'!$B$33</f>
        <v>4805135.790096608</v>
      </c>
      <c r="V13" s="4">
        <f>V2*'Coal Cost Multipliers'!$B$33</f>
        <v>4772766.1543231253</v>
      </c>
      <c r="W13" s="4">
        <f>W2*'Coal Cost Multipliers'!$B$33</f>
        <v>4739499.7491336539</v>
      </c>
      <c r="X13" s="4">
        <f>X2*'Coal Cost Multipliers'!$B$33</f>
        <v>4714531.8560362598</v>
      </c>
      <c r="Y13" s="4">
        <f>Y2*'Coal Cost Multipliers'!$B$33</f>
        <v>4683072.6236271858</v>
      </c>
      <c r="Z13" s="4">
        <f>Z2*'Coal Cost Multipliers'!$B$33</f>
        <v>4654836.3802790204</v>
      </c>
      <c r="AA13" s="4">
        <f>AA2*'Coal Cost Multipliers'!$B$33</f>
        <v>4626376.4445985351</v>
      </c>
      <c r="AB13" s="4">
        <f>AB2*'Coal Cost Multipliers'!$B$33</f>
        <v>4600501.252034165</v>
      </c>
      <c r="AC13" s="4">
        <f>AC2*'Coal Cost Multipliers'!$B$33</f>
        <v>4566242.0123403408</v>
      </c>
      <c r="AD13" s="4">
        <f>AD2*'Coal Cost Multipliers'!$B$33</f>
        <v>4538027.8516727975</v>
      </c>
      <c r="AE13" s="4">
        <f>AE2*'Coal Cost Multipliers'!$B$33</f>
        <v>4509620.3329946809</v>
      </c>
      <c r="AF13" s="4">
        <f>AF2*'Coal Cost Multipliers'!$B$33</f>
        <v>4481113.4713772163</v>
      </c>
      <c r="AG13" s="4">
        <f>AG2*'Coal Cost Multipliers'!$B$33</f>
        <v>4414147.4585612668</v>
      </c>
    </row>
    <row r="14" spans="1:33">
      <c r="A14" s="81" t="s">
        <v>35</v>
      </c>
      <c r="B14" s="18">
        <f>'Start Year Wind and Solar'!$B$11*10^3*About!$A$83</f>
        <v>3132342.7308218032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</row>
    <row r="15" spans="1:33">
      <c r="A15" s="51" t="s">
        <v>276</v>
      </c>
      <c r="B15" s="4">
        <f t="shared" ref="B15:AG15" si="0">B11</f>
        <v>634545.46940649697</v>
      </c>
      <c r="C15" s="4">
        <f t="shared" si="0"/>
        <v>631510.93881299393</v>
      </c>
      <c r="D15" s="4">
        <f t="shared" si="0"/>
        <v>628476.4082194909</v>
      </c>
      <c r="E15" s="4">
        <f t="shared" si="0"/>
        <v>625441.87762598798</v>
      </c>
      <c r="F15" s="4">
        <f t="shared" si="0"/>
        <v>618254.57042385743</v>
      </c>
      <c r="G15" s="4">
        <f t="shared" si="0"/>
        <v>607141.78367946693</v>
      </c>
      <c r="H15" s="4">
        <f t="shared" si="0"/>
        <v>599804.03060723539</v>
      </c>
      <c r="I15" s="4">
        <f t="shared" si="0"/>
        <v>595377.56925401092</v>
      </c>
      <c r="J15" s="4">
        <f t="shared" si="0"/>
        <v>590599.83710301691</v>
      </c>
      <c r="K15" s="4">
        <f t="shared" si="0"/>
        <v>587481.8733597158</v>
      </c>
      <c r="L15" s="4">
        <f t="shared" si="0"/>
        <v>585382.59714940179</v>
      </c>
      <c r="M15" s="4">
        <f t="shared" si="0"/>
        <v>582464.48705894826</v>
      </c>
      <c r="N15" s="4">
        <f t="shared" si="0"/>
        <v>579963.82183373254</v>
      </c>
      <c r="O15" s="4">
        <f t="shared" si="0"/>
        <v>577288.72085907322</v>
      </c>
      <c r="P15" s="4">
        <f t="shared" si="0"/>
        <v>574235.50789570215</v>
      </c>
      <c r="Q15" s="4">
        <f t="shared" si="0"/>
        <v>572028.53795816796</v>
      </c>
      <c r="R15" s="4">
        <f t="shared" si="0"/>
        <v>570437.19982664264</v>
      </c>
      <c r="S15" s="4">
        <f t="shared" si="0"/>
        <v>568285.1430633025</v>
      </c>
      <c r="T15" s="4">
        <f t="shared" si="0"/>
        <v>566963.1990212953</v>
      </c>
      <c r="U15" s="4">
        <f t="shared" si="0"/>
        <v>565426.68407863542</v>
      </c>
      <c r="V15" s="4">
        <f t="shared" si="0"/>
        <v>563449.59310001263</v>
      </c>
      <c r="W15" s="4">
        <f t="shared" si="0"/>
        <v>561363.87916637433</v>
      </c>
      <c r="X15" s="4">
        <f t="shared" si="0"/>
        <v>560261.00093979051</v>
      </c>
      <c r="Y15" s="4">
        <f t="shared" si="0"/>
        <v>558387.38889301382</v>
      </c>
      <c r="Z15" s="4">
        <f t="shared" si="0"/>
        <v>556897.58296952071</v>
      </c>
      <c r="AA15" s="4">
        <f t="shared" si="0"/>
        <v>555381.50530279183</v>
      </c>
      <c r="AB15" s="4">
        <f t="shared" si="0"/>
        <v>554177.47228217078</v>
      </c>
      <c r="AC15" s="4">
        <f t="shared" si="0"/>
        <v>551962.68251660408</v>
      </c>
      <c r="AD15" s="4">
        <f t="shared" si="0"/>
        <v>550476.79159344092</v>
      </c>
      <c r="AE15" s="4">
        <f t="shared" si="0"/>
        <v>548968.17537791212</v>
      </c>
      <c r="AF15" s="4">
        <f t="shared" si="0"/>
        <v>547448.06466544804</v>
      </c>
      <c r="AG15" s="4">
        <f t="shared" si="0"/>
        <v>541212.92856860009</v>
      </c>
    </row>
    <row r="16" spans="1:33">
      <c r="A16" s="51" t="s">
        <v>277</v>
      </c>
      <c r="B16" s="4">
        <f t="shared" ref="B16:AG16" si="1">B11</f>
        <v>634545.46940649697</v>
      </c>
      <c r="C16" s="4">
        <f t="shared" si="1"/>
        <v>631510.93881299393</v>
      </c>
      <c r="D16" s="4">
        <f t="shared" si="1"/>
        <v>628476.4082194909</v>
      </c>
      <c r="E16" s="4">
        <f t="shared" si="1"/>
        <v>625441.87762598798</v>
      </c>
      <c r="F16" s="4">
        <f t="shared" si="1"/>
        <v>618254.57042385743</v>
      </c>
      <c r="G16" s="4">
        <f t="shared" si="1"/>
        <v>607141.78367946693</v>
      </c>
      <c r="H16" s="4">
        <f t="shared" si="1"/>
        <v>599804.03060723539</v>
      </c>
      <c r="I16" s="4">
        <f t="shared" si="1"/>
        <v>595377.56925401092</v>
      </c>
      <c r="J16" s="4">
        <f t="shared" si="1"/>
        <v>590599.83710301691</v>
      </c>
      <c r="K16" s="4">
        <f t="shared" si="1"/>
        <v>587481.8733597158</v>
      </c>
      <c r="L16" s="4">
        <f t="shared" si="1"/>
        <v>585382.59714940179</v>
      </c>
      <c r="M16" s="4">
        <f t="shared" si="1"/>
        <v>582464.48705894826</v>
      </c>
      <c r="N16" s="4">
        <f t="shared" si="1"/>
        <v>579963.82183373254</v>
      </c>
      <c r="O16" s="4">
        <f t="shared" si="1"/>
        <v>577288.72085907322</v>
      </c>
      <c r="P16" s="4">
        <f t="shared" si="1"/>
        <v>574235.50789570215</v>
      </c>
      <c r="Q16" s="4">
        <f t="shared" si="1"/>
        <v>572028.53795816796</v>
      </c>
      <c r="R16" s="4">
        <f t="shared" si="1"/>
        <v>570437.19982664264</v>
      </c>
      <c r="S16" s="4">
        <f t="shared" si="1"/>
        <v>568285.1430633025</v>
      </c>
      <c r="T16" s="4">
        <f t="shared" si="1"/>
        <v>566963.1990212953</v>
      </c>
      <c r="U16" s="4">
        <f t="shared" si="1"/>
        <v>565426.68407863542</v>
      </c>
      <c r="V16" s="4">
        <f t="shared" si="1"/>
        <v>563449.59310001263</v>
      </c>
      <c r="W16" s="4">
        <f t="shared" si="1"/>
        <v>561363.87916637433</v>
      </c>
      <c r="X16" s="4">
        <f t="shared" si="1"/>
        <v>560261.00093979051</v>
      </c>
      <c r="Y16" s="4">
        <f t="shared" si="1"/>
        <v>558387.38889301382</v>
      </c>
      <c r="Z16" s="4">
        <f t="shared" si="1"/>
        <v>556897.58296952071</v>
      </c>
      <c r="AA16" s="4">
        <f t="shared" si="1"/>
        <v>555381.50530279183</v>
      </c>
      <c r="AB16" s="4">
        <f t="shared" si="1"/>
        <v>554177.47228217078</v>
      </c>
      <c r="AC16" s="4">
        <f t="shared" si="1"/>
        <v>551962.68251660408</v>
      </c>
      <c r="AD16" s="4">
        <f t="shared" si="1"/>
        <v>550476.79159344092</v>
      </c>
      <c r="AE16" s="4">
        <f t="shared" si="1"/>
        <v>548968.17537791212</v>
      </c>
      <c r="AF16" s="4">
        <f t="shared" si="1"/>
        <v>547448.06466544804</v>
      </c>
      <c r="AG16" s="4">
        <f t="shared" si="1"/>
        <v>541212.92856860009</v>
      </c>
    </row>
    <row r="17" spans="1:33">
      <c r="A17" s="51" t="s">
        <v>278</v>
      </c>
      <c r="B17" s="4">
        <f>'EIA Costs'!$D$16*INDEX('Cost Improvement'!$B$28:$AI$35,MATCH("biomass",'Cost Improvement'!$A$28:$A$35,0),MATCH('CCaMC-BCCpUC'!B$1,'Cost Improvement'!$B$27:$AI$27,0))*1000*About!$A$85</f>
        <v>1395598.5802683569</v>
      </c>
      <c r="C17" s="4">
        <f>'EIA Costs'!$D$16*INDEX('Cost Improvement'!$B$28:$AI$35,MATCH("biomass",'Cost Improvement'!$A$28:$A$35,0),MATCH('CCaMC-BCCpUC'!C$1,'Cost Improvement'!$B$27:$AI$27,0))*1000*About!$A$85</f>
        <v>1393011.1605367137</v>
      </c>
      <c r="D17" s="4">
        <f>'EIA Costs'!$D$16*INDEX('Cost Improvement'!$B$28:$AI$35,MATCH("biomass",'Cost Improvement'!$A$28:$A$35,0),MATCH('CCaMC-BCCpUC'!D$1,'Cost Improvement'!$B$27:$AI$27,0))*1000*About!$A$85</f>
        <v>1390423.7408050713</v>
      </c>
      <c r="E17" s="4">
        <f>'EIA Costs'!$D$16*INDEX('Cost Improvement'!$B$28:$AI$35,MATCH("biomass",'Cost Improvement'!$A$28:$A$35,0),MATCH('CCaMC-BCCpUC'!E$1,'Cost Improvement'!$B$27:$AI$27,0))*1000*About!$A$85</f>
        <v>1387836.321073428</v>
      </c>
      <c r="F17" s="4">
        <f>'EIA Costs'!$D$16*INDEX('Cost Improvement'!$B$28:$AI$35,MATCH("biomass",'Cost Improvement'!$A$28:$A$35,0),MATCH('CCaMC-BCCpUC'!F$1,'Cost Improvement'!$B$27:$AI$27,0))*1000*About!$A$85</f>
        <v>1385248.9013417852</v>
      </c>
      <c r="G17" s="4">
        <f>'EIA Costs'!$D$16*INDEX('Cost Improvement'!$B$28:$AI$35,MATCH("biomass",'Cost Improvement'!$A$28:$A$35,0),MATCH('CCaMC-BCCpUC'!G$1,'Cost Improvement'!$B$27:$AI$27,0))*1000*About!$A$85</f>
        <v>1382661.4816101419</v>
      </c>
      <c r="H17" s="4">
        <f>'EIA Costs'!$D$16*INDEX('Cost Improvement'!$B$28:$AI$35,MATCH("biomass",'Cost Improvement'!$A$28:$A$35,0),MATCH('CCaMC-BCCpUC'!H$1,'Cost Improvement'!$B$27:$AI$27,0))*1000*About!$A$85</f>
        <v>1376725.2136345895</v>
      </c>
      <c r="I17" s="4">
        <f>'EIA Costs'!$D$16*INDEX('Cost Improvement'!$B$28:$AI$35,MATCH("biomass",'Cost Improvement'!$A$28:$A$35,0),MATCH('CCaMC-BCCpUC'!I$1,'Cost Improvement'!$B$27:$AI$27,0))*1000*About!$A$85</f>
        <v>1373436.5961448227</v>
      </c>
      <c r="J17" s="4">
        <f>'EIA Costs'!$D$16*INDEX('Cost Improvement'!$B$28:$AI$35,MATCH("biomass",'Cost Improvement'!$A$28:$A$35,0),MATCH('CCaMC-BCCpUC'!J$1,'Cost Improvement'!$B$27:$AI$27,0))*1000*About!$A$85</f>
        <v>1369355.430979192</v>
      </c>
      <c r="K17" s="4">
        <f>'EIA Costs'!$D$16*INDEX('Cost Improvement'!$B$28:$AI$35,MATCH("biomass",'Cost Improvement'!$A$28:$A$35,0),MATCH('CCaMC-BCCpUC'!K$1,'Cost Improvement'!$B$27:$AI$27,0))*1000*About!$A$85</f>
        <v>1365903.075465458</v>
      </c>
      <c r="L17" s="4">
        <f>'EIA Costs'!$D$16*INDEX('Cost Improvement'!$B$28:$AI$35,MATCH("biomass",'Cost Improvement'!$A$28:$A$35,0),MATCH('CCaMC-BCCpUC'!L$1,'Cost Improvement'!$B$27:$AI$27,0))*1000*About!$A$85</f>
        <v>1362108.7998609266</v>
      </c>
      <c r="M17" s="4">
        <f>'EIA Costs'!$D$16*INDEX('Cost Improvement'!$B$28:$AI$35,MATCH("biomass",'Cost Improvement'!$A$28:$A$35,0),MATCH('CCaMC-BCCpUC'!M$1,'Cost Improvement'!$B$27:$AI$27,0))*1000*About!$A$85</f>
        <v>1357008.6941337825</v>
      </c>
      <c r="N17" s="4">
        <f>'EIA Costs'!$D$16*INDEX('Cost Improvement'!$B$28:$AI$35,MATCH("biomass",'Cost Improvement'!$A$28:$A$35,0),MATCH('CCaMC-BCCpUC'!N$1,'Cost Improvement'!$B$27:$AI$27,0))*1000*About!$A$85</f>
        <v>1352242.2706857768</v>
      </c>
      <c r="O17" s="4">
        <f>'EIA Costs'!$D$16*INDEX('Cost Improvement'!$B$28:$AI$35,MATCH("biomass",'Cost Improvement'!$A$28:$A$35,0),MATCH('CCaMC-BCCpUC'!O$1,'Cost Improvement'!$B$27:$AI$27,0))*1000*About!$A$85</f>
        <v>1347047.2075557897</v>
      </c>
      <c r="P17" s="4">
        <f>'EIA Costs'!$D$16*INDEX('Cost Improvement'!$B$28:$AI$35,MATCH("biomass",'Cost Improvement'!$A$28:$A$35,0),MATCH('CCaMC-BCCpUC'!P$1,'Cost Improvement'!$B$27:$AI$27,0))*1000*About!$A$85</f>
        <v>1341659.1830836756</v>
      </c>
      <c r="Q17" s="4">
        <f>'EIA Costs'!$D$16*INDEX('Cost Improvement'!$B$28:$AI$35,MATCH("biomass",'Cost Improvement'!$A$28:$A$35,0),MATCH('CCaMC-BCCpUC'!Q$1,'Cost Improvement'!$B$27:$AI$27,0))*1000*About!$A$85</f>
        <v>1337637.3565249848</v>
      </c>
      <c r="R17" s="4">
        <f>'EIA Costs'!$D$16*INDEX('Cost Improvement'!$B$28:$AI$35,MATCH("biomass",'Cost Improvement'!$A$28:$A$35,0),MATCH('CCaMC-BCCpUC'!R$1,'Cost Improvement'!$B$27:$AI$27,0))*1000*About!$A$85</f>
        <v>1333250.4147886448</v>
      </c>
      <c r="S17" s="4">
        <f>'EIA Costs'!$D$16*INDEX('Cost Improvement'!$B$28:$AI$35,MATCH("biomass",'Cost Improvement'!$A$28:$A$35,0),MATCH('CCaMC-BCCpUC'!S$1,'Cost Improvement'!$B$27:$AI$27,0))*1000*About!$A$85</f>
        <v>1327111.6060271095</v>
      </c>
      <c r="T17" s="4">
        <f>'EIA Costs'!$D$16*INDEX('Cost Improvement'!$B$28:$AI$35,MATCH("biomass",'Cost Improvement'!$A$28:$A$35,0),MATCH('CCaMC-BCCpUC'!T$1,'Cost Improvement'!$B$27:$AI$27,0))*1000*About!$A$85</f>
        <v>1322804.2665996887</v>
      </c>
      <c r="U17" s="4">
        <f>'EIA Costs'!$D$16*INDEX('Cost Improvement'!$B$28:$AI$35,MATCH("biomass",'Cost Improvement'!$A$28:$A$35,0),MATCH('CCaMC-BCCpUC'!U$1,'Cost Improvement'!$B$27:$AI$27,0))*1000*About!$A$85</f>
        <v>1318023.3298926537</v>
      </c>
      <c r="V17" s="4">
        <f>'EIA Costs'!$D$16*INDEX('Cost Improvement'!$B$28:$AI$35,MATCH("biomass",'Cost Improvement'!$A$28:$A$35,0),MATCH('CCaMC-BCCpUC'!V$1,'Cost Improvement'!$B$27:$AI$27,0))*1000*About!$A$85</f>
        <v>1312273.7187917004</v>
      </c>
      <c r="W17" s="4">
        <f>'EIA Costs'!$D$16*INDEX('Cost Improvement'!$B$28:$AI$35,MATCH("biomass",'Cost Improvement'!$A$28:$A$35,0),MATCH('CCaMC-BCCpUC'!W$1,'Cost Improvement'!$B$27:$AI$27,0))*1000*About!$A$85</f>
        <v>1306287.4203656395</v>
      </c>
      <c r="X17" s="4">
        <f>'EIA Costs'!$D$16*INDEX('Cost Improvement'!$B$28:$AI$35,MATCH("biomass",'Cost Improvement'!$A$28:$A$35,0),MATCH('CCaMC-BCCpUC'!X$1,'Cost Improvement'!$B$27:$AI$27,0))*1000*About!$A$85</f>
        <v>1302459.2073547214</v>
      </c>
      <c r="Y17" s="4">
        <f>'EIA Costs'!$D$16*INDEX('Cost Improvement'!$B$28:$AI$35,MATCH("biomass",'Cost Improvement'!$A$28:$A$35,0),MATCH('CCaMC-BCCpUC'!Y$1,'Cost Improvement'!$B$27:$AI$27,0))*1000*About!$A$85</f>
        <v>1296940.2325229465</v>
      </c>
      <c r="Z17" s="4">
        <f>'EIA Costs'!$D$16*INDEX('Cost Improvement'!$B$28:$AI$35,MATCH("biomass",'Cost Improvement'!$A$28:$A$35,0),MATCH('CCaMC-BCCpUC'!Z$1,'Cost Improvement'!$B$27:$AI$27,0))*1000*About!$A$85</f>
        <v>1292262.2363586766</v>
      </c>
      <c r="AA17" s="4">
        <f>'EIA Costs'!$D$16*INDEX('Cost Improvement'!$B$28:$AI$35,MATCH("biomass",'Cost Improvement'!$A$28:$A$35,0),MATCH('CCaMC-BCCpUC'!AA$1,'Cost Improvement'!$B$27:$AI$27,0))*1000*About!$A$85</f>
        <v>1287526.3756797344</v>
      </c>
      <c r="AB17" s="4">
        <f>'EIA Costs'!$D$16*INDEX('Cost Improvement'!$B$28:$AI$35,MATCH("biomass",'Cost Improvement'!$A$28:$A$35,0),MATCH('CCaMC-BCCpUC'!AB$1,'Cost Improvement'!$B$27:$AI$27,0))*1000*About!$A$85</f>
        <v>1283471.2251484417</v>
      </c>
      <c r="AC17" s="4">
        <f>'EIA Costs'!$D$16*INDEX('Cost Improvement'!$B$28:$AI$35,MATCH("biomass",'Cost Improvement'!$A$28:$A$35,0),MATCH('CCaMC-BCCpUC'!AC$1,'Cost Improvement'!$B$27:$AI$27,0))*1000*About!$A$85</f>
        <v>1277210.3479827775</v>
      </c>
      <c r="AD17" s="4">
        <f>'EIA Costs'!$D$16*INDEX('Cost Improvement'!$B$28:$AI$35,MATCH("biomass",'Cost Improvement'!$A$28:$A$35,0),MATCH('CCaMC-BCCpUC'!AD$1,'Cost Improvement'!$B$27:$AI$27,0))*1000*About!$A$85</f>
        <v>1272540.0083693303</v>
      </c>
      <c r="AE17" s="4">
        <f>'EIA Costs'!$D$16*INDEX('Cost Improvement'!$B$28:$AI$35,MATCH("biomass",'Cost Improvement'!$A$28:$A$35,0),MATCH('CCaMC-BCCpUC'!AE$1,'Cost Improvement'!$B$27:$AI$27,0))*1000*About!$A$85</f>
        <v>1267819.522347094</v>
      </c>
      <c r="AF17" s="4">
        <f>'EIA Costs'!$D$16*INDEX('Cost Improvement'!$B$28:$AI$35,MATCH("biomass",'Cost Improvement'!$A$28:$A$35,0),MATCH('CCaMC-BCCpUC'!AF$1,'Cost Improvement'!$B$27:$AI$27,0))*1000*About!$A$85</f>
        <v>1263073.8637397378</v>
      </c>
      <c r="AG17" s="4">
        <f>'EIA Costs'!$D$16*INDEX('Cost Improvement'!$B$28:$AI$35,MATCH("biomass",'Cost Improvement'!$A$28:$A$35,0),MATCH('CCaMC-BCCpUC'!AG$1,'Cost Improvement'!$B$27:$AI$27,0))*1000*About!$A$85</f>
        <v>1248096.7893129708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EIA Costs</vt:lpstr>
      <vt:lpstr>Start Year Wind and Solar</vt:lpstr>
      <vt:lpstr>Coal Cost Multipliers</vt:lpstr>
      <vt:lpstr>Cost Improvement</vt:lpstr>
      <vt:lpstr>Soft Cost Data</vt:lpstr>
      <vt:lpstr>CCaMC-AFOaMCpUC</vt:lpstr>
      <vt:lpstr>CCaMC-VOaMCpUC</vt:lpstr>
      <vt:lpstr>CCaMC-BCCpUC</vt:lpstr>
      <vt:lpstr>CCaMC-BSCpUC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2020-07-24T00:15:56Z</dcterms:modified>
</cp:coreProperties>
</file>