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10" windowHeight="14400"/>
  </bookViews>
  <sheets>
    <sheet name="About" sheetId="2" r:id="rId1"/>
    <sheet name="EIA Data" sheetId="1" r:id="rId2"/>
    <sheet name="Lighting Calculations" sheetId="6" r:id="rId3"/>
    <sheet name="Calculations" sheetId="4" r:id="rId4"/>
    <sheet name="EoCPwEU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C5" i="4"/>
  <c r="J12" i="6"/>
  <c r="K12" i="6" s="1"/>
  <c r="I12" i="6"/>
  <c r="H12" i="6"/>
  <c r="G12" i="6"/>
  <c r="J11" i="6"/>
  <c r="I11" i="6"/>
  <c r="H11" i="6"/>
  <c r="G11" i="6"/>
  <c r="J10" i="6"/>
  <c r="I10" i="6"/>
  <c r="H10" i="6"/>
  <c r="G10" i="6"/>
  <c r="J9" i="6"/>
  <c r="I9" i="6"/>
  <c r="H9" i="6"/>
  <c r="G9" i="6"/>
  <c r="K9" i="6" s="1"/>
  <c r="M9" i="6" s="1"/>
  <c r="I8" i="6"/>
  <c r="H8" i="6"/>
  <c r="G8" i="6"/>
  <c r="K6" i="6"/>
  <c r="I7" i="6"/>
  <c r="H7" i="6"/>
  <c r="G7" i="6"/>
  <c r="K5" i="6"/>
  <c r="H4" i="6"/>
  <c r="G4" i="6"/>
  <c r="K4" i="6" s="1"/>
  <c r="M4" i="6" s="1"/>
  <c r="H3" i="6"/>
  <c r="K3" i="6" s="1"/>
  <c r="M3" i="6" s="1"/>
  <c r="G3" i="6"/>
  <c r="K10" i="6" l="1"/>
  <c r="K11" i="6"/>
  <c r="K8" i="6"/>
  <c r="M8" i="6" s="1"/>
  <c r="K7" i="6"/>
  <c r="M7" i="6" s="1"/>
  <c r="H2" i="6"/>
  <c r="G2" i="6"/>
  <c r="K2" i="6" l="1"/>
  <c r="M2" i="6" s="1"/>
  <c r="H78" i="1"/>
  <c r="K78" i="1" s="1"/>
  <c r="M78" i="1" s="1"/>
  <c r="G78" i="1"/>
  <c r="H77" i="1"/>
  <c r="G77" i="1"/>
  <c r="H76" i="1"/>
  <c r="K76" i="1" s="1"/>
  <c r="M76" i="1" s="1"/>
  <c r="G76" i="1"/>
  <c r="H75" i="1"/>
  <c r="G75" i="1"/>
  <c r="H74" i="1"/>
  <c r="K74" i="1" s="1"/>
  <c r="M74" i="1" s="1"/>
  <c r="G74" i="1"/>
  <c r="H73" i="1"/>
  <c r="G73" i="1"/>
  <c r="H72" i="1"/>
  <c r="K72" i="1" s="1"/>
  <c r="M72" i="1" s="1"/>
  <c r="G72" i="1"/>
  <c r="H71" i="1"/>
  <c r="G71" i="1"/>
  <c r="H70" i="1"/>
  <c r="K70" i="1" s="1"/>
  <c r="M70" i="1" s="1"/>
  <c r="G70" i="1"/>
  <c r="H69" i="1"/>
  <c r="G69" i="1"/>
  <c r="H68" i="1"/>
  <c r="K68" i="1" s="1"/>
  <c r="M68" i="1" s="1"/>
  <c r="G68" i="1"/>
  <c r="H67" i="1"/>
  <c r="G67" i="1"/>
  <c r="G66" i="1"/>
  <c r="H66" i="1"/>
  <c r="H65" i="1"/>
  <c r="G65" i="1"/>
  <c r="H64" i="1"/>
  <c r="H63" i="1"/>
  <c r="G64" i="1"/>
  <c r="G63" i="1"/>
  <c r="H62" i="1"/>
  <c r="H61" i="1"/>
  <c r="G62" i="1"/>
  <c r="G61" i="1"/>
  <c r="H60" i="1"/>
  <c r="K60" i="1" s="1"/>
  <c r="M60" i="1" s="1"/>
  <c r="G60" i="1"/>
  <c r="H59" i="1"/>
  <c r="G59" i="1"/>
  <c r="H58" i="1"/>
  <c r="K58" i="1" s="1"/>
  <c r="M58" i="1" s="1"/>
  <c r="G58" i="1"/>
  <c r="H57" i="1"/>
  <c r="G57" i="1"/>
  <c r="H56" i="1"/>
  <c r="K56" i="1" s="1"/>
  <c r="M56" i="1" s="1"/>
  <c r="G56" i="1"/>
  <c r="H55" i="1"/>
  <c r="G55" i="1"/>
  <c r="H54" i="1"/>
  <c r="K54" i="1" s="1"/>
  <c r="M54" i="1" s="1"/>
  <c r="H53" i="1"/>
  <c r="G54" i="1"/>
  <c r="G53" i="1"/>
  <c r="G52" i="1"/>
  <c r="H52" i="1"/>
  <c r="H51" i="1"/>
  <c r="G51" i="1"/>
  <c r="H50" i="1"/>
  <c r="K50" i="1" s="1"/>
  <c r="M50" i="1" s="1"/>
  <c r="H49" i="1"/>
  <c r="G50" i="1"/>
  <c r="G49" i="1"/>
  <c r="H48" i="1"/>
  <c r="K48" i="1" s="1"/>
  <c r="M48" i="1" s="1"/>
  <c r="H47" i="1"/>
  <c r="G48" i="1"/>
  <c r="G47" i="1"/>
  <c r="H46" i="1"/>
  <c r="K46" i="1" s="1"/>
  <c r="M46" i="1" s="1"/>
  <c r="G46" i="1"/>
  <c r="G45" i="1"/>
  <c r="H45" i="1"/>
  <c r="H44" i="1"/>
  <c r="K44" i="1" s="1"/>
  <c r="M44" i="1" s="1"/>
  <c r="G44" i="1"/>
  <c r="H43" i="1"/>
  <c r="G43" i="1"/>
  <c r="G41" i="1"/>
  <c r="H41" i="1"/>
  <c r="G42" i="1"/>
  <c r="H42" i="1"/>
  <c r="F40" i="1"/>
  <c r="H40" i="1" s="1"/>
  <c r="F39" i="1"/>
  <c r="H39" i="1" s="1"/>
  <c r="E40" i="1"/>
  <c r="G40" i="1" s="1"/>
  <c r="E39" i="1"/>
  <c r="G39" i="1" s="1"/>
  <c r="F38" i="1"/>
  <c r="H38" i="1" s="1"/>
  <c r="E38" i="1"/>
  <c r="G38" i="1" s="1"/>
  <c r="F37" i="1"/>
  <c r="H37" i="1" s="1"/>
  <c r="F36" i="1"/>
  <c r="H36" i="1" s="1"/>
  <c r="E37" i="1"/>
  <c r="G37" i="1" s="1"/>
  <c r="E36" i="1"/>
  <c r="G36" i="1" s="1"/>
  <c r="H33" i="1"/>
  <c r="K33" i="1" s="1"/>
  <c r="M33" i="1" s="1"/>
  <c r="G33" i="1"/>
  <c r="E35" i="1"/>
  <c r="G35" i="1" s="1"/>
  <c r="F35" i="1"/>
  <c r="H35" i="1" s="1"/>
  <c r="F34" i="1"/>
  <c r="H34" i="1" s="1"/>
  <c r="E34" i="1"/>
  <c r="G34" i="1" s="1"/>
  <c r="F20" i="1"/>
  <c r="H20" i="1" s="1"/>
  <c r="E20" i="1"/>
  <c r="G20" i="1" s="1"/>
  <c r="F19" i="1"/>
  <c r="H19" i="1" s="1"/>
  <c r="E19" i="1"/>
  <c r="F22" i="1"/>
  <c r="H22" i="1" s="1"/>
  <c r="E22" i="1"/>
  <c r="G22" i="1" s="1"/>
  <c r="F21" i="1"/>
  <c r="H21" i="1" s="1"/>
  <c r="E21" i="1"/>
  <c r="G21" i="1" s="1"/>
  <c r="F18" i="1"/>
  <c r="H18" i="1" s="1"/>
  <c r="K18" i="1" s="1"/>
  <c r="M18" i="1" s="1"/>
  <c r="F17" i="1"/>
  <c r="E18" i="1"/>
  <c r="G18" i="1" s="1"/>
  <c r="E17" i="1"/>
  <c r="G17" i="1" s="1"/>
  <c r="G19" i="1"/>
  <c r="H17" i="1"/>
  <c r="G24" i="1"/>
  <c r="H24" i="1"/>
  <c r="K24" i="1" s="1"/>
  <c r="M24" i="1" s="1"/>
  <c r="G25" i="1"/>
  <c r="H25" i="1"/>
  <c r="G26" i="1"/>
  <c r="H26" i="1"/>
  <c r="K26" i="1" s="1"/>
  <c r="M26" i="1" s="1"/>
  <c r="G27" i="1"/>
  <c r="H27" i="1"/>
  <c r="G28" i="1"/>
  <c r="H28" i="1"/>
  <c r="K28" i="1" s="1"/>
  <c r="M28" i="1" s="1"/>
  <c r="G29" i="1"/>
  <c r="H29" i="1"/>
  <c r="G30" i="1"/>
  <c r="H30" i="1"/>
  <c r="K30" i="1" s="1"/>
  <c r="M30" i="1" s="1"/>
  <c r="G31" i="1"/>
  <c r="H31" i="1"/>
  <c r="G32" i="1"/>
  <c r="H32" i="1"/>
  <c r="K32" i="1" s="1"/>
  <c r="M32" i="1" s="1"/>
  <c r="H23" i="1"/>
  <c r="G23" i="1"/>
  <c r="G3" i="1"/>
  <c r="H3" i="1"/>
  <c r="K3" i="1" s="1"/>
  <c r="M3" i="1" s="1"/>
  <c r="G4" i="1"/>
  <c r="H4" i="1"/>
  <c r="G5" i="1"/>
  <c r="H5" i="1"/>
  <c r="K5" i="1" s="1"/>
  <c r="M5" i="1" s="1"/>
  <c r="G6" i="1"/>
  <c r="H6" i="1"/>
  <c r="G7" i="1"/>
  <c r="H7" i="1"/>
  <c r="K7" i="1" s="1"/>
  <c r="M7" i="1" s="1"/>
  <c r="G8" i="1"/>
  <c r="H8" i="1"/>
  <c r="G9" i="1"/>
  <c r="H9" i="1"/>
  <c r="K9" i="1" s="1"/>
  <c r="M9" i="1" s="1"/>
  <c r="G10" i="1"/>
  <c r="H10" i="1"/>
  <c r="G11" i="1"/>
  <c r="H11" i="1"/>
  <c r="K11" i="1" s="1"/>
  <c r="M11" i="1" s="1"/>
  <c r="G12" i="1"/>
  <c r="H12" i="1"/>
  <c r="K12" i="1" s="1"/>
  <c r="M12" i="1" s="1"/>
  <c r="G13" i="1"/>
  <c r="H13" i="1"/>
  <c r="K13" i="1" s="1"/>
  <c r="M13" i="1" s="1"/>
  <c r="G14" i="1"/>
  <c r="H14" i="1"/>
  <c r="K14" i="1" s="1"/>
  <c r="M14" i="1" s="1"/>
  <c r="G15" i="1"/>
  <c r="H15" i="1"/>
  <c r="K15" i="1" s="1"/>
  <c r="M15" i="1" s="1"/>
  <c r="G16" i="1"/>
  <c r="H16" i="1"/>
  <c r="K16" i="1" s="1"/>
  <c r="M16" i="1" s="1"/>
  <c r="H2" i="1"/>
  <c r="G2" i="1"/>
  <c r="K37" i="1" l="1"/>
  <c r="M37" i="1" s="1"/>
  <c r="K23" i="1"/>
  <c r="M23" i="1" s="1"/>
  <c r="K62" i="1"/>
  <c r="M62" i="1" s="1"/>
  <c r="K64" i="1"/>
  <c r="M64" i="1" s="1"/>
  <c r="K42" i="1"/>
  <c r="M42" i="1" s="1"/>
  <c r="K45" i="1"/>
  <c r="M45" i="1" s="1"/>
  <c r="K22" i="1"/>
  <c r="M22" i="1" s="1"/>
  <c r="K20" i="1"/>
  <c r="M20" i="1" s="1"/>
  <c r="K2" i="1"/>
  <c r="M2" i="1" s="1"/>
  <c r="K39" i="1"/>
  <c r="M39" i="1" s="1"/>
  <c r="K43" i="1"/>
  <c r="M43" i="1" s="1"/>
  <c r="K51" i="1"/>
  <c r="M51" i="1" s="1"/>
  <c r="K55" i="1"/>
  <c r="M55" i="1" s="1"/>
  <c r="K57" i="1"/>
  <c r="M57" i="1" s="1"/>
  <c r="K59" i="1"/>
  <c r="M59" i="1" s="1"/>
  <c r="C7" i="4" s="1"/>
  <c r="C6" i="5" s="1"/>
  <c r="K65" i="1"/>
  <c r="M65" i="1" s="1"/>
  <c r="K67" i="1"/>
  <c r="M67" i="1" s="1"/>
  <c r="K69" i="1"/>
  <c r="M69" i="1" s="1"/>
  <c r="K71" i="1"/>
  <c r="M71" i="1" s="1"/>
  <c r="K73" i="1"/>
  <c r="M73" i="1" s="1"/>
  <c r="K75" i="1"/>
  <c r="M75" i="1" s="1"/>
  <c r="K77" i="1"/>
  <c r="M77" i="1" s="1"/>
  <c r="K10" i="1"/>
  <c r="M10" i="1" s="1"/>
  <c r="K8" i="1"/>
  <c r="M8" i="1" s="1"/>
  <c r="C4" i="4" s="1"/>
  <c r="B2" i="5" s="1"/>
  <c r="B4" i="5" s="1"/>
  <c r="K6" i="1"/>
  <c r="M6" i="1" s="1"/>
  <c r="K4" i="1"/>
  <c r="M4" i="1" s="1"/>
  <c r="K31" i="1"/>
  <c r="M31" i="1" s="1"/>
  <c r="K29" i="1"/>
  <c r="M29" i="1" s="1"/>
  <c r="C2" i="4" s="1"/>
  <c r="B6" i="5" s="1"/>
  <c r="K27" i="1"/>
  <c r="M27" i="1" s="1"/>
  <c r="K25" i="1"/>
  <c r="M25" i="1" s="1"/>
  <c r="K17" i="1"/>
  <c r="M17" i="1" s="1"/>
  <c r="C3" i="4" s="1"/>
  <c r="B3" i="5" s="1"/>
  <c r="K21" i="1"/>
  <c r="M21" i="1" s="1"/>
  <c r="K19" i="1"/>
  <c r="M19" i="1" s="1"/>
  <c r="K34" i="1"/>
  <c r="M34" i="1" s="1"/>
  <c r="K36" i="1"/>
  <c r="M36" i="1" s="1"/>
  <c r="K38" i="1"/>
  <c r="M38" i="1" s="1"/>
  <c r="K40" i="1"/>
  <c r="M40" i="1" s="1"/>
  <c r="K41" i="1"/>
  <c r="M41" i="1" s="1"/>
  <c r="K47" i="1"/>
  <c r="M47" i="1" s="1"/>
  <c r="C8" i="4" s="1"/>
  <c r="C3" i="5" s="1"/>
  <c r="K49" i="1"/>
  <c r="M49" i="1" s="1"/>
  <c r="K52" i="1"/>
  <c r="M52" i="1" s="1"/>
  <c r="K53" i="1"/>
  <c r="M53" i="1" s="1"/>
  <c r="K61" i="1"/>
  <c r="M61" i="1" s="1"/>
  <c r="K63" i="1"/>
  <c r="M63" i="1" s="1"/>
  <c r="K66" i="1"/>
  <c r="M66" i="1" s="1"/>
  <c r="K35" i="1"/>
  <c r="M35" i="1" s="1"/>
  <c r="C5" i="5"/>
  <c r="B5" i="5"/>
  <c r="C11" i="4"/>
  <c r="C9" i="4"/>
  <c r="C2" i="5" s="1"/>
  <c r="C6" i="4" l="1"/>
  <c r="B7" i="5" s="1"/>
  <c r="C7" i="5"/>
  <c r="C4" i="5"/>
</calcChain>
</file>

<file path=xl/sharedStrings.xml><?xml version="1.0" encoding="utf-8"?>
<sst xmlns="http://schemas.openxmlformats.org/spreadsheetml/2006/main" count="523" uniqueCount="137">
  <si>
    <t>Building Type</t>
  </si>
  <si>
    <t>Activity</t>
  </si>
  <si>
    <t>Description</t>
  </si>
  <si>
    <t>Residential</t>
  </si>
  <si>
    <t>Water Heating</t>
  </si>
  <si>
    <t>Modeling Classification</t>
  </si>
  <si>
    <t>Appliances</t>
  </si>
  <si>
    <t>Residential Gas Fired Water Heater</t>
  </si>
  <si>
    <t>2013 Elasticity</t>
  </si>
  <si>
    <t>2013 Typical Efficiency</t>
  </si>
  <si>
    <t>2013 Higher Efficiency</t>
  </si>
  <si>
    <t>Residential Oil Fired Water Heater</t>
  </si>
  <si>
    <t>2013 Typical Cost</t>
  </si>
  <si>
    <t>2013 Higher Efficiency Cost</t>
  </si>
  <si>
    <t>Residential Elec Resistance Water Heater</t>
  </si>
  <si>
    <t>Residential Instanteaneous Water Heater</t>
  </si>
  <si>
    <t>Heating</t>
  </si>
  <si>
    <t>Residential Gas Fired Furnace</t>
  </si>
  <si>
    <t>Residential Oil Fired Furnace</t>
  </si>
  <si>
    <t>Residential Gas Fired Boiler</t>
  </si>
  <si>
    <t>Residential Oil Fired Boiler</t>
  </si>
  <si>
    <t>Cooling and Ventilation</t>
  </si>
  <si>
    <t>Cooling</t>
  </si>
  <si>
    <t>Residential Room Air Conditioner</t>
  </si>
  <si>
    <t>Residential Central Air Conditioner</t>
  </si>
  <si>
    <t>Refrigeration</t>
  </si>
  <si>
    <t>kWh/yr</t>
  </si>
  <si>
    <t>Residential Top-Mount Refrigerator-Freezer</t>
  </si>
  <si>
    <t>Residential Bottom-Mount Refrigerator-Freezer</t>
  </si>
  <si>
    <t>Residential Side-Mount Refrigerator-Freezer</t>
  </si>
  <si>
    <t>Freezing</t>
  </si>
  <si>
    <t>Residential Upright Freezer</t>
  </si>
  <si>
    <t>Residential Chest Freezer</t>
  </si>
  <si>
    <t>Cooking</t>
  </si>
  <si>
    <t>Residential Natural Gas Cooktop and Stove</t>
  </si>
  <si>
    <t>Clothes Washing</t>
  </si>
  <si>
    <t>Residential Front Loading Clothes Washer</t>
  </si>
  <si>
    <t>EER used to find power</t>
  </si>
  <si>
    <t>SEER used to find power</t>
  </si>
  <si>
    <t>kWh/cycle</t>
  </si>
  <si>
    <t>Residential Top Loading Clothes Washer</t>
  </si>
  <si>
    <t>Drying</t>
  </si>
  <si>
    <t>kWh/lb</t>
  </si>
  <si>
    <t>Residential Electric Clothes Dryer</t>
  </si>
  <si>
    <t>Residential Natural Gas Clothes Dryer</t>
  </si>
  <si>
    <t>Dishwashing</t>
  </si>
  <si>
    <t>Residential Dishwasher</t>
  </si>
  <si>
    <t>Commercial</t>
  </si>
  <si>
    <t>Commercial Gas Fired Furnace</t>
  </si>
  <si>
    <t>Commercial Gas Fired Boiler</t>
  </si>
  <si>
    <t>Commercial Oil Fired Boiler</t>
  </si>
  <si>
    <t>Commercial Centrifugal Chiller</t>
  </si>
  <si>
    <t>COP (IPLV)</t>
  </si>
  <si>
    <t>2013 Typical 1 Unit Energy</t>
  </si>
  <si>
    <t>2013 Efficient 1 Unit Energy</t>
  </si>
  <si>
    <t>Energy Factor</t>
  </si>
  <si>
    <t>Commercial Reciprocating Chiller</t>
  </si>
  <si>
    <t>Commercial Screw Chiller</t>
  </si>
  <si>
    <t>Commercial Scroll Chiller</t>
  </si>
  <si>
    <t>Commercial Rooftop Air Conditioners</t>
  </si>
  <si>
    <t>Commercial Gas Storage Water Heater</t>
  </si>
  <si>
    <t>Thermal Efficiency</t>
  </si>
  <si>
    <t>AFUE</t>
  </si>
  <si>
    <t>Commercial Oil Fired Water Heater</t>
  </si>
  <si>
    <t>Commercial Gas Fired Instantaneous Water Heater</t>
  </si>
  <si>
    <t>Commercial Gas Booster Water Heater</t>
  </si>
  <si>
    <t>Commercial Gas Griddle</t>
  </si>
  <si>
    <t>Cooking Energy Efficiency</t>
  </si>
  <si>
    <t>Commercial Electric Griddle</t>
  </si>
  <si>
    <t>Commercial Hot Food Holding Cabinet</t>
  </si>
  <si>
    <t>Lighting</t>
  </si>
  <si>
    <t>lm/w, 2011 estimates</t>
  </si>
  <si>
    <t>lm/w, 2011 estimates, compare halogen to incandescent</t>
  </si>
  <si>
    <t>lm/w, 2011 estimates, compare CFL to incandescent</t>
  </si>
  <si>
    <t>lm/w, 2011 estimates, 28w T8 versus 32w T8</t>
  </si>
  <si>
    <t>lm/w, 2011 estimates, 59W T8 versus 55W T8</t>
  </si>
  <si>
    <t>lm/w 2011 estimates</t>
  </si>
  <si>
    <t>Other</t>
  </si>
  <si>
    <t>Commercial Supermarket Display Cases</t>
  </si>
  <si>
    <t>Commercial Compressor Rack Systems</t>
  </si>
  <si>
    <t>Commercial Condensors</t>
  </si>
  <si>
    <t>Commercial Walk In Refrigerator</t>
  </si>
  <si>
    <t>Commercial Walk In Freezer</t>
  </si>
  <si>
    <t>Commercial Reach In Refrigerator</t>
  </si>
  <si>
    <t>Commercial Reach In Freezer</t>
  </si>
  <si>
    <t>Commercial Ice Machine</t>
  </si>
  <si>
    <t>Commercial Beverage Merchandiser</t>
  </si>
  <si>
    <t>Ventilation</t>
  </si>
  <si>
    <t>Commercial Constant Air Volume Ventilation</t>
  </si>
  <si>
    <t>Commercial Variable Air Volume Ventilation</t>
  </si>
  <si>
    <t>Commercial Fan Coil Unit</t>
  </si>
  <si>
    <t>Notes:</t>
  </si>
  <si>
    <t>kWh/yr, 2011 estimates</t>
  </si>
  <si>
    <t>MWh/yr, 2011 estimates</t>
  </si>
  <si>
    <t>Efficiency Metric Used and Additional Comments</t>
  </si>
  <si>
    <t>Elasticity Value</t>
  </si>
  <si>
    <t>Notes</t>
  </si>
  <si>
    <t>Include/Exclude</t>
  </si>
  <si>
    <t>We use the same elasticity as the commercial value because there is no residential data available</t>
  </si>
  <si>
    <t>EoCPwEU Elasticity of Component Price wrt Energy Use</t>
  </si>
  <si>
    <t>Source:</t>
  </si>
  <si>
    <t>Energy Information Administration</t>
  </si>
  <si>
    <t>Updated Buildings Sector Appliance and Equipment Costs and Efficiencies</t>
  </si>
  <si>
    <t>http://www.eia.gov/analysis/studies/buildings/equipcosts/pdf/full.pdf</t>
  </si>
  <si>
    <t>We exclude heat pumps from the estimates, as they can be either "heating" or "cooling and ventilation,"</t>
  </si>
  <si>
    <t>and we have plenty of technologies that fall into exclusively one or the other of those categories on which</t>
  </si>
  <si>
    <t>to base our elasticity estimates.</t>
  </si>
  <si>
    <t>We exclude "low" estimates and compare "typical" components to higher efficiency options.</t>
  </si>
  <si>
    <t>We only include components for which there exist higher efficiency options in the publication.</t>
  </si>
  <si>
    <t>We exclude certain technologies where the elasticities are nonsensical or the where the EIA publication is</t>
  </si>
  <si>
    <t>using considerably out-of-date data.</t>
  </si>
  <si>
    <t>No data is avaialable for envelope components, so we use an average of the elasticities of "heating"</t>
  </si>
  <si>
    <t>and "cooling and ventilation" components.</t>
  </si>
  <si>
    <t>heating</t>
  </si>
  <si>
    <t>cooling and ventilation</t>
  </si>
  <si>
    <t>envelope</t>
  </si>
  <si>
    <t>lighting</t>
  </si>
  <si>
    <t>appliances</t>
  </si>
  <si>
    <t>other component</t>
  </si>
  <si>
    <t>Include</t>
  </si>
  <si>
    <t>Residential Linear Fluorescent Lamp 40W T12 --&gt; 32W T8</t>
  </si>
  <si>
    <t>lm/w, 2011 estimates, use low CFL price because existing price was too high based on research (data is pre 2011).</t>
  </si>
  <si>
    <t>Residential General Service 60W Incadescent Lamp --&gt; Residential 13W CFL</t>
  </si>
  <si>
    <t>lm/w, 2011 estimates, current standard T12 to mid-level T8 to get approx. same lumens</t>
  </si>
  <si>
    <t>Commercial General Service Incadescent Lighting 100W --&gt; 23W CFL</t>
  </si>
  <si>
    <t>Residential Reflector Lighting Incadescent--&gt;CFL</t>
  </si>
  <si>
    <t>Residential Reflector Lighting Incandescent--&gt;Halogen</t>
  </si>
  <si>
    <t>Residential Linear Fluorescent Lamp 40W T12 --&gt; 28W T5</t>
  </si>
  <si>
    <t>Commercial 4ft T8 Linear Fluorescent Lighting --&gt;T5</t>
  </si>
  <si>
    <t>Commerical 8ft Linear Fluorescent Lighting 60W T12 --&gt; 55W T8</t>
  </si>
  <si>
    <t>Commercial High Bay HID Lighting Metal Halide --&gt; HPS</t>
  </si>
  <si>
    <t>Commercial High Bay HID Lighting Metal Halide --&gt; T5 HO</t>
  </si>
  <si>
    <t>Commercial Low Bay HID Lighting Metal Halide --&gt; HPS</t>
  </si>
  <si>
    <t xml:space="preserve">Lighting calculations are handled separately on the "lighting calculations" page. Here we evaluate the fact that </t>
  </si>
  <si>
    <t xml:space="preserve">more efficient version of the same technology when evaluating lighting options. More detail on the </t>
  </si>
  <si>
    <t xml:space="preserve">standards are more likely to push customers to switch between substitutable technologies rather than choose a </t>
  </si>
  <si>
    <t>comparisons is provided in the "lighting calculations" tab.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</si>
</sst>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0" borderId="0" xfId="0" applyNumberFormat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left" vertical="top" wrapText="1"/>
    </xf>
    <xf numFmtId="0" fontId="1" fillId="0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analysis/studies/buildings/equipcosts/pdf/ful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workbookViewId="0"/>
  </sheetViews>
  <sheetFormatPr defaultRowHeight="15" x14ac:dyDescent="0.25"/>
  <cols>
    <col min="1" max="1" width="9.28515625" customWidth="1"/>
    <col min="2" max="2" width="90" customWidth="1"/>
  </cols>
  <sheetData>
    <row r="1" spans="1:2" x14ac:dyDescent="0.25">
      <c r="A1" s="6" t="s">
        <v>99</v>
      </c>
    </row>
    <row r="2" spans="1:2" ht="15" customHeight="1" x14ac:dyDescent="0.25">
      <c r="A2" s="5"/>
    </row>
    <row r="3" spans="1:2" x14ac:dyDescent="0.25">
      <c r="A3" s="4" t="s">
        <v>100</v>
      </c>
      <c r="B3" t="s">
        <v>101</v>
      </c>
    </row>
    <row r="4" spans="1:2" x14ac:dyDescent="0.25">
      <c r="B4" s="7">
        <v>2015</v>
      </c>
    </row>
    <row r="5" spans="1:2" x14ac:dyDescent="0.25">
      <c r="B5" t="s">
        <v>102</v>
      </c>
    </row>
    <row r="6" spans="1:2" x14ac:dyDescent="0.25">
      <c r="B6" s="8" t="s">
        <v>103</v>
      </c>
    </row>
    <row r="8" spans="1:2" x14ac:dyDescent="0.25">
      <c r="A8" s="4" t="s">
        <v>91</v>
      </c>
    </row>
    <row r="9" spans="1:2" x14ac:dyDescent="0.25">
      <c r="A9" t="s">
        <v>104</v>
      </c>
    </row>
    <row r="10" spans="1:2" x14ac:dyDescent="0.25">
      <c r="A10" t="s">
        <v>105</v>
      </c>
    </row>
    <row r="11" spans="1:2" x14ac:dyDescent="0.25">
      <c r="A11" t="s">
        <v>106</v>
      </c>
    </row>
    <row r="13" spans="1:2" x14ac:dyDescent="0.25">
      <c r="A13" t="s">
        <v>107</v>
      </c>
    </row>
    <row r="14" spans="1:2" x14ac:dyDescent="0.25">
      <c r="A14" t="s">
        <v>108</v>
      </c>
    </row>
    <row r="16" spans="1:2" x14ac:dyDescent="0.25">
      <c r="A16" t="s">
        <v>109</v>
      </c>
    </row>
    <row r="17" spans="1:1" x14ac:dyDescent="0.25">
      <c r="A17" t="s">
        <v>110</v>
      </c>
    </row>
    <row r="19" spans="1:1" x14ac:dyDescent="0.25">
      <c r="A19" t="s">
        <v>111</v>
      </c>
    </row>
    <row r="20" spans="1:1" x14ac:dyDescent="0.25">
      <c r="A20" t="s">
        <v>112</v>
      </c>
    </row>
    <row r="22" spans="1:1" x14ac:dyDescent="0.25">
      <c r="A22" t="s">
        <v>133</v>
      </c>
    </row>
    <row r="23" spans="1:1" x14ac:dyDescent="0.25">
      <c r="A23" t="s">
        <v>135</v>
      </c>
    </row>
    <row r="24" spans="1:1" x14ac:dyDescent="0.25">
      <c r="A24" t="s">
        <v>134</v>
      </c>
    </row>
    <row r="25" spans="1:1" x14ac:dyDescent="0.25">
      <c r="A25" t="s">
        <v>136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zoomScale="70" zoomScaleNormal="7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3.140625" bestFit="1" customWidth="1"/>
    <col min="2" max="2" width="13.85546875" bestFit="1" customWidth="1"/>
    <col min="3" max="3" width="23.5703125" bestFit="1" customWidth="1"/>
    <col min="4" max="4" width="56.7109375" bestFit="1" customWidth="1"/>
    <col min="5" max="6" width="20.85546875" customWidth="1"/>
    <col min="7" max="7" width="24.140625" bestFit="1" customWidth="1"/>
    <col min="8" max="8" width="25.5703125" bestFit="1" customWidth="1"/>
    <col min="9" max="9" width="20.140625" customWidth="1"/>
    <col min="10" max="10" width="25" bestFit="1" customWidth="1"/>
    <col min="11" max="11" width="25.140625" customWidth="1"/>
    <col min="12" max="12" width="55" customWidth="1"/>
  </cols>
  <sheetData>
    <row r="1" spans="1:13" x14ac:dyDescent="0.25">
      <c r="A1" s="4" t="s">
        <v>0</v>
      </c>
      <c r="B1" s="4" t="s">
        <v>1</v>
      </c>
      <c r="C1" s="4" t="s">
        <v>5</v>
      </c>
      <c r="D1" s="4" t="s">
        <v>2</v>
      </c>
      <c r="E1" s="4" t="s">
        <v>9</v>
      </c>
      <c r="F1" s="4" t="s">
        <v>10</v>
      </c>
      <c r="G1" s="4" t="s">
        <v>53</v>
      </c>
      <c r="H1" s="4" t="s">
        <v>54</v>
      </c>
      <c r="I1" s="4" t="s">
        <v>12</v>
      </c>
      <c r="J1" s="4" t="s">
        <v>13</v>
      </c>
      <c r="K1" s="4" t="s">
        <v>8</v>
      </c>
      <c r="L1" s="4" t="s">
        <v>94</v>
      </c>
      <c r="M1" s="4" t="s">
        <v>97</v>
      </c>
    </row>
    <row r="2" spans="1:13" x14ac:dyDescent="0.25">
      <c r="A2" t="s">
        <v>3</v>
      </c>
      <c r="B2" t="s">
        <v>4</v>
      </c>
      <c r="C2" t="s">
        <v>6</v>
      </c>
      <c r="D2" t="s">
        <v>7</v>
      </c>
      <c r="E2">
        <v>0.62</v>
      </c>
      <c r="F2">
        <v>0.67</v>
      </c>
      <c r="G2">
        <f>1/E2</f>
        <v>1.6129032258064517</v>
      </c>
      <c r="H2">
        <f>1/F2</f>
        <v>1.4925373134328357</v>
      </c>
      <c r="I2">
        <v>990</v>
      </c>
      <c r="J2">
        <v>1310</v>
      </c>
      <c r="K2">
        <f>(((J2-I2)/I2)/((H2-G2)/G2))</f>
        <v>-4.3313131313131228</v>
      </c>
      <c r="L2" t="s">
        <v>55</v>
      </c>
      <c r="M2" t="str">
        <f>IF(IFERROR(K2,"Exclude")="Exclude","Exclude",IF(OR(K2&gt;=0,K2&lt;-20),"Exclude","Include"))</f>
        <v>Include</v>
      </c>
    </row>
    <row r="3" spans="1:13" x14ac:dyDescent="0.25">
      <c r="A3" t="s">
        <v>3</v>
      </c>
      <c r="B3" t="s">
        <v>4</v>
      </c>
      <c r="C3" t="s">
        <v>6</v>
      </c>
      <c r="D3" t="s">
        <v>7</v>
      </c>
      <c r="E3">
        <v>0.62</v>
      </c>
      <c r="F3">
        <v>0.8</v>
      </c>
      <c r="G3">
        <f t="shared" ref="G3:G16" si="0">1/E3</f>
        <v>1.6129032258064517</v>
      </c>
      <c r="H3">
        <f t="shared" ref="H3:H16" si="1">1/F3</f>
        <v>1.25</v>
      </c>
      <c r="I3">
        <v>990</v>
      </c>
      <c r="J3">
        <v>1980</v>
      </c>
      <c r="K3">
        <f t="shared" ref="K3:K66" si="2">(((J3-I3)/I3)/((H3-G3)/G3))</f>
        <v>-4.4444444444444429</v>
      </c>
      <c r="L3" t="s">
        <v>55</v>
      </c>
      <c r="M3" t="str">
        <f t="shared" ref="M3:M66" si="3">IF(IFERROR(K3,"Exclude")="Exclude","Exclude",IF(OR(K3&gt;=0,K3&lt;-20),"Exclude","Include"))</f>
        <v>Include</v>
      </c>
    </row>
    <row r="4" spans="1:13" x14ac:dyDescent="0.25">
      <c r="A4" t="s">
        <v>3</v>
      </c>
      <c r="B4" t="s">
        <v>4</v>
      </c>
      <c r="C4" t="s">
        <v>6</v>
      </c>
      <c r="D4" t="s">
        <v>11</v>
      </c>
      <c r="E4">
        <v>0.54</v>
      </c>
      <c r="F4">
        <v>0.62</v>
      </c>
      <c r="G4">
        <f t="shared" si="0"/>
        <v>1.8518518518518516</v>
      </c>
      <c r="H4">
        <f t="shared" si="1"/>
        <v>1.6129032258064517</v>
      </c>
      <c r="I4">
        <v>2080</v>
      </c>
      <c r="J4">
        <v>2290</v>
      </c>
      <c r="K4">
        <f t="shared" si="2"/>
        <v>-0.78245192307692413</v>
      </c>
      <c r="L4" t="s">
        <v>55</v>
      </c>
      <c r="M4" t="str">
        <f t="shared" si="3"/>
        <v>Include</v>
      </c>
    </row>
    <row r="5" spans="1:13" x14ac:dyDescent="0.25">
      <c r="A5" t="s">
        <v>3</v>
      </c>
      <c r="B5" t="s">
        <v>4</v>
      </c>
      <c r="C5" t="s">
        <v>6</v>
      </c>
      <c r="D5" t="s">
        <v>11</v>
      </c>
      <c r="E5">
        <v>0.54</v>
      </c>
      <c r="F5">
        <v>0.68</v>
      </c>
      <c r="G5">
        <f t="shared" si="0"/>
        <v>1.8518518518518516</v>
      </c>
      <c r="H5">
        <f t="shared" si="1"/>
        <v>1.4705882352941175</v>
      </c>
      <c r="I5">
        <v>2080</v>
      </c>
      <c r="J5">
        <v>2450</v>
      </c>
      <c r="K5">
        <f t="shared" si="2"/>
        <v>-0.86401098901098916</v>
      </c>
      <c r="L5" t="s">
        <v>55</v>
      </c>
      <c r="M5" t="str">
        <f t="shared" si="3"/>
        <v>Include</v>
      </c>
    </row>
    <row r="6" spans="1:13" x14ac:dyDescent="0.25">
      <c r="A6" t="s">
        <v>3</v>
      </c>
      <c r="B6" t="s">
        <v>4</v>
      </c>
      <c r="C6" t="s">
        <v>6</v>
      </c>
      <c r="D6" t="s">
        <v>14</v>
      </c>
      <c r="E6">
        <v>0.92</v>
      </c>
      <c r="F6">
        <v>0.95</v>
      </c>
      <c r="G6">
        <f t="shared" si="0"/>
        <v>1.0869565217391304</v>
      </c>
      <c r="H6">
        <f t="shared" si="1"/>
        <v>1.0526315789473684</v>
      </c>
      <c r="I6">
        <v>610</v>
      </c>
      <c r="J6">
        <v>670</v>
      </c>
      <c r="K6">
        <f t="shared" si="2"/>
        <v>-3.1147540983606556</v>
      </c>
      <c r="L6" t="s">
        <v>55</v>
      </c>
      <c r="M6" t="str">
        <f t="shared" si="3"/>
        <v>Include</v>
      </c>
    </row>
    <row r="7" spans="1:13" x14ac:dyDescent="0.25">
      <c r="A7" t="s">
        <v>3</v>
      </c>
      <c r="B7" t="s">
        <v>4</v>
      </c>
      <c r="C7" t="s">
        <v>6</v>
      </c>
      <c r="D7" t="s">
        <v>15</v>
      </c>
      <c r="E7">
        <v>0.82</v>
      </c>
      <c r="F7">
        <v>0.98</v>
      </c>
      <c r="G7">
        <f t="shared" si="0"/>
        <v>1.2195121951219512</v>
      </c>
      <c r="H7">
        <f t="shared" si="1"/>
        <v>1.0204081632653061</v>
      </c>
      <c r="I7">
        <v>1930</v>
      </c>
      <c r="J7">
        <v>2930</v>
      </c>
      <c r="K7">
        <f t="shared" si="2"/>
        <v>-3.1735751295336794</v>
      </c>
      <c r="L7" t="s">
        <v>55</v>
      </c>
      <c r="M7" t="str">
        <f t="shared" si="3"/>
        <v>Include</v>
      </c>
    </row>
    <row r="8" spans="1:13" x14ac:dyDescent="0.25">
      <c r="A8" t="s">
        <v>3</v>
      </c>
      <c r="B8" t="s">
        <v>16</v>
      </c>
      <c r="C8" t="s">
        <v>16</v>
      </c>
      <c r="D8" t="s">
        <v>17</v>
      </c>
      <c r="E8">
        <v>0.8</v>
      </c>
      <c r="F8">
        <v>0.9</v>
      </c>
      <c r="G8">
        <f t="shared" si="0"/>
        <v>1.25</v>
      </c>
      <c r="H8">
        <f t="shared" si="1"/>
        <v>1.1111111111111112</v>
      </c>
      <c r="I8">
        <v>1500</v>
      </c>
      <c r="J8">
        <v>2200</v>
      </c>
      <c r="K8">
        <f t="shared" si="2"/>
        <v>-4.2000000000000011</v>
      </c>
      <c r="L8" t="s">
        <v>62</v>
      </c>
      <c r="M8" t="str">
        <f t="shared" si="3"/>
        <v>Include</v>
      </c>
    </row>
    <row r="9" spans="1:13" x14ac:dyDescent="0.25">
      <c r="A9" t="s">
        <v>3</v>
      </c>
      <c r="B9" t="s">
        <v>16</v>
      </c>
      <c r="C9" t="s">
        <v>16</v>
      </c>
      <c r="D9" t="s">
        <v>17</v>
      </c>
      <c r="E9">
        <v>0.8</v>
      </c>
      <c r="F9">
        <v>0.95</v>
      </c>
      <c r="G9">
        <f t="shared" si="0"/>
        <v>1.25</v>
      </c>
      <c r="H9">
        <f t="shared" si="1"/>
        <v>1.0526315789473684</v>
      </c>
      <c r="I9">
        <v>1500</v>
      </c>
      <c r="J9">
        <v>2400</v>
      </c>
      <c r="K9">
        <f t="shared" si="2"/>
        <v>-3.7999999999999989</v>
      </c>
      <c r="L9" t="s">
        <v>62</v>
      </c>
      <c r="M9" t="str">
        <f t="shared" si="3"/>
        <v>Include</v>
      </c>
    </row>
    <row r="10" spans="1:13" x14ac:dyDescent="0.25">
      <c r="A10" t="s">
        <v>3</v>
      </c>
      <c r="B10" t="s">
        <v>16</v>
      </c>
      <c r="C10" t="s">
        <v>16</v>
      </c>
      <c r="D10" t="s">
        <v>17</v>
      </c>
      <c r="E10">
        <v>0.8</v>
      </c>
      <c r="F10">
        <v>0.98</v>
      </c>
      <c r="G10">
        <f t="shared" si="0"/>
        <v>1.25</v>
      </c>
      <c r="H10">
        <f t="shared" si="1"/>
        <v>1.0204081632653061</v>
      </c>
      <c r="I10">
        <v>1500</v>
      </c>
      <c r="J10">
        <v>2700</v>
      </c>
      <c r="K10">
        <f t="shared" si="2"/>
        <v>-4.3555555555555561</v>
      </c>
      <c r="L10" t="s">
        <v>62</v>
      </c>
      <c r="M10" t="str">
        <f t="shared" si="3"/>
        <v>Include</v>
      </c>
    </row>
    <row r="11" spans="1:13" x14ac:dyDescent="0.25">
      <c r="A11" t="s">
        <v>3</v>
      </c>
      <c r="B11" t="s">
        <v>16</v>
      </c>
      <c r="C11" t="s">
        <v>16</v>
      </c>
      <c r="D11" t="s">
        <v>18</v>
      </c>
      <c r="E11">
        <v>0.83</v>
      </c>
      <c r="F11">
        <v>0.85</v>
      </c>
      <c r="G11">
        <f t="shared" si="0"/>
        <v>1.2048192771084338</v>
      </c>
      <c r="H11">
        <f t="shared" si="1"/>
        <v>1.1764705882352942</v>
      </c>
      <c r="I11">
        <v>3050</v>
      </c>
      <c r="J11">
        <v>3150</v>
      </c>
      <c r="K11">
        <f t="shared" si="2"/>
        <v>-1.3934426229508168</v>
      </c>
      <c r="L11" t="s">
        <v>62</v>
      </c>
      <c r="M11" t="str">
        <f t="shared" si="3"/>
        <v>Include</v>
      </c>
    </row>
    <row r="12" spans="1:13" x14ac:dyDescent="0.25">
      <c r="A12" t="s">
        <v>3</v>
      </c>
      <c r="B12" t="s">
        <v>16</v>
      </c>
      <c r="C12" t="s">
        <v>16</v>
      </c>
      <c r="D12" t="s">
        <v>18</v>
      </c>
      <c r="E12">
        <v>0.83</v>
      </c>
      <c r="F12">
        <v>0.97</v>
      </c>
      <c r="G12">
        <f t="shared" si="0"/>
        <v>1.2048192771084338</v>
      </c>
      <c r="H12">
        <f t="shared" si="1"/>
        <v>1.0309278350515465</v>
      </c>
      <c r="I12">
        <v>3050</v>
      </c>
      <c r="J12">
        <v>4550</v>
      </c>
      <c r="K12">
        <f t="shared" si="2"/>
        <v>-3.4074941451990637</v>
      </c>
      <c r="L12" t="s">
        <v>62</v>
      </c>
      <c r="M12" t="str">
        <f t="shared" si="3"/>
        <v>Include</v>
      </c>
    </row>
    <row r="13" spans="1:13" x14ac:dyDescent="0.25">
      <c r="A13" t="s">
        <v>3</v>
      </c>
      <c r="B13" t="s">
        <v>16</v>
      </c>
      <c r="C13" t="s">
        <v>16</v>
      </c>
      <c r="D13" t="s">
        <v>19</v>
      </c>
      <c r="E13">
        <v>0.82</v>
      </c>
      <c r="F13">
        <v>0.85</v>
      </c>
      <c r="G13">
        <f t="shared" si="0"/>
        <v>1.2195121951219512</v>
      </c>
      <c r="H13">
        <f t="shared" si="1"/>
        <v>1.1764705882352942</v>
      </c>
      <c r="I13">
        <v>4050</v>
      </c>
      <c r="J13">
        <v>4700</v>
      </c>
      <c r="K13">
        <f t="shared" si="2"/>
        <v>-4.5473251028806656</v>
      </c>
      <c r="L13" t="s">
        <v>62</v>
      </c>
      <c r="M13" t="str">
        <f t="shared" si="3"/>
        <v>Include</v>
      </c>
    </row>
    <row r="14" spans="1:13" x14ac:dyDescent="0.25">
      <c r="A14" t="s">
        <v>3</v>
      </c>
      <c r="B14" t="s">
        <v>16</v>
      </c>
      <c r="C14" t="s">
        <v>16</v>
      </c>
      <c r="D14" t="s">
        <v>19</v>
      </c>
      <c r="E14">
        <v>0.82</v>
      </c>
      <c r="F14">
        <v>0.96</v>
      </c>
      <c r="G14">
        <f t="shared" si="0"/>
        <v>1.2195121951219512</v>
      </c>
      <c r="H14">
        <f t="shared" si="1"/>
        <v>1.0416666666666667</v>
      </c>
      <c r="I14">
        <v>4050</v>
      </c>
      <c r="J14">
        <v>6350</v>
      </c>
      <c r="K14">
        <f t="shared" si="2"/>
        <v>-3.8941798941798957</v>
      </c>
      <c r="L14" t="s">
        <v>62</v>
      </c>
      <c r="M14" t="str">
        <f t="shared" si="3"/>
        <v>Include</v>
      </c>
    </row>
    <row r="15" spans="1:13" x14ac:dyDescent="0.25">
      <c r="A15" t="s">
        <v>3</v>
      </c>
      <c r="B15" t="s">
        <v>16</v>
      </c>
      <c r="C15" t="s">
        <v>16</v>
      </c>
      <c r="D15" t="s">
        <v>20</v>
      </c>
      <c r="E15">
        <v>0.84</v>
      </c>
      <c r="F15">
        <v>0.85</v>
      </c>
      <c r="G15">
        <f t="shared" si="0"/>
        <v>1.1904761904761905</v>
      </c>
      <c r="H15">
        <f t="shared" si="1"/>
        <v>1.1764705882352942</v>
      </c>
      <c r="I15">
        <v>4150</v>
      </c>
      <c r="J15">
        <v>4700</v>
      </c>
      <c r="K15">
        <f t="shared" si="2"/>
        <v>-11.265060240963896</v>
      </c>
      <c r="L15" t="s">
        <v>62</v>
      </c>
      <c r="M15" t="str">
        <f t="shared" si="3"/>
        <v>Include</v>
      </c>
    </row>
    <row r="16" spans="1:13" x14ac:dyDescent="0.25">
      <c r="A16" t="s">
        <v>3</v>
      </c>
      <c r="B16" t="s">
        <v>16</v>
      </c>
      <c r="C16" t="s">
        <v>16</v>
      </c>
      <c r="D16" t="s">
        <v>20</v>
      </c>
      <c r="E16">
        <v>0.84</v>
      </c>
      <c r="F16">
        <v>0.91</v>
      </c>
      <c r="G16">
        <f t="shared" si="0"/>
        <v>1.1904761904761905</v>
      </c>
      <c r="H16">
        <f t="shared" si="1"/>
        <v>1.0989010989010988</v>
      </c>
      <c r="I16">
        <v>4150</v>
      </c>
      <c r="J16">
        <v>6200</v>
      </c>
      <c r="K16">
        <f t="shared" si="2"/>
        <v>-6.4216867469879428</v>
      </c>
      <c r="L16" t="s">
        <v>62</v>
      </c>
      <c r="M16" t="str">
        <f t="shared" si="3"/>
        <v>Include</v>
      </c>
    </row>
    <row r="17" spans="1:13" x14ac:dyDescent="0.25">
      <c r="A17" t="s">
        <v>3</v>
      </c>
      <c r="B17" t="s">
        <v>22</v>
      </c>
      <c r="C17" t="s">
        <v>21</v>
      </c>
      <c r="D17" t="s">
        <v>23</v>
      </c>
      <c r="E17">
        <f>AVERAGE(8000,13999)/10.8</f>
        <v>1018.4722222222222</v>
      </c>
      <c r="F17">
        <f>AVERAGE(8000,13999)/10.8</f>
        <v>1018.4722222222222</v>
      </c>
      <c r="G17">
        <f>E17</f>
        <v>1018.4722222222222</v>
      </c>
      <c r="H17">
        <f>F17</f>
        <v>1018.4722222222222</v>
      </c>
      <c r="I17">
        <v>370</v>
      </c>
      <c r="J17">
        <v>370</v>
      </c>
      <c r="K17" t="e">
        <f t="shared" si="2"/>
        <v>#DIV/0!</v>
      </c>
      <c r="L17" t="s">
        <v>37</v>
      </c>
      <c r="M17" t="str">
        <f t="shared" si="3"/>
        <v>Exclude</v>
      </c>
    </row>
    <row r="18" spans="1:13" x14ac:dyDescent="0.25">
      <c r="A18" t="s">
        <v>3</v>
      </c>
      <c r="B18" t="s">
        <v>22</v>
      </c>
      <c r="C18" t="s">
        <v>21</v>
      </c>
      <c r="D18" t="s">
        <v>23</v>
      </c>
      <c r="E18">
        <f>AVERAGE(8000,13999)/10.8</f>
        <v>1018.4722222222222</v>
      </c>
      <c r="F18">
        <f>AVERAGE(8000,13999)/11.5</f>
        <v>956.47826086956525</v>
      </c>
      <c r="G18">
        <f t="shared" ref="G18:G22" si="4">E18</f>
        <v>1018.4722222222222</v>
      </c>
      <c r="H18">
        <f t="shared" ref="H18:H22" si="5">F18</f>
        <v>956.47826086956525</v>
      </c>
      <c r="I18">
        <v>370</v>
      </c>
      <c r="J18">
        <v>530</v>
      </c>
      <c r="K18">
        <f t="shared" si="2"/>
        <v>-7.1042471042471131</v>
      </c>
      <c r="L18" t="s">
        <v>37</v>
      </c>
      <c r="M18" t="str">
        <f t="shared" si="3"/>
        <v>Include</v>
      </c>
    </row>
    <row r="19" spans="1:13" x14ac:dyDescent="0.25">
      <c r="A19" t="s">
        <v>3</v>
      </c>
      <c r="B19" t="s">
        <v>22</v>
      </c>
      <c r="C19" t="s">
        <v>21</v>
      </c>
      <c r="D19" t="s">
        <v>24</v>
      </c>
      <c r="E19">
        <f>36000/13.5</f>
        <v>2666.6666666666665</v>
      </c>
      <c r="F19">
        <f>36000/14.5</f>
        <v>2482.7586206896553</v>
      </c>
      <c r="G19">
        <f t="shared" si="4"/>
        <v>2666.6666666666665</v>
      </c>
      <c r="H19">
        <f t="shared" si="5"/>
        <v>2482.7586206896553</v>
      </c>
      <c r="I19">
        <v>2150</v>
      </c>
      <c r="J19">
        <v>2300</v>
      </c>
      <c r="K19">
        <f t="shared" si="2"/>
        <v>-1.0116279069767458</v>
      </c>
      <c r="L19" t="s">
        <v>38</v>
      </c>
      <c r="M19" t="str">
        <f t="shared" si="3"/>
        <v>Include</v>
      </c>
    </row>
    <row r="20" spans="1:13" x14ac:dyDescent="0.25">
      <c r="A20" t="s">
        <v>3</v>
      </c>
      <c r="B20" t="s">
        <v>22</v>
      </c>
      <c r="C20" t="s">
        <v>21</v>
      </c>
      <c r="D20" t="s">
        <v>24</v>
      </c>
      <c r="E20">
        <f>36000/13.5</f>
        <v>2666.6666666666665</v>
      </c>
      <c r="F20">
        <f>36000/24</f>
        <v>1500</v>
      </c>
      <c r="G20">
        <f t="shared" si="4"/>
        <v>2666.6666666666665</v>
      </c>
      <c r="H20">
        <f t="shared" si="5"/>
        <v>1500</v>
      </c>
      <c r="I20">
        <v>2150</v>
      </c>
      <c r="J20">
        <v>5100</v>
      </c>
      <c r="K20">
        <f t="shared" si="2"/>
        <v>-3.1362126245847182</v>
      </c>
      <c r="L20" t="s">
        <v>38</v>
      </c>
      <c r="M20" t="str">
        <f t="shared" si="3"/>
        <v>Include</v>
      </c>
    </row>
    <row r="21" spans="1:13" x14ac:dyDescent="0.25">
      <c r="A21" t="s">
        <v>3</v>
      </c>
      <c r="B21" t="s">
        <v>22</v>
      </c>
      <c r="C21" t="s">
        <v>21</v>
      </c>
      <c r="D21" t="s">
        <v>24</v>
      </c>
      <c r="E21">
        <f>36000/13</f>
        <v>2769.2307692307691</v>
      </c>
      <c r="F21">
        <f>36000/14.5</f>
        <v>2482.7586206896553</v>
      </c>
      <c r="G21">
        <f t="shared" si="4"/>
        <v>2769.2307692307691</v>
      </c>
      <c r="H21">
        <f t="shared" si="5"/>
        <v>2482.7586206896553</v>
      </c>
      <c r="I21">
        <v>2300</v>
      </c>
      <c r="J21">
        <v>2500</v>
      </c>
      <c r="K21">
        <f t="shared" si="2"/>
        <v>-0.84057971014492838</v>
      </c>
      <c r="L21" t="s">
        <v>38</v>
      </c>
      <c r="M21" t="str">
        <f t="shared" si="3"/>
        <v>Include</v>
      </c>
    </row>
    <row r="22" spans="1:13" x14ac:dyDescent="0.25">
      <c r="A22" t="s">
        <v>3</v>
      </c>
      <c r="B22" t="s">
        <v>22</v>
      </c>
      <c r="C22" t="s">
        <v>21</v>
      </c>
      <c r="D22" t="s">
        <v>24</v>
      </c>
      <c r="E22">
        <f>36000/13</f>
        <v>2769.2307692307691</v>
      </c>
      <c r="F22">
        <f>36000/24</f>
        <v>1500</v>
      </c>
      <c r="G22">
        <f t="shared" si="4"/>
        <v>2769.2307692307691</v>
      </c>
      <c r="H22">
        <f t="shared" si="5"/>
        <v>1500</v>
      </c>
      <c r="I22">
        <v>2300</v>
      </c>
      <c r="J22">
        <v>5300</v>
      </c>
      <c r="K22">
        <f t="shared" si="2"/>
        <v>-2.8458498023715415</v>
      </c>
      <c r="L22" t="s">
        <v>38</v>
      </c>
      <c r="M22" t="str">
        <f t="shared" si="3"/>
        <v>Include</v>
      </c>
    </row>
    <row r="23" spans="1:13" x14ac:dyDescent="0.25">
      <c r="A23" t="s">
        <v>3</v>
      </c>
      <c r="B23" t="s">
        <v>25</v>
      </c>
      <c r="C23" t="s">
        <v>6</v>
      </c>
      <c r="D23" t="s">
        <v>27</v>
      </c>
      <c r="E23">
        <v>407</v>
      </c>
      <c r="F23">
        <v>385</v>
      </c>
      <c r="G23">
        <f>E23</f>
        <v>407</v>
      </c>
      <c r="H23">
        <f>F23</f>
        <v>385</v>
      </c>
      <c r="I23">
        <v>570</v>
      </c>
      <c r="J23">
        <v>620</v>
      </c>
      <c r="K23">
        <f t="shared" si="2"/>
        <v>-1.6228070175438594</v>
      </c>
      <c r="L23" t="s">
        <v>26</v>
      </c>
      <c r="M23" t="str">
        <f t="shared" si="3"/>
        <v>Include</v>
      </c>
    </row>
    <row r="24" spans="1:13" x14ac:dyDescent="0.25">
      <c r="A24" t="s">
        <v>3</v>
      </c>
      <c r="B24" t="s">
        <v>25</v>
      </c>
      <c r="C24" t="s">
        <v>6</v>
      </c>
      <c r="D24" t="s">
        <v>27</v>
      </c>
      <c r="E24">
        <v>407</v>
      </c>
      <c r="F24">
        <v>311</v>
      </c>
      <c r="G24">
        <f t="shared" ref="G24:G32" si="6">E24</f>
        <v>407</v>
      </c>
      <c r="H24">
        <f t="shared" ref="H24:H32" si="7">F24</f>
        <v>311</v>
      </c>
      <c r="I24">
        <v>570</v>
      </c>
      <c r="J24">
        <v>880</v>
      </c>
      <c r="K24">
        <f t="shared" si="2"/>
        <v>-2.3057383040935671</v>
      </c>
      <c r="L24" t="s">
        <v>26</v>
      </c>
      <c r="M24" t="str">
        <f t="shared" si="3"/>
        <v>Include</v>
      </c>
    </row>
    <row r="25" spans="1:13" x14ac:dyDescent="0.25">
      <c r="A25" t="s">
        <v>3</v>
      </c>
      <c r="B25" t="s">
        <v>25</v>
      </c>
      <c r="C25" t="s">
        <v>6</v>
      </c>
      <c r="D25" t="s">
        <v>28</v>
      </c>
      <c r="E25">
        <v>540</v>
      </c>
      <c r="F25">
        <v>459</v>
      </c>
      <c r="G25">
        <f t="shared" si="6"/>
        <v>540</v>
      </c>
      <c r="H25">
        <f t="shared" si="7"/>
        <v>459</v>
      </c>
      <c r="I25">
        <v>940</v>
      </c>
      <c r="J25">
        <v>980</v>
      </c>
      <c r="K25">
        <f t="shared" si="2"/>
        <v>-0.28368794326241137</v>
      </c>
      <c r="L25" t="s">
        <v>26</v>
      </c>
      <c r="M25" t="str">
        <f t="shared" si="3"/>
        <v>Include</v>
      </c>
    </row>
    <row r="26" spans="1:13" x14ac:dyDescent="0.25">
      <c r="A26" t="s">
        <v>3</v>
      </c>
      <c r="B26" t="s">
        <v>25</v>
      </c>
      <c r="C26" t="s">
        <v>6</v>
      </c>
      <c r="D26" t="s">
        <v>28</v>
      </c>
      <c r="E26">
        <v>540</v>
      </c>
      <c r="F26">
        <v>457</v>
      </c>
      <c r="G26">
        <f t="shared" si="6"/>
        <v>540</v>
      </c>
      <c r="H26">
        <f t="shared" si="7"/>
        <v>457</v>
      </c>
      <c r="I26">
        <v>940</v>
      </c>
      <c r="J26">
        <v>980</v>
      </c>
      <c r="K26">
        <f t="shared" si="2"/>
        <v>-0.27685208920789539</v>
      </c>
      <c r="L26" t="s">
        <v>26</v>
      </c>
      <c r="M26" t="str">
        <f t="shared" si="3"/>
        <v>Include</v>
      </c>
    </row>
    <row r="27" spans="1:13" x14ac:dyDescent="0.25">
      <c r="A27" t="s">
        <v>3</v>
      </c>
      <c r="B27" t="s">
        <v>25</v>
      </c>
      <c r="C27" t="s">
        <v>6</v>
      </c>
      <c r="D27" t="s">
        <v>29</v>
      </c>
      <c r="E27">
        <v>596</v>
      </c>
      <c r="F27">
        <v>583</v>
      </c>
      <c r="G27">
        <f t="shared" si="6"/>
        <v>596</v>
      </c>
      <c r="H27">
        <f t="shared" si="7"/>
        <v>583</v>
      </c>
      <c r="I27">
        <v>1170</v>
      </c>
      <c r="J27">
        <v>1180</v>
      </c>
      <c r="K27">
        <f t="shared" si="2"/>
        <v>-0.39184746877054571</v>
      </c>
      <c r="L27" t="s">
        <v>26</v>
      </c>
      <c r="M27" t="str">
        <f t="shared" si="3"/>
        <v>Include</v>
      </c>
    </row>
    <row r="28" spans="1:13" x14ac:dyDescent="0.25">
      <c r="A28" t="s">
        <v>3</v>
      </c>
      <c r="B28" t="s">
        <v>25</v>
      </c>
      <c r="C28" t="s">
        <v>6</v>
      </c>
      <c r="D28" t="s">
        <v>29</v>
      </c>
      <c r="E28">
        <v>596</v>
      </c>
      <c r="F28">
        <v>509</v>
      </c>
      <c r="G28">
        <f t="shared" si="6"/>
        <v>596</v>
      </c>
      <c r="H28">
        <f t="shared" si="7"/>
        <v>509</v>
      </c>
      <c r="I28">
        <v>1170</v>
      </c>
      <c r="J28">
        <v>1380</v>
      </c>
      <c r="K28">
        <f t="shared" si="2"/>
        <v>-1.2295903330386089</v>
      </c>
      <c r="L28" t="s">
        <v>26</v>
      </c>
      <c r="M28" t="str">
        <f t="shared" si="3"/>
        <v>Include</v>
      </c>
    </row>
    <row r="29" spans="1:13" x14ac:dyDescent="0.25">
      <c r="A29" t="s">
        <v>3</v>
      </c>
      <c r="B29" t="s">
        <v>30</v>
      </c>
      <c r="C29" t="s">
        <v>6</v>
      </c>
      <c r="D29" t="s">
        <v>31</v>
      </c>
      <c r="E29">
        <v>642</v>
      </c>
      <c r="F29">
        <v>618</v>
      </c>
      <c r="G29">
        <f t="shared" si="6"/>
        <v>642</v>
      </c>
      <c r="H29">
        <f t="shared" si="7"/>
        <v>618</v>
      </c>
      <c r="I29">
        <v>555</v>
      </c>
      <c r="J29">
        <v>560</v>
      </c>
      <c r="K29">
        <f t="shared" si="2"/>
        <v>-0.240990990990991</v>
      </c>
      <c r="L29" t="s">
        <v>26</v>
      </c>
      <c r="M29" t="str">
        <f t="shared" si="3"/>
        <v>Include</v>
      </c>
    </row>
    <row r="30" spans="1:13" x14ac:dyDescent="0.25">
      <c r="A30" t="s">
        <v>3</v>
      </c>
      <c r="B30" t="s">
        <v>30</v>
      </c>
      <c r="C30" t="s">
        <v>6</v>
      </c>
      <c r="D30" t="s">
        <v>31</v>
      </c>
      <c r="E30">
        <v>642</v>
      </c>
      <c r="F30">
        <v>615</v>
      </c>
      <c r="G30">
        <f t="shared" si="6"/>
        <v>642</v>
      </c>
      <c r="H30">
        <f t="shared" si="7"/>
        <v>615</v>
      </c>
      <c r="I30">
        <v>555</v>
      </c>
      <c r="J30">
        <v>560</v>
      </c>
      <c r="K30">
        <f t="shared" si="2"/>
        <v>-0.21421421421421422</v>
      </c>
      <c r="L30" t="s">
        <v>26</v>
      </c>
      <c r="M30" t="str">
        <f t="shared" si="3"/>
        <v>Include</v>
      </c>
    </row>
    <row r="31" spans="1:13" x14ac:dyDescent="0.25">
      <c r="A31" t="s">
        <v>3</v>
      </c>
      <c r="B31" t="s">
        <v>30</v>
      </c>
      <c r="C31" t="s">
        <v>6</v>
      </c>
      <c r="D31" t="s">
        <v>32</v>
      </c>
      <c r="E31">
        <v>370</v>
      </c>
      <c r="F31">
        <v>361</v>
      </c>
      <c r="G31">
        <f t="shared" si="6"/>
        <v>370</v>
      </c>
      <c r="H31">
        <f t="shared" si="7"/>
        <v>361</v>
      </c>
      <c r="I31">
        <v>405</v>
      </c>
      <c r="J31">
        <v>410</v>
      </c>
      <c r="K31">
        <f t="shared" si="2"/>
        <v>-0.50754458161865568</v>
      </c>
      <c r="L31" t="s">
        <v>26</v>
      </c>
      <c r="M31" t="str">
        <f t="shared" si="3"/>
        <v>Include</v>
      </c>
    </row>
    <row r="32" spans="1:13" x14ac:dyDescent="0.25">
      <c r="A32" t="s">
        <v>3</v>
      </c>
      <c r="B32" t="s">
        <v>30</v>
      </c>
      <c r="C32" t="s">
        <v>6</v>
      </c>
      <c r="D32" t="s">
        <v>32</v>
      </c>
      <c r="E32">
        <v>370</v>
      </c>
      <c r="F32">
        <v>354</v>
      </c>
      <c r="G32">
        <f t="shared" si="6"/>
        <v>370</v>
      </c>
      <c r="H32">
        <f t="shared" si="7"/>
        <v>354</v>
      </c>
      <c r="I32">
        <v>405</v>
      </c>
      <c r="J32">
        <v>410</v>
      </c>
      <c r="K32">
        <f t="shared" si="2"/>
        <v>-0.28549382716049382</v>
      </c>
      <c r="L32" t="s">
        <v>26</v>
      </c>
      <c r="M32" t="str">
        <f t="shared" si="3"/>
        <v>Include</v>
      </c>
    </row>
    <row r="33" spans="1:13" x14ac:dyDescent="0.25">
      <c r="A33" t="s">
        <v>3</v>
      </c>
      <c r="B33" t="s">
        <v>33</v>
      </c>
      <c r="C33" t="s">
        <v>6</v>
      </c>
      <c r="D33" t="s">
        <v>34</v>
      </c>
      <c r="E33">
        <v>0.39900000000000002</v>
      </c>
      <c r="F33">
        <v>0.42</v>
      </c>
      <c r="G33">
        <f>1/E33</f>
        <v>2.5062656641604009</v>
      </c>
      <c r="H33">
        <f>1/F33</f>
        <v>2.3809523809523809</v>
      </c>
      <c r="I33">
        <v>300</v>
      </c>
      <c r="J33">
        <v>350</v>
      </c>
      <c r="K33">
        <f t="shared" si="2"/>
        <v>-3.3333333333333361</v>
      </c>
      <c r="L33" t="s">
        <v>67</v>
      </c>
      <c r="M33" t="str">
        <f t="shared" si="3"/>
        <v>Include</v>
      </c>
    </row>
    <row r="34" spans="1:13" x14ac:dyDescent="0.25">
      <c r="A34" s="1" t="s">
        <v>3</v>
      </c>
      <c r="B34" s="1" t="s">
        <v>35</v>
      </c>
      <c r="C34" s="1" t="s">
        <v>6</v>
      </c>
      <c r="D34" s="1" t="s">
        <v>36</v>
      </c>
      <c r="E34" s="1">
        <f>0.16+0.12+0.99</f>
        <v>1.27</v>
      </c>
      <c r="F34" s="1">
        <f>0.29+0.15+1.03</f>
        <v>1.47</v>
      </c>
      <c r="G34" s="1">
        <f t="shared" ref="G34:G36" si="8">E34</f>
        <v>1.27</v>
      </c>
      <c r="H34" s="1">
        <f t="shared" ref="H34:H36" si="9">F34</f>
        <v>1.47</v>
      </c>
      <c r="I34" s="1">
        <v>650</v>
      </c>
      <c r="J34" s="1">
        <v>800</v>
      </c>
      <c r="K34" s="1">
        <f t="shared" si="2"/>
        <v>1.4653846153846157</v>
      </c>
      <c r="L34" s="1" t="s">
        <v>39</v>
      </c>
      <c r="M34" t="str">
        <f t="shared" si="3"/>
        <v>Exclude</v>
      </c>
    </row>
    <row r="35" spans="1:13" x14ac:dyDescent="0.25">
      <c r="A35" s="1" t="s">
        <v>3</v>
      </c>
      <c r="B35" s="1" t="s">
        <v>35</v>
      </c>
      <c r="C35" s="1" t="s">
        <v>6</v>
      </c>
      <c r="D35" s="1" t="s">
        <v>36</v>
      </c>
      <c r="E35" s="1">
        <f>0.16+0.12+0.99</f>
        <v>1.27</v>
      </c>
      <c r="F35" s="1">
        <f>0.27+0.11+1.13</f>
        <v>1.5099999999999998</v>
      </c>
      <c r="G35" s="1">
        <f t="shared" si="8"/>
        <v>1.27</v>
      </c>
      <c r="H35" s="1">
        <f t="shared" si="9"/>
        <v>1.5099999999999998</v>
      </c>
      <c r="I35" s="1">
        <v>650</v>
      </c>
      <c r="J35" s="1">
        <v>1200</v>
      </c>
      <c r="K35" s="1">
        <f t="shared" si="2"/>
        <v>4.4775641025641075</v>
      </c>
      <c r="L35" s="1" t="s">
        <v>39</v>
      </c>
      <c r="M35" t="str">
        <f t="shared" si="3"/>
        <v>Exclude</v>
      </c>
    </row>
    <row r="36" spans="1:13" x14ac:dyDescent="0.25">
      <c r="A36" t="s">
        <v>3</v>
      </c>
      <c r="B36" t="s">
        <v>35</v>
      </c>
      <c r="C36" t="s">
        <v>6</v>
      </c>
      <c r="D36" t="s">
        <v>40</v>
      </c>
      <c r="E36">
        <f>0.64+0.28+1.58</f>
        <v>2.5</v>
      </c>
      <c r="F36">
        <f>0.51+0.08+1.21</f>
        <v>1.7999999999999998</v>
      </c>
      <c r="G36">
        <f t="shared" si="8"/>
        <v>2.5</v>
      </c>
      <c r="H36">
        <f t="shared" si="9"/>
        <v>1.7999999999999998</v>
      </c>
      <c r="I36">
        <v>550</v>
      </c>
      <c r="J36">
        <v>650</v>
      </c>
      <c r="K36">
        <f t="shared" si="2"/>
        <v>-0.64935064935064912</v>
      </c>
      <c r="L36" t="s">
        <v>39</v>
      </c>
      <c r="M36" t="str">
        <f t="shared" si="3"/>
        <v>Include</v>
      </c>
    </row>
    <row r="37" spans="1:13" x14ac:dyDescent="0.25">
      <c r="A37" t="s">
        <v>3</v>
      </c>
      <c r="B37" t="s">
        <v>35</v>
      </c>
      <c r="C37" t="s">
        <v>6</v>
      </c>
      <c r="D37" t="s">
        <v>40</v>
      </c>
      <c r="E37">
        <f>0.64+0.28+1.58</f>
        <v>2.5</v>
      </c>
      <c r="F37">
        <f>0.39+0.08+1.2</f>
        <v>1.67</v>
      </c>
      <c r="G37">
        <f t="shared" ref="G37" si="10">E37</f>
        <v>2.5</v>
      </c>
      <c r="H37">
        <f t="shared" ref="H37" si="11">F37</f>
        <v>1.67</v>
      </c>
      <c r="I37">
        <v>550</v>
      </c>
      <c r="J37">
        <v>950</v>
      </c>
      <c r="K37">
        <f t="shared" si="2"/>
        <v>-2.190580503833516</v>
      </c>
      <c r="L37" t="s">
        <v>39</v>
      </c>
      <c r="M37" t="str">
        <f t="shared" si="3"/>
        <v>Include</v>
      </c>
    </row>
    <row r="38" spans="1:13" x14ac:dyDescent="0.25">
      <c r="A38" t="s">
        <v>3</v>
      </c>
      <c r="B38" t="s">
        <v>41</v>
      </c>
      <c r="C38" t="s">
        <v>6</v>
      </c>
      <c r="D38" t="s">
        <v>43</v>
      </c>
      <c r="E38">
        <f>1/3.1</f>
        <v>0.32258064516129031</v>
      </c>
      <c r="F38">
        <f>1/3.16</f>
        <v>0.31645569620253161</v>
      </c>
      <c r="G38">
        <f t="shared" ref="G38" si="12">E38</f>
        <v>0.32258064516129031</v>
      </c>
      <c r="H38">
        <f t="shared" ref="H38" si="13">F38</f>
        <v>0.31645569620253161</v>
      </c>
      <c r="I38">
        <v>560</v>
      </c>
      <c r="J38">
        <v>610</v>
      </c>
      <c r="K38">
        <f t="shared" si="2"/>
        <v>-4.702380952380933</v>
      </c>
      <c r="L38" t="s">
        <v>42</v>
      </c>
      <c r="M38" t="str">
        <f t="shared" si="3"/>
        <v>Include</v>
      </c>
    </row>
    <row r="39" spans="1:13" x14ac:dyDescent="0.25">
      <c r="A39" t="s">
        <v>3</v>
      </c>
      <c r="B39" t="s">
        <v>41</v>
      </c>
      <c r="C39" t="s">
        <v>6</v>
      </c>
      <c r="D39" t="s">
        <v>44</v>
      </c>
      <c r="E39">
        <f>1/2.75</f>
        <v>0.36363636363636365</v>
      </c>
      <c r="F39">
        <f>1/2.85</f>
        <v>0.35087719298245612</v>
      </c>
      <c r="G39">
        <f t="shared" ref="G39:G40" si="14">E39</f>
        <v>0.36363636363636365</v>
      </c>
      <c r="H39">
        <f t="shared" ref="H39:H40" si="15">F39</f>
        <v>0.35087719298245612</v>
      </c>
      <c r="I39">
        <v>585</v>
      </c>
      <c r="J39">
        <v>610</v>
      </c>
      <c r="K39">
        <f t="shared" si="2"/>
        <v>-1.2179487179487152</v>
      </c>
      <c r="L39" t="s">
        <v>42</v>
      </c>
      <c r="M39" t="str">
        <f t="shared" si="3"/>
        <v>Include</v>
      </c>
    </row>
    <row r="40" spans="1:13" x14ac:dyDescent="0.25">
      <c r="A40" t="s">
        <v>3</v>
      </c>
      <c r="B40" t="s">
        <v>41</v>
      </c>
      <c r="C40" t="s">
        <v>6</v>
      </c>
      <c r="D40" t="s">
        <v>44</v>
      </c>
      <c r="E40">
        <f>1/2.75</f>
        <v>0.36363636363636365</v>
      </c>
      <c r="F40">
        <f>1/3.02</f>
        <v>0.33112582781456956</v>
      </c>
      <c r="G40">
        <f t="shared" si="14"/>
        <v>0.36363636363636365</v>
      </c>
      <c r="H40">
        <f t="shared" si="15"/>
        <v>0.33112582781456956</v>
      </c>
      <c r="I40">
        <v>585</v>
      </c>
      <c r="J40">
        <v>710</v>
      </c>
      <c r="K40">
        <f t="shared" si="2"/>
        <v>-2.3899968344412801</v>
      </c>
      <c r="L40" t="s">
        <v>42</v>
      </c>
      <c r="M40" t="str">
        <f t="shared" si="3"/>
        <v>Include</v>
      </c>
    </row>
    <row r="41" spans="1:13" x14ac:dyDescent="0.25">
      <c r="A41" t="s">
        <v>3</v>
      </c>
      <c r="B41" t="s">
        <v>45</v>
      </c>
      <c r="C41" t="s">
        <v>6</v>
      </c>
      <c r="D41" t="s">
        <v>46</v>
      </c>
      <c r="E41">
        <v>295</v>
      </c>
      <c r="F41">
        <v>295</v>
      </c>
      <c r="G41">
        <f t="shared" ref="G41:G42" si="16">E41</f>
        <v>295</v>
      </c>
      <c r="H41">
        <f t="shared" ref="H41:H42" si="17">F41</f>
        <v>295</v>
      </c>
      <c r="I41">
        <v>770</v>
      </c>
      <c r="J41">
        <v>770</v>
      </c>
      <c r="K41" t="e">
        <f t="shared" si="2"/>
        <v>#DIV/0!</v>
      </c>
      <c r="L41" t="s">
        <v>26</v>
      </c>
      <c r="M41" t="str">
        <f t="shared" si="3"/>
        <v>Exclude</v>
      </c>
    </row>
    <row r="42" spans="1:13" x14ac:dyDescent="0.25">
      <c r="A42" t="s">
        <v>3</v>
      </c>
      <c r="B42" t="s">
        <v>45</v>
      </c>
      <c r="C42" t="s">
        <v>6</v>
      </c>
      <c r="D42" t="s">
        <v>46</v>
      </c>
      <c r="E42">
        <v>295</v>
      </c>
      <c r="F42">
        <v>180</v>
      </c>
      <c r="G42">
        <f t="shared" si="16"/>
        <v>295</v>
      </c>
      <c r="H42">
        <f t="shared" si="17"/>
        <v>180</v>
      </c>
      <c r="I42">
        <v>770</v>
      </c>
      <c r="J42">
        <v>790</v>
      </c>
      <c r="K42">
        <f t="shared" si="2"/>
        <v>-6.6629023150762287E-2</v>
      </c>
      <c r="L42" t="s">
        <v>26</v>
      </c>
      <c r="M42" t="str">
        <f t="shared" si="3"/>
        <v>Include</v>
      </c>
    </row>
    <row r="43" spans="1:13" x14ac:dyDescent="0.25">
      <c r="A43" t="s">
        <v>47</v>
      </c>
      <c r="B43" t="s">
        <v>16</v>
      </c>
      <c r="C43" t="s">
        <v>16</v>
      </c>
      <c r="D43" t="s">
        <v>48</v>
      </c>
      <c r="E43" s="2">
        <v>0.8</v>
      </c>
      <c r="F43">
        <v>0.9</v>
      </c>
      <c r="G43">
        <f t="shared" ref="G43:G64" si="18">1/E43</f>
        <v>1.25</v>
      </c>
      <c r="H43">
        <f t="shared" ref="H43:H64" si="19">1/F43</f>
        <v>1.1111111111111112</v>
      </c>
      <c r="I43">
        <v>3290</v>
      </c>
      <c r="J43">
        <v>3970</v>
      </c>
      <c r="K43">
        <f t="shared" si="2"/>
        <v>-1.8601823708206693</v>
      </c>
      <c r="L43" t="s">
        <v>61</v>
      </c>
      <c r="M43" t="str">
        <f t="shared" si="3"/>
        <v>Include</v>
      </c>
    </row>
    <row r="44" spans="1:13" x14ac:dyDescent="0.25">
      <c r="A44" t="s">
        <v>47</v>
      </c>
      <c r="B44" t="s">
        <v>16</v>
      </c>
      <c r="C44" t="s">
        <v>16</v>
      </c>
      <c r="D44" t="s">
        <v>49</v>
      </c>
      <c r="E44" s="2">
        <v>0.8</v>
      </c>
      <c r="F44">
        <v>0.85</v>
      </c>
      <c r="G44">
        <f t="shared" si="18"/>
        <v>1.25</v>
      </c>
      <c r="H44">
        <f t="shared" si="19"/>
        <v>1.1764705882352942</v>
      </c>
      <c r="I44">
        <v>20250</v>
      </c>
      <c r="J44">
        <v>23100</v>
      </c>
      <c r="K44">
        <f t="shared" si="2"/>
        <v>-2.3925925925925937</v>
      </c>
      <c r="L44" t="s">
        <v>61</v>
      </c>
      <c r="M44" t="str">
        <f t="shared" si="3"/>
        <v>Include</v>
      </c>
    </row>
    <row r="45" spans="1:13" x14ac:dyDescent="0.25">
      <c r="A45" t="s">
        <v>47</v>
      </c>
      <c r="B45" t="s">
        <v>16</v>
      </c>
      <c r="C45" t="s">
        <v>16</v>
      </c>
      <c r="D45" t="s">
        <v>49</v>
      </c>
      <c r="E45" s="2">
        <v>0.8</v>
      </c>
      <c r="F45">
        <v>0.98</v>
      </c>
      <c r="G45">
        <f t="shared" si="18"/>
        <v>1.25</v>
      </c>
      <c r="H45">
        <f t="shared" si="19"/>
        <v>1.0204081632653061</v>
      </c>
      <c r="I45">
        <v>20250</v>
      </c>
      <c r="J45">
        <v>25350</v>
      </c>
      <c r="K45">
        <f t="shared" si="2"/>
        <v>-1.37119341563786</v>
      </c>
      <c r="L45" t="s">
        <v>61</v>
      </c>
      <c r="M45" t="str">
        <f t="shared" si="3"/>
        <v>Include</v>
      </c>
    </row>
    <row r="46" spans="1:13" x14ac:dyDescent="0.25">
      <c r="A46" t="s">
        <v>47</v>
      </c>
      <c r="B46" t="s">
        <v>16</v>
      </c>
      <c r="C46" t="s">
        <v>16</v>
      </c>
      <c r="D46" t="s">
        <v>50</v>
      </c>
      <c r="E46" s="2">
        <v>0.83</v>
      </c>
      <c r="F46">
        <v>0.98</v>
      </c>
      <c r="G46">
        <f t="shared" si="18"/>
        <v>1.2048192771084338</v>
      </c>
      <c r="H46">
        <f t="shared" si="19"/>
        <v>1.0204081632653061</v>
      </c>
      <c r="I46">
        <v>18500</v>
      </c>
      <c r="J46">
        <v>30900</v>
      </c>
      <c r="K46">
        <f t="shared" si="2"/>
        <v>-4.3790990990990979</v>
      </c>
      <c r="L46" t="s">
        <v>61</v>
      </c>
      <c r="M46" t="str">
        <f t="shared" si="3"/>
        <v>Include</v>
      </c>
    </row>
    <row r="47" spans="1:13" x14ac:dyDescent="0.25">
      <c r="A47" t="s">
        <v>47</v>
      </c>
      <c r="B47" t="s">
        <v>22</v>
      </c>
      <c r="C47" t="s">
        <v>21</v>
      </c>
      <c r="D47" t="s">
        <v>51</v>
      </c>
      <c r="E47" s="2">
        <v>8.8000000000000007</v>
      </c>
      <c r="F47">
        <v>9.8000000000000007</v>
      </c>
      <c r="G47">
        <f t="shared" si="18"/>
        <v>0.11363636363636363</v>
      </c>
      <c r="H47">
        <f t="shared" si="19"/>
        <v>0.1020408163265306</v>
      </c>
      <c r="I47">
        <v>300</v>
      </c>
      <c r="J47">
        <v>350</v>
      </c>
      <c r="K47">
        <f t="shared" si="2"/>
        <v>-1.6333333333333322</v>
      </c>
      <c r="L47" t="s">
        <v>52</v>
      </c>
      <c r="M47" t="str">
        <f t="shared" si="3"/>
        <v>Include</v>
      </c>
    </row>
    <row r="48" spans="1:13" x14ac:dyDescent="0.25">
      <c r="A48" t="s">
        <v>47</v>
      </c>
      <c r="B48" t="s">
        <v>22</v>
      </c>
      <c r="C48" t="s">
        <v>21</v>
      </c>
      <c r="D48" t="s">
        <v>51</v>
      </c>
      <c r="E48" s="2">
        <v>8.8000000000000007</v>
      </c>
      <c r="F48">
        <v>10.7</v>
      </c>
      <c r="G48">
        <f t="shared" si="18"/>
        <v>0.11363636363636363</v>
      </c>
      <c r="H48">
        <f t="shared" si="19"/>
        <v>9.3457943925233655E-2</v>
      </c>
      <c r="I48">
        <v>300</v>
      </c>
      <c r="J48">
        <v>450</v>
      </c>
      <c r="K48">
        <f t="shared" si="2"/>
        <v>-2.8157894736842124</v>
      </c>
      <c r="L48" t="s">
        <v>52</v>
      </c>
      <c r="M48" t="str">
        <f t="shared" si="3"/>
        <v>Include</v>
      </c>
    </row>
    <row r="49" spans="1:13" x14ac:dyDescent="0.25">
      <c r="A49" t="s">
        <v>47</v>
      </c>
      <c r="B49" t="s">
        <v>22</v>
      </c>
      <c r="C49" t="s">
        <v>21</v>
      </c>
      <c r="D49" t="s">
        <v>56</v>
      </c>
      <c r="E49" s="2">
        <v>3.66</v>
      </c>
      <c r="F49">
        <v>4.4000000000000004</v>
      </c>
      <c r="G49">
        <f t="shared" si="18"/>
        <v>0.27322404371584696</v>
      </c>
      <c r="H49">
        <f t="shared" si="19"/>
        <v>0.22727272727272727</v>
      </c>
      <c r="I49">
        <v>675</v>
      </c>
      <c r="J49">
        <v>775</v>
      </c>
      <c r="K49">
        <f t="shared" si="2"/>
        <v>-0.88088088088088112</v>
      </c>
      <c r="L49" t="s">
        <v>52</v>
      </c>
      <c r="M49" t="str">
        <f t="shared" si="3"/>
        <v>Include</v>
      </c>
    </row>
    <row r="50" spans="1:13" x14ac:dyDescent="0.25">
      <c r="A50" t="s">
        <v>47</v>
      </c>
      <c r="B50" t="s">
        <v>22</v>
      </c>
      <c r="C50" t="s">
        <v>21</v>
      </c>
      <c r="D50" t="s">
        <v>56</v>
      </c>
      <c r="E50" s="2">
        <v>3.66</v>
      </c>
      <c r="F50">
        <v>4.45</v>
      </c>
      <c r="G50">
        <f t="shared" si="18"/>
        <v>0.27322404371584696</v>
      </c>
      <c r="H50">
        <f t="shared" si="19"/>
        <v>0.2247191011235955</v>
      </c>
      <c r="I50">
        <v>675</v>
      </c>
      <c r="J50">
        <v>875</v>
      </c>
      <c r="K50">
        <f t="shared" si="2"/>
        <v>-1.6690107829348342</v>
      </c>
      <c r="L50" t="s">
        <v>52</v>
      </c>
      <c r="M50" t="str">
        <f t="shared" si="3"/>
        <v>Include</v>
      </c>
    </row>
    <row r="51" spans="1:13" x14ac:dyDescent="0.25">
      <c r="A51" t="s">
        <v>47</v>
      </c>
      <c r="B51" t="s">
        <v>22</v>
      </c>
      <c r="C51" t="s">
        <v>21</v>
      </c>
      <c r="D51" t="s">
        <v>57</v>
      </c>
      <c r="E51" s="2">
        <v>3.74</v>
      </c>
      <c r="F51">
        <v>4.58</v>
      </c>
      <c r="G51">
        <f t="shared" si="18"/>
        <v>0.26737967914438499</v>
      </c>
      <c r="H51">
        <f t="shared" si="19"/>
        <v>0.2183406113537118</v>
      </c>
      <c r="I51">
        <v>625</v>
      </c>
      <c r="J51">
        <v>725</v>
      </c>
      <c r="K51">
        <f t="shared" si="2"/>
        <v>-0.87238095238095315</v>
      </c>
      <c r="L51" t="s">
        <v>52</v>
      </c>
      <c r="M51" t="str">
        <f t="shared" si="3"/>
        <v>Include</v>
      </c>
    </row>
    <row r="52" spans="1:13" x14ac:dyDescent="0.25">
      <c r="A52" t="s">
        <v>47</v>
      </c>
      <c r="B52" t="s">
        <v>22</v>
      </c>
      <c r="C52" t="s">
        <v>21</v>
      </c>
      <c r="D52" t="s">
        <v>57</v>
      </c>
      <c r="E52">
        <v>3.74</v>
      </c>
      <c r="F52">
        <v>5.8</v>
      </c>
      <c r="G52">
        <f t="shared" si="18"/>
        <v>0.26737967914438499</v>
      </c>
      <c r="H52">
        <f t="shared" si="19"/>
        <v>0.17241379310344829</v>
      </c>
      <c r="I52">
        <v>625</v>
      </c>
      <c r="J52">
        <v>825</v>
      </c>
      <c r="K52">
        <f t="shared" si="2"/>
        <v>-0.90097087378640806</v>
      </c>
      <c r="L52" t="s">
        <v>52</v>
      </c>
      <c r="M52" t="str">
        <f t="shared" si="3"/>
        <v>Include</v>
      </c>
    </row>
    <row r="53" spans="1:13" x14ac:dyDescent="0.25">
      <c r="A53" t="s">
        <v>47</v>
      </c>
      <c r="B53" t="s">
        <v>22</v>
      </c>
      <c r="C53" t="s">
        <v>21</v>
      </c>
      <c r="D53" t="s">
        <v>58</v>
      </c>
      <c r="E53">
        <v>4.54</v>
      </c>
      <c r="F53">
        <v>4.67</v>
      </c>
      <c r="G53">
        <f t="shared" si="18"/>
        <v>0.22026431718061673</v>
      </c>
      <c r="H53">
        <f t="shared" si="19"/>
        <v>0.21413276231263384</v>
      </c>
      <c r="I53">
        <v>700</v>
      </c>
      <c r="J53">
        <v>800</v>
      </c>
      <c r="K53">
        <f t="shared" si="2"/>
        <v>-5.1318681318681447</v>
      </c>
      <c r="L53" t="s">
        <v>52</v>
      </c>
      <c r="M53" t="str">
        <f t="shared" si="3"/>
        <v>Include</v>
      </c>
    </row>
    <row r="54" spans="1:13" x14ac:dyDescent="0.25">
      <c r="A54" t="s">
        <v>47</v>
      </c>
      <c r="B54" t="s">
        <v>22</v>
      </c>
      <c r="C54" t="s">
        <v>21</v>
      </c>
      <c r="D54" t="s">
        <v>58</v>
      </c>
      <c r="E54">
        <v>4.54</v>
      </c>
      <c r="F54">
        <v>4.8600000000000003</v>
      </c>
      <c r="G54">
        <f t="shared" si="18"/>
        <v>0.22026431718061673</v>
      </c>
      <c r="H54">
        <f t="shared" si="19"/>
        <v>0.20576131687242796</v>
      </c>
      <c r="I54">
        <v>700</v>
      </c>
      <c r="J54">
        <v>900</v>
      </c>
      <c r="K54">
        <f t="shared" si="2"/>
        <v>-4.33928571428571</v>
      </c>
      <c r="L54" t="s">
        <v>52</v>
      </c>
      <c r="M54" t="str">
        <f t="shared" si="3"/>
        <v>Include</v>
      </c>
    </row>
    <row r="55" spans="1:13" x14ac:dyDescent="0.25">
      <c r="A55" s="1" t="s">
        <v>47</v>
      </c>
      <c r="B55" s="1" t="s">
        <v>22</v>
      </c>
      <c r="C55" s="1" t="s">
        <v>21</v>
      </c>
      <c r="D55" s="1" t="s">
        <v>59</v>
      </c>
      <c r="E55" s="1">
        <v>12.4</v>
      </c>
      <c r="F55" s="1">
        <v>11.8</v>
      </c>
      <c r="G55" s="1">
        <f t="shared" si="18"/>
        <v>8.0645161290322578E-2</v>
      </c>
      <c r="H55" s="1">
        <f t="shared" si="19"/>
        <v>8.4745762711864403E-2</v>
      </c>
      <c r="I55" s="1">
        <v>8000</v>
      </c>
      <c r="J55" s="1">
        <v>8600</v>
      </c>
      <c r="K55" s="1">
        <f t="shared" si="2"/>
        <v>1.4750000000000005</v>
      </c>
      <c r="L55" s="1" t="s">
        <v>52</v>
      </c>
      <c r="M55" t="str">
        <f t="shared" si="3"/>
        <v>Exclude</v>
      </c>
    </row>
    <row r="56" spans="1:13" x14ac:dyDescent="0.25">
      <c r="A56" t="s">
        <v>47</v>
      </c>
      <c r="B56" t="s">
        <v>22</v>
      </c>
      <c r="C56" t="s">
        <v>21</v>
      </c>
      <c r="D56" t="s">
        <v>59</v>
      </c>
      <c r="E56">
        <v>12.4</v>
      </c>
      <c r="F56">
        <v>20.8</v>
      </c>
      <c r="G56">
        <f t="shared" si="18"/>
        <v>8.0645161290322578E-2</v>
      </c>
      <c r="H56">
        <f t="shared" si="19"/>
        <v>4.8076923076923073E-2</v>
      </c>
      <c r="I56">
        <v>8000</v>
      </c>
      <c r="J56">
        <v>23500</v>
      </c>
      <c r="K56">
        <f t="shared" si="2"/>
        <v>-4.7976190476190466</v>
      </c>
      <c r="L56" t="s">
        <v>52</v>
      </c>
      <c r="M56" t="str">
        <f t="shared" si="3"/>
        <v>Include</v>
      </c>
    </row>
    <row r="57" spans="1:13" x14ac:dyDescent="0.25">
      <c r="A57" t="s">
        <v>47</v>
      </c>
      <c r="B57" t="s">
        <v>4</v>
      </c>
      <c r="C57" t="s">
        <v>6</v>
      </c>
      <c r="D57" t="s">
        <v>60</v>
      </c>
      <c r="E57">
        <v>0.8</v>
      </c>
      <c r="F57">
        <v>0.99</v>
      </c>
      <c r="G57">
        <f t="shared" si="18"/>
        <v>1.25</v>
      </c>
      <c r="H57">
        <f t="shared" si="19"/>
        <v>1.0101010101010102</v>
      </c>
      <c r="I57">
        <v>4230</v>
      </c>
      <c r="J57">
        <v>5830</v>
      </c>
      <c r="K57">
        <f t="shared" si="2"/>
        <v>-1.9708846584546476</v>
      </c>
      <c r="L57" t="s">
        <v>61</v>
      </c>
      <c r="M57" t="str">
        <f t="shared" si="3"/>
        <v>Include</v>
      </c>
    </row>
    <row r="58" spans="1:13" x14ac:dyDescent="0.25">
      <c r="A58" t="s">
        <v>47</v>
      </c>
      <c r="B58" t="s">
        <v>4</v>
      </c>
      <c r="C58" t="s">
        <v>6</v>
      </c>
      <c r="D58" t="s">
        <v>63</v>
      </c>
      <c r="E58">
        <v>0.8</v>
      </c>
      <c r="F58">
        <v>0.85</v>
      </c>
      <c r="G58">
        <f t="shared" si="18"/>
        <v>1.25</v>
      </c>
      <c r="H58">
        <f t="shared" si="19"/>
        <v>1.1764705882352942</v>
      </c>
      <c r="I58">
        <v>7030</v>
      </c>
      <c r="J58">
        <v>9030</v>
      </c>
      <c r="K58">
        <f t="shared" si="2"/>
        <v>-4.836415362731155</v>
      </c>
      <c r="L58" t="s">
        <v>61</v>
      </c>
      <c r="M58" t="str">
        <f t="shared" si="3"/>
        <v>Include</v>
      </c>
    </row>
    <row r="59" spans="1:13" x14ac:dyDescent="0.25">
      <c r="A59" t="s">
        <v>47</v>
      </c>
      <c r="B59" t="s">
        <v>4</v>
      </c>
      <c r="C59" t="s">
        <v>6</v>
      </c>
      <c r="D59" t="s">
        <v>64</v>
      </c>
      <c r="E59">
        <v>0.89</v>
      </c>
      <c r="F59">
        <v>0.97</v>
      </c>
      <c r="G59">
        <f t="shared" si="18"/>
        <v>1.1235955056179776</v>
      </c>
      <c r="H59">
        <f t="shared" si="19"/>
        <v>1.0309278350515465</v>
      </c>
      <c r="I59">
        <v>1550</v>
      </c>
      <c r="J59">
        <v>1750</v>
      </c>
      <c r="K59">
        <f t="shared" si="2"/>
        <v>-1.5645161290322587</v>
      </c>
      <c r="L59" t="s">
        <v>61</v>
      </c>
      <c r="M59" t="str">
        <f t="shared" si="3"/>
        <v>Include</v>
      </c>
    </row>
    <row r="60" spans="1:13" x14ac:dyDescent="0.25">
      <c r="A60" t="s">
        <v>47</v>
      </c>
      <c r="B60" t="s">
        <v>4</v>
      </c>
      <c r="C60" t="s">
        <v>6</v>
      </c>
      <c r="D60" t="s">
        <v>65</v>
      </c>
      <c r="E60">
        <v>0.8</v>
      </c>
      <c r="F60">
        <v>0.91</v>
      </c>
      <c r="G60">
        <f t="shared" si="18"/>
        <v>1.25</v>
      </c>
      <c r="H60">
        <f t="shared" si="19"/>
        <v>1.0989010989010988</v>
      </c>
      <c r="I60">
        <v>4800</v>
      </c>
      <c r="J60">
        <v>8300</v>
      </c>
      <c r="K60">
        <f t="shared" si="2"/>
        <v>-6.0321969696969644</v>
      </c>
      <c r="L60" t="s">
        <v>61</v>
      </c>
      <c r="M60" t="str">
        <f t="shared" si="3"/>
        <v>Include</v>
      </c>
    </row>
    <row r="61" spans="1:13" x14ac:dyDescent="0.25">
      <c r="A61" t="s">
        <v>47</v>
      </c>
      <c r="B61" t="s">
        <v>33</v>
      </c>
      <c r="C61" t="s">
        <v>6</v>
      </c>
      <c r="D61" t="s">
        <v>66</v>
      </c>
      <c r="E61">
        <v>0.3</v>
      </c>
      <c r="F61">
        <v>0.38</v>
      </c>
      <c r="G61">
        <f t="shared" si="18"/>
        <v>3.3333333333333335</v>
      </c>
      <c r="H61">
        <f t="shared" si="19"/>
        <v>2.6315789473684212</v>
      </c>
      <c r="I61">
        <v>5150</v>
      </c>
      <c r="J61">
        <v>5360</v>
      </c>
      <c r="K61">
        <f t="shared" si="2"/>
        <v>-0.19368932038834955</v>
      </c>
      <c r="L61" t="s">
        <v>67</v>
      </c>
      <c r="M61" t="str">
        <f t="shared" si="3"/>
        <v>Include</v>
      </c>
    </row>
    <row r="62" spans="1:13" x14ac:dyDescent="0.25">
      <c r="A62" t="s">
        <v>47</v>
      </c>
      <c r="B62" t="s">
        <v>33</v>
      </c>
      <c r="C62" t="s">
        <v>6</v>
      </c>
      <c r="D62" t="s">
        <v>66</v>
      </c>
      <c r="E62">
        <v>0.3</v>
      </c>
      <c r="F62">
        <v>0.52</v>
      </c>
      <c r="G62">
        <f t="shared" si="18"/>
        <v>3.3333333333333335</v>
      </c>
      <c r="H62">
        <f t="shared" si="19"/>
        <v>1.9230769230769229</v>
      </c>
      <c r="I62">
        <v>5150</v>
      </c>
      <c r="J62">
        <v>6160</v>
      </c>
      <c r="K62">
        <f t="shared" si="2"/>
        <v>-0.46354810238305377</v>
      </c>
      <c r="L62" t="s">
        <v>67</v>
      </c>
      <c r="M62" t="str">
        <f t="shared" si="3"/>
        <v>Include</v>
      </c>
    </row>
    <row r="63" spans="1:13" x14ac:dyDescent="0.25">
      <c r="A63" t="s">
        <v>47</v>
      </c>
      <c r="B63" t="s">
        <v>33</v>
      </c>
      <c r="C63" t="s">
        <v>6</v>
      </c>
      <c r="D63" t="s">
        <v>68</v>
      </c>
      <c r="E63">
        <v>0.65</v>
      </c>
      <c r="F63">
        <v>0.7</v>
      </c>
      <c r="G63">
        <f t="shared" si="18"/>
        <v>1.5384615384615383</v>
      </c>
      <c r="H63">
        <f t="shared" si="19"/>
        <v>1.4285714285714286</v>
      </c>
      <c r="I63">
        <v>7950</v>
      </c>
      <c r="J63">
        <v>7950</v>
      </c>
      <c r="K63">
        <f t="shared" si="2"/>
        <v>0</v>
      </c>
      <c r="L63" t="s">
        <v>67</v>
      </c>
      <c r="M63" t="str">
        <f t="shared" si="3"/>
        <v>Exclude</v>
      </c>
    </row>
    <row r="64" spans="1:13" x14ac:dyDescent="0.25">
      <c r="A64" t="s">
        <v>47</v>
      </c>
      <c r="B64" t="s">
        <v>33</v>
      </c>
      <c r="C64" t="s">
        <v>6</v>
      </c>
      <c r="D64" t="s">
        <v>68</v>
      </c>
      <c r="E64">
        <v>0.65</v>
      </c>
      <c r="F64">
        <v>0.82</v>
      </c>
      <c r="G64">
        <f t="shared" si="18"/>
        <v>1.5384615384615383</v>
      </c>
      <c r="H64">
        <f t="shared" si="19"/>
        <v>1.2195121951219512</v>
      </c>
      <c r="I64">
        <v>7950</v>
      </c>
      <c r="J64">
        <v>9150</v>
      </c>
      <c r="K64">
        <f t="shared" si="2"/>
        <v>-0.72807991120976712</v>
      </c>
      <c r="L64" t="s">
        <v>67</v>
      </c>
      <c r="M64" t="str">
        <f t="shared" si="3"/>
        <v>Include</v>
      </c>
    </row>
    <row r="65" spans="1:13" x14ac:dyDescent="0.25">
      <c r="A65" t="s">
        <v>47</v>
      </c>
      <c r="B65" t="s">
        <v>33</v>
      </c>
      <c r="C65" t="s">
        <v>6</v>
      </c>
      <c r="D65" t="s">
        <v>69</v>
      </c>
      <c r="E65">
        <v>856</v>
      </c>
      <c r="F65">
        <v>297</v>
      </c>
      <c r="G65">
        <f>E65</f>
        <v>856</v>
      </c>
      <c r="H65">
        <f>F65</f>
        <v>297</v>
      </c>
      <c r="I65">
        <v>2400</v>
      </c>
      <c r="J65">
        <v>2400</v>
      </c>
      <c r="K65">
        <f t="shared" si="2"/>
        <v>0</v>
      </c>
      <c r="L65" t="s">
        <v>67</v>
      </c>
      <c r="M65" t="str">
        <f t="shared" si="3"/>
        <v>Exclude</v>
      </c>
    </row>
    <row r="66" spans="1:13" x14ac:dyDescent="0.25">
      <c r="A66" t="s">
        <v>47</v>
      </c>
      <c r="B66" t="s">
        <v>33</v>
      </c>
      <c r="C66" t="s">
        <v>6</v>
      </c>
      <c r="D66" t="s">
        <v>69</v>
      </c>
      <c r="E66">
        <v>856</v>
      </c>
      <c r="F66">
        <v>154</v>
      </c>
      <c r="G66">
        <f>E66</f>
        <v>856</v>
      </c>
      <c r="H66">
        <f>F66</f>
        <v>154</v>
      </c>
      <c r="I66">
        <v>2400</v>
      </c>
      <c r="J66">
        <v>2800</v>
      </c>
      <c r="K66">
        <f t="shared" si="2"/>
        <v>-0.20322886989553657</v>
      </c>
      <c r="L66" t="s">
        <v>67</v>
      </c>
      <c r="M66" t="str">
        <f t="shared" si="3"/>
        <v>Include</v>
      </c>
    </row>
    <row r="67" spans="1:13" x14ac:dyDescent="0.25">
      <c r="A67" s="3" t="s">
        <v>47</v>
      </c>
      <c r="B67" s="3" t="s">
        <v>25</v>
      </c>
      <c r="C67" s="3" t="s">
        <v>77</v>
      </c>
      <c r="D67" s="3" t="s">
        <v>78</v>
      </c>
      <c r="E67" s="3">
        <v>18440</v>
      </c>
      <c r="F67" s="3">
        <v>17002</v>
      </c>
      <c r="G67" s="3">
        <f t="shared" ref="G67:G78" si="20">E67</f>
        <v>18440</v>
      </c>
      <c r="H67" s="3">
        <f t="shared" ref="H67:H78" si="21">F67</f>
        <v>17002</v>
      </c>
      <c r="I67" s="3">
        <v>7600</v>
      </c>
      <c r="J67" s="3">
        <v>8173</v>
      </c>
      <c r="K67">
        <f t="shared" ref="K67:K78" si="22">(((J67-I67)/I67)/((H67-G67)/G67))</f>
        <v>-0.96681428885147502</v>
      </c>
      <c r="L67" s="3" t="s">
        <v>92</v>
      </c>
      <c r="M67" t="str">
        <f t="shared" ref="M67:M78" si="23">IF(IFERROR(K67,"Exclude")="Exclude","Exclude",IF(OR(K67&gt;=0,K67&lt;-20),"Exclude","Include"))</f>
        <v>Include</v>
      </c>
    </row>
    <row r="68" spans="1:13" x14ac:dyDescent="0.25">
      <c r="A68" s="3" t="s">
        <v>47</v>
      </c>
      <c r="B68" s="3" t="s">
        <v>25</v>
      </c>
      <c r="C68" s="3" t="s">
        <v>77</v>
      </c>
      <c r="D68" s="3" t="s">
        <v>79</v>
      </c>
      <c r="E68" s="3">
        <v>900</v>
      </c>
      <c r="F68" s="3">
        <v>810</v>
      </c>
      <c r="G68" s="3">
        <f t="shared" si="20"/>
        <v>900</v>
      </c>
      <c r="H68" s="3">
        <f t="shared" si="21"/>
        <v>810</v>
      </c>
      <c r="I68" s="3">
        <v>630</v>
      </c>
      <c r="J68" s="3">
        <v>693</v>
      </c>
      <c r="K68">
        <f t="shared" si="22"/>
        <v>-1</v>
      </c>
      <c r="L68" s="3" t="s">
        <v>93</v>
      </c>
      <c r="M68" t="str">
        <f t="shared" si="23"/>
        <v>Include</v>
      </c>
    </row>
    <row r="69" spans="1:13" x14ac:dyDescent="0.25">
      <c r="A69" s="3" t="s">
        <v>47</v>
      </c>
      <c r="B69" s="3" t="s">
        <v>25</v>
      </c>
      <c r="C69" s="3" t="s">
        <v>77</v>
      </c>
      <c r="D69" s="3" t="s">
        <v>80</v>
      </c>
      <c r="E69" s="3">
        <v>120</v>
      </c>
      <c r="F69" s="3">
        <v>108</v>
      </c>
      <c r="G69" s="3">
        <f t="shared" si="20"/>
        <v>120</v>
      </c>
      <c r="H69" s="3">
        <f t="shared" si="21"/>
        <v>108</v>
      </c>
      <c r="I69" s="3">
        <v>54</v>
      </c>
      <c r="J69" s="3">
        <v>60</v>
      </c>
      <c r="K69">
        <f t="shared" si="22"/>
        <v>-1.1111111111111109</v>
      </c>
      <c r="L69" s="3" t="s">
        <v>93</v>
      </c>
      <c r="M69" t="str">
        <f t="shared" si="23"/>
        <v>Include</v>
      </c>
    </row>
    <row r="70" spans="1:13" x14ac:dyDescent="0.25">
      <c r="A70" s="3" t="s">
        <v>47</v>
      </c>
      <c r="B70" s="3" t="s">
        <v>25</v>
      </c>
      <c r="C70" s="3" t="s">
        <v>77</v>
      </c>
      <c r="D70" s="3" t="s">
        <v>81</v>
      </c>
      <c r="E70" s="3">
        <v>6329</v>
      </c>
      <c r="F70" s="3">
        <v>4822</v>
      </c>
      <c r="G70" s="3">
        <f t="shared" si="20"/>
        <v>6329</v>
      </c>
      <c r="H70" s="3">
        <f t="shared" si="21"/>
        <v>4822</v>
      </c>
      <c r="I70">
        <v>16414</v>
      </c>
      <c r="J70">
        <v>19875</v>
      </c>
      <c r="K70">
        <f t="shared" si="22"/>
        <v>-0.88554169329126431</v>
      </c>
      <c r="L70" s="3" t="s">
        <v>92</v>
      </c>
      <c r="M70" t="str">
        <f t="shared" si="23"/>
        <v>Include</v>
      </c>
    </row>
    <row r="71" spans="1:13" x14ac:dyDescent="0.25">
      <c r="A71" s="3" t="s">
        <v>47</v>
      </c>
      <c r="B71" s="3" t="s">
        <v>25</v>
      </c>
      <c r="C71" s="3" t="s">
        <v>77</v>
      </c>
      <c r="D71" s="3" t="s">
        <v>82</v>
      </c>
      <c r="E71" s="3">
        <v>13844</v>
      </c>
      <c r="F71" s="3">
        <v>12319</v>
      </c>
      <c r="G71" s="3">
        <f t="shared" si="20"/>
        <v>13844</v>
      </c>
      <c r="H71" s="3">
        <f t="shared" si="21"/>
        <v>12319</v>
      </c>
      <c r="I71">
        <v>14921</v>
      </c>
      <c r="J71">
        <v>21489</v>
      </c>
      <c r="K71">
        <f t="shared" si="22"/>
        <v>-3.9960136280585949</v>
      </c>
      <c r="L71" s="3" t="s">
        <v>92</v>
      </c>
      <c r="M71" t="str">
        <f t="shared" si="23"/>
        <v>Include</v>
      </c>
    </row>
    <row r="72" spans="1:13" x14ac:dyDescent="0.25">
      <c r="A72" s="3" t="s">
        <v>47</v>
      </c>
      <c r="B72" s="3" t="s">
        <v>25</v>
      </c>
      <c r="C72" s="3" t="s">
        <v>6</v>
      </c>
      <c r="D72" s="3" t="s">
        <v>83</v>
      </c>
      <c r="E72" s="3">
        <v>1598</v>
      </c>
      <c r="F72" s="3">
        <v>993</v>
      </c>
      <c r="G72" s="3">
        <f t="shared" si="20"/>
        <v>1598</v>
      </c>
      <c r="H72" s="3">
        <f t="shared" si="21"/>
        <v>993</v>
      </c>
      <c r="I72">
        <v>3963</v>
      </c>
      <c r="J72">
        <v>4008</v>
      </c>
      <c r="K72">
        <f t="shared" si="22"/>
        <v>-2.999230485294762E-2</v>
      </c>
      <c r="L72" s="3" t="s">
        <v>92</v>
      </c>
      <c r="M72" t="str">
        <f t="shared" si="23"/>
        <v>Include</v>
      </c>
    </row>
    <row r="73" spans="1:13" x14ac:dyDescent="0.25">
      <c r="A73" s="3" t="s">
        <v>47</v>
      </c>
      <c r="B73" s="3" t="s">
        <v>25</v>
      </c>
      <c r="C73" s="3" t="s">
        <v>6</v>
      </c>
      <c r="D73" s="3" t="s">
        <v>84</v>
      </c>
      <c r="E73" s="3">
        <v>5151</v>
      </c>
      <c r="F73" s="3">
        <v>3037</v>
      </c>
      <c r="G73" s="3">
        <f t="shared" si="20"/>
        <v>5151</v>
      </c>
      <c r="H73" s="3">
        <f t="shared" si="21"/>
        <v>3037</v>
      </c>
      <c r="I73">
        <v>4107</v>
      </c>
      <c r="J73">
        <v>4170</v>
      </c>
      <c r="K73">
        <f t="shared" si="22"/>
        <v>-3.7376825545789215E-2</v>
      </c>
      <c r="L73" s="3" t="s">
        <v>92</v>
      </c>
      <c r="M73" t="str">
        <f t="shared" si="23"/>
        <v>Include</v>
      </c>
    </row>
    <row r="74" spans="1:13" x14ac:dyDescent="0.25">
      <c r="A74" s="3" t="s">
        <v>47</v>
      </c>
      <c r="B74" s="3" t="s">
        <v>25</v>
      </c>
      <c r="C74" s="3" t="s">
        <v>6</v>
      </c>
      <c r="D74" s="3" t="s">
        <v>85</v>
      </c>
      <c r="E74" s="3">
        <v>3833</v>
      </c>
      <c r="F74" s="3">
        <v>3408</v>
      </c>
      <c r="G74" s="3">
        <f t="shared" si="20"/>
        <v>3833</v>
      </c>
      <c r="H74" s="3">
        <f t="shared" si="21"/>
        <v>3408</v>
      </c>
      <c r="I74">
        <v>4449</v>
      </c>
      <c r="J74">
        <v>4524</v>
      </c>
      <c r="K74">
        <f t="shared" si="22"/>
        <v>-0.15203680932926103</v>
      </c>
      <c r="L74" s="3" t="s">
        <v>92</v>
      </c>
      <c r="M74" t="str">
        <f t="shared" si="23"/>
        <v>Include</v>
      </c>
    </row>
    <row r="75" spans="1:13" x14ac:dyDescent="0.25">
      <c r="A75" s="3" t="s">
        <v>47</v>
      </c>
      <c r="B75" s="3" t="s">
        <v>25</v>
      </c>
      <c r="C75" s="3" t="s">
        <v>6</v>
      </c>
      <c r="D75" s="3" t="s">
        <v>86</v>
      </c>
      <c r="E75" s="3">
        <v>1763</v>
      </c>
      <c r="F75" s="3">
        <v>996</v>
      </c>
      <c r="G75" s="3">
        <f t="shared" si="20"/>
        <v>1763</v>
      </c>
      <c r="H75" s="3">
        <f t="shared" si="21"/>
        <v>996</v>
      </c>
      <c r="I75">
        <v>3626</v>
      </c>
      <c r="J75">
        <v>3752</v>
      </c>
      <c r="K75">
        <f t="shared" si="22"/>
        <v>-7.987294427972394E-2</v>
      </c>
      <c r="L75" s="3" t="s">
        <v>92</v>
      </c>
      <c r="M75" t="str">
        <f t="shared" si="23"/>
        <v>Include</v>
      </c>
    </row>
    <row r="76" spans="1:13" x14ac:dyDescent="0.25">
      <c r="A76" s="3" t="s">
        <v>47</v>
      </c>
      <c r="B76" s="3" t="s">
        <v>87</v>
      </c>
      <c r="C76" s="3" t="s">
        <v>21</v>
      </c>
      <c r="D76" s="3" t="s">
        <v>88</v>
      </c>
      <c r="E76" s="3">
        <v>39064</v>
      </c>
      <c r="F76" s="3">
        <v>34952</v>
      </c>
      <c r="G76" s="3">
        <f t="shared" si="20"/>
        <v>39064</v>
      </c>
      <c r="H76" s="3">
        <f t="shared" si="21"/>
        <v>34952</v>
      </c>
      <c r="I76">
        <v>73500</v>
      </c>
      <c r="J76">
        <v>80000</v>
      </c>
      <c r="K76">
        <f t="shared" si="22"/>
        <v>-0.84013605442176875</v>
      </c>
      <c r="L76" s="3" t="s">
        <v>92</v>
      </c>
      <c r="M76" t="str">
        <f t="shared" si="23"/>
        <v>Include</v>
      </c>
    </row>
    <row r="77" spans="1:13" x14ac:dyDescent="0.25">
      <c r="A77" s="3" t="s">
        <v>47</v>
      </c>
      <c r="B77" s="3" t="s">
        <v>87</v>
      </c>
      <c r="C77" s="3" t="s">
        <v>21</v>
      </c>
      <c r="D77" s="3" t="s">
        <v>89</v>
      </c>
      <c r="E77" s="3">
        <v>12441</v>
      </c>
      <c r="F77" s="3">
        <v>11131</v>
      </c>
      <c r="G77" s="3">
        <f t="shared" si="20"/>
        <v>12441</v>
      </c>
      <c r="H77" s="3">
        <f t="shared" si="21"/>
        <v>11131</v>
      </c>
      <c r="I77">
        <v>91000</v>
      </c>
      <c r="J77">
        <v>100000</v>
      </c>
      <c r="K77">
        <f t="shared" si="22"/>
        <v>-0.93925845147219178</v>
      </c>
      <c r="L77" s="3" t="s">
        <v>92</v>
      </c>
      <c r="M77" t="str">
        <f t="shared" si="23"/>
        <v>Include</v>
      </c>
    </row>
    <row r="78" spans="1:13" x14ac:dyDescent="0.25">
      <c r="A78" s="3" t="s">
        <v>47</v>
      </c>
      <c r="B78" s="3" t="s">
        <v>22</v>
      </c>
      <c r="C78" s="3" t="s">
        <v>21</v>
      </c>
      <c r="D78" s="3" t="s">
        <v>90</v>
      </c>
      <c r="E78" s="3">
        <v>543</v>
      </c>
      <c r="F78" s="3">
        <v>333</v>
      </c>
      <c r="G78" s="3">
        <f t="shared" si="20"/>
        <v>543</v>
      </c>
      <c r="H78" s="3">
        <f t="shared" si="21"/>
        <v>333</v>
      </c>
      <c r="I78">
        <v>2400</v>
      </c>
      <c r="J78">
        <v>2600</v>
      </c>
      <c r="K78">
        <f t="shared" si="22"/>
        <v>-0.21547619047619046</v>
      </c>
      <c r="L78" s="3" t="s">
        <v>92</v>
      </c>
      <c r="M78" t="str">
        <f t="shared" si="23"/>
        <v>Include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85" zoomScaleNormal="85" workbookViewId="0"/>
  </sheetViews>
  <sheetFormatPr defaultRowHeight="15" x14ac:dyDescent="0.25"/>
  <cols>
    <col min="1" max="1" width="13.140625" bestFit="1" customWidth="1"/>
    <col min="2" max="2" width="9.28515625" customWidth="1"/>
    <col min="3" max="3" width="21.42578125" customWidth="1"/>
    <col min="4" max="4" width="72.140625" customWidth="1"/>
    <col min="5" max="5" width="20.85546875" bestFit="1" customWidth="1"/>
    <col min="6" max="6" width="20.5703125" bestFit="1" customWidth="1"/>
    <col min="7" max="7" width="24.140625" bestFit="1" customWidth="1"/>
    <col min="8" max="8" width="25.5703125" bestFit="1" customWidth="1"/>
    <col min="9" max="9" width="16" bestFit="1" customWidth="1"/>
    <col min="10" max="10" width="25" bestFit="1" customWidth="1"/>
    <col min="11" max="11" width="13.42578125" bestFit="1" customWidth="1"/>
    <col min="12" max="12" width="45.42578125" bestFit="1" customWidth="1"/>
    <col min="13" max="13" width="15.42578125" bestFit="1" customWidth="1"/>
  </cols>
  <sheetData>
    <row r="1" spans="1:13" x14ac:dyDescent="0.25">
      <c r="A1" s="4" t="s">
        <v>0</v>
      </c>
      <c r="B1" s="4" t="s">
        <v>1</v>
      </c>
      <c r="C1" s="4" t="s">
        <v>5</v>
      </c>
      <c r="D1" s="4" t="s">
        <v>2</v>
      </c>
      <c r="E1" s="4" t="s">
        <v>9</v>
      </c>
      <c r="F1" s="4" t="s">
        <v>10</v>
      </c>
      <c r="G1" s="4" t="s">
        <v>53</v>
      </c>
      <c r="H1" s="4" t="s">
        <v>54</v>
      </c>
      <c r="I1" s="4" t="s">
        <v>12</v>
      </c>
      <c r="J1" s="4" t="s">
        <v>13</v>
      </c>
      <c r="K1" s="4" t="s">
        <v>8</v>
      </c>
      <c r="L1" s="4" t="s">
        <v>94</v>
      </c>
      <c r="M1" s="4" t="s">
        <v>97</v>
      </c>
    </row>
    <row r="2" spans="1:13" x14ac:dyDescent="0.25">
      <c r="A2" t="s">
        <v>3</v>
      </c>
      <c r="B2" t="s">
        <v>70</v>
      </c>
      <c r="C2" t="s">
        <v>70</v>
      </c>
      <c r="D2" t="s">
        <v>122</v>
      </c>
      <c r="E2">
        <v>14.3</v>
      </c>
      <c r="F2">
        <v>67.2</v>
      </c>
      <c r="G2">
        <f>1/E2</f>
        <v>6.9930069930069921E-2</v>
      </c>
      <c r="H2">
        <f>1/F2</f>
        <v>1.488095238095238E-2</v>
      </c>
      <c r="I2">
        <v>0.34</v>
      </c>
      <c r="J2">
        <v>1.57</v>
      </c>
      <c r="K2">
        <f t="shared" ref="K2:K4" si="0">(((J2-I2)/I2)/((H2-G2)/G2))</f>
        <v>-4.5955743355943506</v>
      </c>
      <c r="L2" t="s">
        <v>121</v>
      </c>
      <c r="M2" t="str">
        <f t="shared" ref="M2:M4" si="1">IF(IFERROR(K2,"Exclude")="Exclude","Exclude",IF(OR(K2&gt;=0,K2&lt;-20),"Exclude","Include"))</f>
        <v>Include</v>
      </c>
    </row>
    <row r="3" spans="1:13" x14ac:dyDescent="0.25">
      <c r="A3" t="s">
        <v>3</v>
      </c>
      <c r="B3" t="s">
        <v>70</v>
      </c>
      <c r="C3" t="s">
        <v>70</v>
      </c>
      <c r="D3" t="s">
        <v>126</v>
      </c>
      <c r="E3">
        <v>9.6999999999999993</v>
      </c>
      <c r="F3">
        <v>12.6</v>
      </c>
      <c r="G3">
        <f t="shared" ref="G3:H4" si="2">1/E3</f>
        <v>0.10309278350515465</v>
      </c>
      <c r="H3">
        <f t="shared" si="2"/>
        <v>7.9365079365079361E-2</v>
      </c>
      <c r="I3">
        <v>3.38</v>
      </c>
      <c r="J3">
        <v>6.12</v>
      </c>
      <c r="K3">
        <f t="shared" si="0"/>
        <v>-3.5221383391144654</v>
      </c>
      <c r="L3" t="s">
        <v>72</v>
      </c>
      <c r="M3" t="str">
        <f t="shared" si="1"/>
        <v>Include</v>
      </c>
    </row>
    <row r="4" spans="1:13" x14ac:dyDescent="0.25">
      <c r="A4" t="s">
        <v>3</v>
      </c>
      <c r="B4" t="s">
        <v>70</v>
      </c>
      <c r="C4" t="s">
        <v>70</v>
      </c>
      <c r="D4" t="s">
        <v>125</v>
      </c>
      <c r="E4">
        <v>9.6999999999999993</v>
      </c>
      <c r="F4">
        <v>48</v>
      </c>
      <c r="G4">
        <f t="shared" si="2"/>
        <v>0.10309278350515465</v>
      </c>
      <c r="H4">
        <f t="shared" si="2"/>
        <v>2.0833333333333332E-2</v>
      </c>
      <c r="I4">
        <v>3.38</v>
      </c>
      <c r="J4">
        <v>6.36</v>
      </c>
      <c r="K4">
        <f t="shared" si="0"/>
        <v>-1.1049484759064998</v>
      </c>
      <c r="L4" t="s">
        <v>73</v>
      </c>
      <c r="M4" t="str">
        <f t="shared" si="1"/>
        <v>Include</v>
      </c>
    </row>
    <row r="5" spans="1:13" x14ac:dyDescent="0.25">
      <c r="A5" t="s">
        <v>3</v>
      </c>
      <c r="B5" t="s">
        <v>70</v>
      </c>
      <c r="C5" t="s">
        <v>70</v>
      </c>
      <c r="D5" t="s">
        <v>120</v>
      </c>
      <c r="E5">
        <v>71.5</v>
      </c>
      <c r="F5">
        <v>84.7</v>
      </c>
      <c r="G5">
        <v>1.3986013986013986E-2</v>
      </c>
      <c r="H5">
        <v>1.2300123001230012E-2</v>
      </c>
      <c r="I5">
        <v>1.85</v>
      </c>
      <c r="J5">
        <v>2.67</v>
      </c>
      <c r="K5">
        <f>(((J5-I5)/I5)/((H5-G5)/G5))</f>
        <v>-3.6771097628240477</v>
      </c>
      <c r="L5" t="s">
        <v>123</v>
      </c>
      <c r="M5" t="s">
        <v>119</v>
      </c>
    </row>
    <row r="6" spans="1:13" x14ac:dyDescent="0.25">
      <c r="A6" t="s">
        <v>3</v>
      </c>
      <c r="B6" t="s">
        <v>70</v>
      </c>
      <c r="C6" t="s">
        <v>70</v>
      </c>
      <c r="D6" t="s">
        <v>127</v>
      </c>
      <c r="E6">
        <v>71.5</v>
      </c>
      <c r="F6">
        <v>95</v>
      </c>
      <c r="G6">
        <v>1.3986013986013986E-2</v>
      </c>
      <c r="H6">
        <v>1.2300123001230012E-2</v>
      </c>
      <c r="I6">
        <v>1.85</v>
      </c>
      <c r="J6">
        <v>3.18</v>
      </c>
      <c r="K6">
        <f>(((J6-I6)/I6)/((H6-G6)/G6))</f>
        <v>-5.9640926640926635</v>
      </c>
      <c r="L6" t="s">
        <v>123</v>
      </c>
      <c r="M6" t="s">
        <v>119</v>
      </c>
    </row>
    <row r="7" spans="1:13" x14ac:dyDescent="0.25">
      <c r="A7" t="s">
        <v>47</v>
      </c>
      <c r="B7" t="s">
        <v>70</v>
      </c>
      <c r="C7" t="s">
        <v>70</v>
      </c>
      <c r="D7" t="s">
        <v>124</v>
      </c>
      <c r="E7">
        <v>16.2</v>
      </c>
      <c r="F7">
        <v>69.599999999999994</v>
      </c>
      <c r="G7">
        <f>1/E7</f>
        <v>6.1728395061728399E-2</v>
      </c>
      <c r="H7">
        <f>1/F7</f>
        <v>1.4367816091954025E-2</v>
      </c>
      <c r="I7">
        <f>0.35*0.965</f>
        <v>0.33774999999999999</v>
      </c>
      <c r="J7">
        <v>1.56</v>
      </c>
      <c r="K7">
        <f>(((J7-I7)/I7)/((H7-G7)/G7))</f>
        <v>-4.7166393599414507</v>
      </c>
      <c r="L7" t="s">
        <v>71</v>
      </c>
      <c r="M7" t="str">
        <f>IF(IFERROR(K7,"Exclude")="Exclude","Exclude",IF(OR(K7&gt;=0,K7&lt;-20),"Exclude","Include"))</f>
        <v>Include</v>
      </c>
    </row>
    <row r="8" spans="1:13" x14ac:dyDescent="0.25">
      <c r="A8" t="s">
        <v>47</v>
      </c>
      <c r="B8" t="s">
        <v>70</v>
      </c>
      <c r="C8" t="s">
        <v>70</v>
      </c>
      <c r="D8" t="s">
        <v>128</v>
      </c>
      <c r="E8">
        <v>78.8</v>
      </c>
      <c r="F8">
        <v>95</v>
      </c>
      <c r="G8">
        <f t="shared" ref="G8:H12" si="3">1/E8</f>
        <v>1.2690355329949238E-2</v>
      </c>
      <c r="H8">
        <f t="shared" si="3"/>
        <v>1.0526315789473684E-2</v>
      </c>
      <c r="I8">
        <f>3.282*0.38</f>
        <v>1.24716</v>
      </c>
      <c r="J8">
        <v>3.1476600000000001</v>
      </c>
      <c r="K8">
        <f t="shared" ref="K8:K10" si="4">(((J8-I8)/I8)/((H8-G8)/G8))</f>
        <v>-8.9362290383009455</v>
      </c>
      <c r="L8" t="s">
        <v>74</v>
      </c>
      <c r="M8" t="str">
        <f t="shared" ref="M8:M9" si="5">IF(IFERROR(K8,"Exclude")="Exclude","Exclude",IF(OR(K8&gt;=0,K8&lt;-20),"Exclude","Include"))</f>
        <v>Include</v>
      </c>
    </row>
    <row r="9" spans="1:13" x14ac:dyDescent="0.25">
      <c r="A9" t="s">
        <v>47</v>
      </c>
      <c r="B9" t="s">
        <v>70</v>
      </c>
      <c r="C9" t="s">
        <v>70</v>
      </c>
      <c r="D9" t="s">
        <v>129</v>
      </c>
      <c r="E9">
        <v>77.7</v>
      </c>
      <c r="F9">
        <v>98.5</v>
      </c>
      <c r="G9">
        <f t="shared" si="3"/>
        <v>1.2870012870012869E-2</v>
      </c>
      <c r="H9">
        <f t="shared" si="3"/>
        <v>1.015228426395939E-2</v>
      </c>
      <c r="I9">
        <f>0.38*7.404</f>
        <v>2.81352</v>
      </c>
      <c r="J9">
        <f>8.844*0.59</f>
        <v>5.2179599999999997</v>
      </c>
      <c r="K9">
        <f t="shared" si="4"/>
        <v>-4.0470338141982554</v>
      </c>
      <c r="L9" t="s">
        <v>75</v>
      </c>
      <c r="M9" t="str">
        <f t="shared" si="5"/>
        <v>Include</v>
      </c>
    </row>
    <row r="10" spans="1:13" x14ac:dyDescent="0.25">
      <c r="A10" s="3" t="s">
        <v>47</v>
      </c>
      <c r="B10" s="3" t="s">
        <v>70</v>
      </c>
      <c r="C10" s="3" t="s">
        <v>70</v>
      </c>
      <c r="D10" s="3" t="s">
        <v>130</v>
      </c>
      <c r="E10" s="3">
        <v>65</v>
      </c>
      <c r="F10" s="3">
        <v>90</v>
      </c>
      <c r="G10" s="3">
        <f t="shared" si="3"/>
        <v>1.5384615384615385E-2</v>
      </c>
      <c r="H10" s="3">
        <f t="shared" si="3"/>
        <v>1.1111111111111112E-2</v>
      </c>
      <c r="I10" s="3">
        <f>21.261*3.55</f>
        <v>75.476549999999989</v>
      </c>
      <c r="J10" s="3">
        <f>10.754*4.65</f>
        <v>50.006100000000004</v>
      </c>
      <c r="K10">
        <f t="shared" si="4"/>
        <v>1.2148623645357393</v>
      </c>
      <c r="L10" s="3" t="s">
        <v>71</v>
      </c>
      <c r="M10" t="s">
        <v>119</v>
      </c>
    </row>
    <row r="11" spans="1:13" x14ac:dyDescent="0.25">
      <c r="A11" s="3" t="s">
        <v>47</v>
      </c>
      <c r="B11" s="3" t="s">
        <v>70</v>
      </c>
      <c r="C11" s="3" t="s">
        <v>70</v>
      </c>
      <c r="D11" s="3" t="s">
        <v>131</v>
      </c>
      <c r="E11" s="3">
        <v>65</v>
      </c>
      <c r="F11" s="3">
        <v>85.2</v>
      </c>
      <c r="G11" s="3">
        <f t="shared" si="3"/>
        <v>1.5384615384615385E-2</v>
      </c>
      <c r="H11" s="3">
        <f t="shared" si="3"/>
        <v>1.1737089201877934E-2</v>
      </c>
      <c r="I11" s="3">
        <f>21.261*3.55</f>
        <v>75.476549999999989</v>
      </c>
      <c r="J11" s="3">
        <f>17.646*0.38</f>
        <v>6.7054800000000006</v>
      </c>
      <c r="K11">
        <f>(((J11-I11)/I11)/((H11-G11)/G11))</f>
        <v>3.843102487192418</v>
      </c>
      <c r="L11" s="3" t="s">
        <v>71</v>
      </c>
      <c r="M11" t="s">
        <v>119</v>
      </c>
    </row>
    <row r="12" spans="1:13" x14ac:dyDescent="0.25">
      <c r="A12" s="3" t="s">
        <v>47</v>
      </c>
      <c r="B12" s="3" t="s">
        <v>70</v>
      </c>
      <c r="C12" s="3" t="s">
        <v>70</v>
      </c>
      <c r="D12" s="3" t="s">
        <v>132</v>
      </c>
      <c r="E12" s="3">
        <v>71.400000000000006</v>
      </c>
      <c r="F12" s="3">
        <v>94.5</v>
      </c>
      <c r="G12" s="3">
        <f t="shared" si="3"/>
        <v>1.4005602240896357E-2</v>
      </c>
      <c r="H12" s="3">
        <f t="shared" si="3"/>
        <v>1.0582010582010581E-2</v>
      </c>
      <c r="I12" s="3">
        <f>10.186*5.67</f>
        <v>57.754619999999996</v>
      </c>
      <c r="J12" s="3">
        <f>7.213*5.37</f>
        <v>38.733809999999998</v>
      </c>
      <c r="K12" s="3">
        <f t="shared" ref="K12" si="6">(((J12-I12)/I12)/((H12-G12)/G12))</f>
        <v>1.347293161057151</v>
      </c>
      <c r="L12" s="3" t="s">
        <v>76</v>
      </c>
      <c r="M12" s="3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cols>
    <col min="1" max="1" width="18.5703125" customWidth="1"/>
    <col min="2" max="2" width="23.5703125" bestFit="1" customWidth="1"/>
    <col min="3" max="3" width="15.140625" customWidth="1"/>
    <col min="4" max="4" width="89.28515625" bestFit="1" customWidth="1"/>
  </cols>
  <sheetData>
    <row r="1" spans="1:4" x14ac:dyDescent="0.25">
      <c r="A1" s="4" t="s">
        <v>0</v>
      </c>
      <c r="B1" s="4" t="s">
        <v>5</v>
      </c>
      <c r="C1" s="4" t="s">
        <v>95</v>
      </c>
      <c r="D1" s="4" t="s">
        <v>96</v>
      </c>
    </row>
    <row r="2" spans="1:4" x14ac:dyDescent="0.25">
      <c r="A2" t="s">
        <v>3</v>
      </c>
      <c r="B2" t="s">
        <v>6</v>
      </c>
      <c r="C2">
        <f>AVERAGEIFS('EIA Data'!$K$2:$K$78,'EIA Data'!$A$2:$A$78,Calculations!A2,'EIA Data'!$C$2:$C$78,Calculations!B2,'EIA Data'!$M$2:$M$78,"Include")</f>
        <v>-1.6791102826121844</v>
      </c>
    </row>
    <row r="3" spans="1:4" x14ac:dyDescent="0.25">
      <c r="A3" t="s">
        <v>3</v>
      </c>
      <c r="B3" t="s">
        <v>21</v>
      </c>
      <c r="C3">
        <f>AVERAGEIFS('EIA Data'!$K$2:$K$78,'EIA Data'!$A$2:$A$78,Calculations!A3,'EIA Data'!$C$2:$C$78,Calculations!B3,'EIA Data'!$M$2:$M$78,"Include")</f>
        <v>-2.9877034296650091</v>
      </c>
    </row>
    <row r="4" spans="1:4" x14ac:dyDescent="0.25">
      <c r="A4" t="s">
        <v>3</v>
      </c>
      <c r="B4" t="s">
        <v>16</v>
      </c>
      <c r="C4">
        <f>AVERAGEIFS('EIA Data'!$K$2:$K$78,'EIA Data'!$A$2:$A$78,Calculations!A4,'EIA Data'!$C$2:$C$78,Calculations!B4,'EIA Data'!$M$2:$M$78,"Include")</f>
        <v>-4.8094160343019823</v>
      </c>
    </row>
    <row r="5" spans="1:4" x14ac:dyDescent="0.25">
      <c r="A5" t="s">
        <v>3</v>
      </c>
      <c r="B5" t="s">
        <v>70</v>
      </c>
      <c r="C5">
        <f>AVERAGEIFS('Lighting Calculations'!$K$2:$K$12,'Lighting Calculations'!$A$2:$A$12,Calculations!A5,'Lighting Calculations'!$B$2:$B$12,Calculations!B5,'Lighting Calculations'!$M$2:$M$12,"Include")</f>
        <v>-3.772772715506405</v>
      </c>
    </row>
    <row r="6" spans="1:4" x14ac:dyDescent="0.25">
      <c r="A6" t="s">
        <v>3</v>
      </c>
      <c r="B6" t="s">
        <v>77</v>
      </c>
      <c r="C6">
        <f>C11</f>
        <v>-1.591896144262489</v>
      </c>
      <c r="D6" t="s">
        <v>98</v>
      </c>
    </row>
    <row r="7" spans="1:4" x14ac:dyDescent="0.25">
      <c r="A7" t="s">
        <v>47</v>
      </c>
      <c r="B7" t="s">
        <v>6</v>
      </c>
      <c r="C7">
        <f>AVERAGEIFS('EIA Data'!$K$2:$K$78,'EIA Data'!$A$2:$A$78,Calculations!A7,'EIA Data'!$C$2:$C$78,Calculations!B7,'EIA Data'!$M$2:$M$78,"Include")</f>
        <v>-1.3576531839832875</v>
      </c>
    </row>
    <row r="8" spans="1:4" x14ac:dyDescent="0.25">
      <c r="A8" t="s">
        <v>47</v>
      </c>
      <c r="B8" t="s">
        <v>21</v>
      </c>
      <c r="C8">
        <f>AVERAGEIFS('EIA Data'!$K$2:$K$78,'EIA Data'!$A$2:$A$78,Calculations!A8,'EIA Data'!$C$2:$C$78,Calculations!B8,'EIA Data'!$M$2:$M$78,"Include")</f>
        <v>-2.0863341572619731</v>
      </c>
    </row>
    <row r="9" spans="1:4" x14ac:dyDescent="0.25">
      <c r="A9" t="s">
        <v>47</v>
      </c>
      <c r="B9" t="s">
        <v>16</v>
      </c>
      <c r="C9">
        <f>AVERAGEIFS('EIA Data'!$K$2:$K$78,'EIA Data'!$A$2:$A$78,Calculations!A9,'EIA Data'!$C$2:$C$78,Calculations!B9,'EIA Data'!$M$2:$M$78,"Include")</f>
        <v>-2.5007668695375553</v>
      </c>
    </row>
    <row r="10" spans="1:4" x14ac:dyDescent="0.25">
      <c r="A10" t="s">
        <v>47</v>
      </c>
      <c r="B10" t="s">
        <v>70</v>
      </c>
      <c r="C10">
        <f>AVERAGEIFS('Lighting Calculations'!$K$2:$K$12,'Lighting Calculations'!$A$2:$A$12,Calculations!A10,'Lighting Calculations'!$B$2:$B$12,Calculations!B10,'Lighting Calculations'!$M$2:$M$12,"Include")</f>
        <v>-1.8824406999425571</v>
      </c>
    </row>
    <row r="11" spans="1:4" x14ac:dyDescent="0.25">
      <c r="A11" s="3" t="s">
        <v>47</v>
      </c>
      <c r="B11" s="3" t="s">
        <v>77</v>
      </c>
      <c r="C11">
        <f>AVERAGEIFS('EIA Data'!$K$2:$K$78,'EIA Data'!$A$2:$A$78,Calculations!A11,'EIA Data'!$C$2:$C$78,Calculations!B11,'EIA Data'!$M$2:$M$78,"Include")</f>
        <v>-1.591896144262489</v>
      </c>
    </row>
  </sheetData>
  <sortState ref="A2:B11">
    <sortCondition descending="1" ref="A2:A11"/>
    <sortCondition ref="B2:B1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C7"/>
  <sheetViews>
    <sheetView workbookViewId="0"/>
  </sheetViews>
  <sheetFormatPr defaultRowHeight="15" x14ac:dyDescent="0.25"/>
  <cols>
    <col min="1" max="1" width="24" customWidth="1"/>
    <col min="2" max="2" width="13.5703125" customWidth="1"/>
    <col min="3" max="3" width="14.140625" customWidth="1"/>
  </cols>
  <sheetData>
    <row r="1" spans="1:3" x14ac:dyDescent="0.25">
      <c r="B1" s="9" t="s">
        <v>3</v>
      </c>
      <c r="C1" s="9" t="s">
        <v>47</v>
      </c>
    </row>
    <row r="2" spans="1:3" x14ac:dyDescent="0.25">
      <c r="A2" s="4" t="s">
        <v>113</v>
      </c>
      <c r="B2" s="10">
        <f>Calculations!C4</f>
        <v>-4.8094160343019823</v>
      </c>
      <c r="C2" s="10">
        <f>Calculations!C9</f>
        <v>-2.5007668695375553</v>
      </c>
    </row>
    <row r="3" spans="1:3" x14ac:dyDescent="0.25">
      <c r="A3" s="4" t="s">
        <v>114</v>
      </c>
      <c r="B3" s="10">
        <f>Calculations!C3</f>
        <v>-2.9877034296650091</v>
      </c>
      <c r="C3" s="10">
        <f>Calculations!C8</f>
        <v>-2.0863341572619731</v>
      </c>
    </row>
    <row r="4" spans="1:3" x14ac:dyDescent="0.25">
      <c r="A4" s="4" t="s">
        <v>115</v>
      </c>
      <c r="B4" s="10">
        <f>AVERAGE(B2:B3)</f>
        <v>-3.8985597319834957</v>
      </c>
      <c r="C4" s="10">
        <f>AVERAGE(C2:C3)</f>
        <v>-2.2935505133997642</v>
      </c>
    </row>
    <row r="5" spans="1:3" x14ac:dyDescent="0.25">
      <c r="A5" s="4" t="s">
        <v>116</v>
      </c>
      <c r="B5" s="10">
        <f>Calculations!C5</f>
        <v>-3.772772715506405</v>
      </c>
      <c r="C5" s="10">
        <f>Calculations!C10</f>
        <v>-1.8824406999425571</v>
      </c>
    </row>
    <row r="6" spans="1:3" x14ac:dyDescent="0.25">
      <c r="A6" s="4" t="s">
        <v>117</v>
      </c>
      <c r="B6" s="10">
        <f>Calculations!C2</f>
        <v>-1.6791102826121844</v>
      </c>
      <c r="C6" s="10">
        <f>Calculations!C7</f>
        <v>-1.3576531839832875</v>
      </c>
    </row>
    <row r="7" spans="1:3" x14ac:dyDescent="0.25">
      <c r="A7" s="4" t="s">
        <v>118</v>
      </c>
      <c r="B7" s="10">
        <f>Calculations!C6</f>
        <v>-1.591896144262489</v>
      </c>
      <c r="C7" s="10">
        <f>Calculations!C11</f>
        <v>-1.591896144262489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EIA Data</vt:lpstr>
      <vt:lpstr>Lighting Calculations</vt:lpstr>
      <vt:lpstr>Calculations</vt:lpstr>
      <vt:lpstr>EoCPwEU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Jeffrey Rissman</cp:lastModifiedBy>
  <dcterms:created xsi:type="dcterms:W3CDTF">2015-06-22T23:04:09Z</dcterms:created>
  <dcterms:modified xsi:type="dcterms:W3CDTF">2015-06-24T21:53:57Z</dcterms:modified>
</cp:coreProperties>
</file>