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2075"/>
  </bookViews>
  <sheets>
    <sheet name="About" sheetId="1" r:id="rId1"/>
    <sheet name="Fig4" sheetId="2" r:id="rId2"/>
    <sheet name="Fig6" sheetId="3" r:id="rId3"/>
    <sheet name="Calculations" sheetId="4" r:id="rId4"/>
    <sheet name="CSA-BTCS" sheetId="5" r:id="rId5"/>
    <sheet name="CSA-ACP" sheetId="6" r:id="rId6"/>
  </sheets>
  <calcPr calcId="145621"/>
</workbook>
</file>

<file path=xl/calcChain.xml><?xml version="1.0" encoding="utf-8"?>
<calcChain xmlns="http://schemas.openxmlformats.org/spreadsheetml/2006/main">
  <c r="Q2" i="5" l="1"/>
  <c r="R2" i="5"/>
  <c r="S2" i="5"/>
  <c r="O2" i="5"/>
  <c r="P2" i="5"/>
  <c r="L2" i="5"/>
  <c r="M2" i="5"/>
  <c r="N2" i="5"/>
  <c r="J2" i="5"/>
  <c r="K2" i="5"/>
  <c r="F2" i="5"/>
  <c r="G2" i="5"/>
  <c r="H2" i="5"/>
  <c r="I2" i="5"/>
  <c r="D2" i="5"/>
  <c r="E2" i="5"/>
  <c r="P2" i="6"/>
  <c r="Q2" i="6"/>
  <c r="R2" i="6"/>
  <c r="S2" i="6"/>
  <c r="O2" i="6"/>
  <c r="B2" i="6"/>
  <c r="D2" i="6"/>
  <c r="C2" i="6" s="1"/>
  <c r="K2" i="6"/>
  <c r="L2" i="6"/>
  <c r="M2" i="6"/>
  <c r="N2" i="6"/>
  <c r="J2" i="6"/>
  <c r="E2" i="6"/>
  <c r="F2" i="6"/>
  <c r="G2" i="6"/>
  <c r="H2" i="6"/>
  <c r="I2" i="6"/>
  <c r="D34" i="4"/>
  <c r="B2" i="5" l="1"/>
  <c r="D13" i="4"/>
  <c r="D6" i="4"/>
  <c r="D5" i="4"/>
  <c r="D4" i="4"/>
  <c r="C5" i="4"/>
  <c r="C6" i="4"/>
  <c r="C4" i="4"/>
  <c r="I9" i="3"/>
  <c r="I8" i="3"/>
  <c r="C8" i="3"/>
  <c r="C9" i="3"/>
  <c r="C7" i="3"/>
  <c r="F7" i="3"/>
  <c r="C5" i="2"/>
  <c r="C6" i="2"/>
  <c r="C4" i="2"/>
  <c r="F4" i="2"/>
  <c r="D25" i="4" l="1"/>
  <c r="D35" i="4" s="1"/>
  <c r="D24" i="4"/>
  <c r="D26" i="4"/>
  <c r="D36" i="4" s="1"/>
  <c r="E6" i="4"/>
  <c r="E5" i="4"/>
  <c r="C2" i="5"/>
  <c r="E4" i="4"/>
  <c r="E24" i="4" l="1"/>
  <c r="E34" i="4" s="1"/>
  <c r="E26" i="4"/>
  <c r="E36" i="4" s="1"/>
  <c r="E25" i="4"/>
  <c r="E35" i="4" s="1"/>
</calcChain>
</file>

<file path=xl/sharedStrings.xml><?xml version="1.0" encoding="utf-8"?>
<sst xmlns="http://schemas.openxmlformats.org/spreadsheetml/2006/main" count="75" uniqueCount="66">
  <si>
    <t>International Energy Agency</t>
  </si>
  <si>
    <t>Technology Roadmap: Carbon capture and storage</t>
  </si>
  <si>
    <t>http://www.iea.org/publications/freepublications/publication/TechnologyRoadmapCarbonCaptureandStorage.pdf</t>
  </si>
  <si>
    <t>Source:</t>
  </si>
  <si>
    <t>Year</t>
  </si>
  <si>
    <t>Pixels</t>
  </si>
  <si>
    <t>MT CO2/yr</t>
  </si>
  <si>
    <t>Figure 4: CO2 captured and stored per year (Mt CO2/yr) in the 2DS (two-degree scenario)</t>
  </si>
  <si>
    <t>Pixels in 3000 MT CO2/yr</t>
  </si>
  <si>
    <t>MT CO2/yr/pixel</t>
  </si>
  <si>
    <t>Measurements are in yellow.</t>
  </si>
  <si>
    <t>Figure 6: Difference between 6ds (six-degree scenario, our BAU) and 2ds (which had annual emissions numbers in Fig 4)</t>
  </si>
  <si>
    <t>Pale blue is the wedge for CCS.</t>
  </si>
  <si>
    <t>Difference between 6ds and 2ds attributable to CCS</t>
  </si>
  <si>
    <t>GT CO2</t>
  </si>
  <si>
    <t>Pixels in 60 GT CO2</t>
  </si>
  <si>
    <t>GT CO2/pixel</t>
  </si>
  <si>
    <t>To convert from GT CO2 (cumulative) to MT CO2/yr, we take advantage of the fact</t>
  </si>
  <si>
    <t>that the line segments joining known points on the curve in Figure 6 are linear.</t>
  </si>
  <si>
    <t>IEA has three CCS scenarios, corresponding to packages of actions (not all CCS) leading to different levels of warming.</t>
  </si>
  <si>
    <t>We use the 6ds (six-degree scenario) as our BAU case, as it represents no policies beyond those in place today.</t>
  </si>
  <si>
    <t>The IEA only reports their values in graphs, so we have to measure them to the pixel.  (Fortunately, the graphs</t>
  </si>
  <si>
    <t>are vector-based, so we are able to zoom in substantially without losing sharpness.)</t>
  </si>
  <si>
    <t>The IEA only reports CCS storage rates (per year) for the 2ds, not the 6ds.  (See Fig 4.)</t>
  </si>
  <si>
    <t>However, they do report the cumulative difference in emissions between the two scenarios.  (See Fig 6.)</t>
  </si>
  <si>
    <t>and subtract from the 2ds annual storage rate to obtain the 6ds annual storage rate.</t>
  </si>
  <si>
    <t>We are able to convert the cumulative emissions difference into an annual difference (see the "Fig6" tab)</t>
  </si>
  <si>
    <t>2DS Storage Rate</t>
  </si>
  <si>
    <t>2DS - 6DS Storage Rate</t>
  </si>
  <si>
    <t>These rates apply to all years in their respective ranges.</t>
  </si>
  <si>
    <t>2021-2030</t>
  </si>
  <si>
    <t>2016-2020</t>
  </si>
  <si>
    <t>First we subtract the difference in storage rates to find the 6Ds storage rate:</t>
  </si>
  <si>
    <t>Probably most CCS to happen in these three countries will be in the U.S.</t>
  </si>
  <si>
    <t>OECD Americas</t>
  </si>
  <si>
    <t>CO2 (Gt)</t>
  </si>
  <si>
    <t>Region</t>
  </si>
  <si>
    <t>Latin America</t>
  </si>
  <si>
    <t>OECD Europe</t>
  </si>
  <si>
    <t>Africa and Middle East</t>
  </si>
  <si>
    <t>China</t>
  </si>
  <si>
    <t>India</t>
  </si>
  <si>
    <t>OECD Asia Oceania</t>
  </si>
  <si>
    <t>Other</t>
  </si>
  <si>
    <t>Fraction in OECD Americas</t>
  </si>
  <si>
    <t>6DS Storage Rate (Mt/yr)</t>
  </si>
  <si>
    <t>Figures 4 and 6 refer to global totals.  We use 2030 numbers from Figure 5 (page 23) to estimate the fraction</t>
  </si>
  <si>
    <t>of sequestration in OECD Americas (Canada, U.S., and Mexico), which is the closest we can get to the United States.</t>
  </si>
  <si>
    <t>Lastly, we linearly interpolate between these values to obtain intermediate years (and assign zero to 2013 and 2014).</t>
  </si>
  <si>
    <t>We also know from Fig 6 that the rate is zero in 2015.  We also convert to metric tons (from megatons) to match</t>
  </si>
  <si>
    <t>the unit used in the model.</t>
  </si>
  <si>
    <t>BAU CO2 Stored (tons/yr)</t>
  </si>
  <si>
    <t>We finally estimate the U.S. fraction and linearly interpolate for years we don't know explicitly.</t>
  </si>
  <si>
    <t>CSA BAU Tons CO2 Sequestered</t>
  </si>
  <si>
    <t>CSA Additional CCS Potential</t>
  </si>
  <si>
    <t>Notes on BAU Tons CO2 Sequestered:</t>
  </si>
  <si>
    <t>Notes on Additional CCS Potential:</t>
  </si>
  <si>
    <t>We use the amount of carbon sequestration under the IEA's two-degree scenario as the potential.</t>
  </si>
  <si>
    <t>We use the values read from Figure 4 (above) and estimate the U.S. fraction.</t>
  </si>
  <si>
    <t>Then we linearly interpolate for years we don't know explicitly.</t>
  </si>
  <si>
    <t>Page 22-24, Figures 4 and 6</t>
  </si>
  <si>
    <t>6DS Storage Rate (ton/yr)</t>
  </si>
  <si>
    <t>See the following tabs for results.</t>
  </si>
  <si>
    <t>2DS - 6Ds Storage Rate (Mt/yr)</t>
  </si>
  <si>
    <t>2DS - 6DS Storage Rate (ton/yr)</t>
  </si>
  <si>
    <t>Additional Potential CO2 Stored (tons/yr)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</si>
</sst>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3ACE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65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1" fontId="0" fillId="0" borderId="0" xfId="0" applyNumberFormat="1"/>
    <xf numFmtId="0" fontId="3" fillId="0" borderId="0" xfId="2"/>
    <xf numFmtId="1" fontId="2" fillId="4" borderId="0" xfId="0" applyNumberFormat="1" applyFont="1" applyFill="1"/>
    <xf numFmtId="0" fontId="0" fillId="4" borderId="0" xfId="0" applyFill="1"/>
    <xf numFmtId="0" fontId="2" fillId="0" borderId="0" xfId="0" applyFont="1" applyFill="1" applyAlignment="1">
      <alignment wrapText="1"/>
    </xf>
    <xf numFmtId="164" fontId="0" fillId="0" borderId="0" xfId="0" applyNumberForma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0" fillId="0" borderId="1" xfId="0" applyBorder="1"/>
    <xf numFmtId="11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133350</xdr:rowOff>
    </xdr:from>
    <xdr:to>
      <xdr:col>13</xdr:col>
      <xdr:colOff>47625</xdr:colOff>
      <xdr:row>44</xdr:row>
      <xdr:rowOff>8965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9350"/>
          <a:ext cx="10058400" cy="6543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19050</xdr:rowOff>
    </xdr:from>
    <xdr:to>
      <xdr:col>10</xdr:col>
      <xdr:colOff>314325</xdr:colOff>
      <xdr:row>53</xdr:row>
      <xdr:rowOff>107690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4550"/>
          <a:ext cx="7772400" cy="808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53</v>
      </c>
    </row>
    <row r="2" spans="1:2" x14ac:dyDescent="0.25">
      <c r="A2" s="1" t="s">
        <v>54</v>
      </c>
    </row>
    <row r="4" spans="1:2" x14ac:dyDescent="0.25">
      <c r="A4" s="1" t="s">
        <v>3</v>
      </c>
      <c r="B4" t="s">
        <v>0</v>
      </c>
    </row>
    <row r="5" spans="1:2" x14ac:dyDescent="0.25">
      <c r="B5" s="2">
        <v>2013</v>
      </c>
    </row>
    <row r="6" spans="1:2" x14ac:dyDescent="0.25">
      <c r="B6" t="s">
        <v>1</v>
      </c>
    </row>
    <row r="7" spans="1:2" x14ac:dyDescent="0.25">
      <c r="B7" s="20" t="s">
        <v>2</v>
      </c>
    </row>
    <row r="8" spans="1:2" x14ac:dyDescent="0.25">
      <c r="B8" t="s">
        <v>60</v>
      </c>
    </row>
    <row r="10" spans="1:2" x14ac:dyDescent="0.25">
      <c r="A10" s="1" t="s">
        <v>55</v>
      </c>
    </row>
    <row r="11" spans="1:2" x14ac:dyDescent="0.25">
      <c r="A11" t="s">
        <v>19</v>
      </c>
    </row>
    <row r="12" spans="1:2" x14ac:dyDescent="0.25">
      <c r="A12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26</v>
      </c>
    </row>
    <row r="20" spans="1:5" x14ac:dyDescent="0.25">
      <c r="A20" t="s">
        <v>25</v>
      </c>
    </row>
    <row r="21" spans="1:5" x14ac:dyDescent="0.25">
      <c r="C21" s="12"/>
      <c r="D21" s="12"/>
      <c r="E21" s="12"/>
    </row>
    <row r="22" spans="1:5" x14ac:dyDescent="0.25">
      <c r="A22" s="11" t="s">
        <v>52</v>
      </c>
      <c r="B22" s="12"/>
      <c r="C22" s="13"/>
      <c r="D22" s="14"/>
      <c r="E22" s="13"/>
    </row>
    <row r="23" spans="1:5" x14ac:dyDescent="0.25">
      <c r="A23" s="11"/>
      <c r="B23" s="12"/>
      <c r="C23" s="13"/>
      <c r="D23" s="14"/>
      <c r="E23" s="13"/>
    </row>
    <row r="24" spans="1:5" x14ac:dyDescent="0.25">
      <c r="A24" s="1" t="s">
        <v>56</v>
      </c>
      <c r="B24" s="12"/>
      <c r="C24" s="13"/>
      <c r="D24" s="14"/>
      <c r="E24" s="13"/>
    </row>
    <row r="25" spans="1:5" x14ac:dyDescent="0.25">
      <c r="A25" s="11" t="s">
        <v>57</v>
      </c>
      <c r="B25" s="11"/>
      <c r="C25" s="11"/>
      <c r="D25" s="11"/>
      <c r="E25" s="11"/>
    </row>
    <row r="26" spans="1:5" x14ac:dyDescent="0.25">
      <c r="A26" s="11" t="s">
        <v>58</v>
      </c>
      <c r="B26" s="11"/>
      <c r="C26" s="12"/>
      <c r="D26" s="11"/>
      <c r="E26" s="11"/>
    </row>
    <row r="27" spans="1:5" x14ac:dyDescent="0.25">
      <c r="A27" s="11" t="s">
        <v>59</v>
      </c>
      <c r="B27" s="12"/>
      <c r="C27" s="13"/>
      <c r="D27" s="11"/>
      <c r="E27" s="11"/>
    </row>
    <row r="28" spans="1:5" x14ac:dyDescent="0.25">
      <c r="B28" s="12"/>
      <c r="C28" s="13"/>
    </row>
    <row r="29" spans="1:5" x14ac:dyDescent="0.25">
      <c r="B29" s="12"/>
      <c r="C29" s="13"/>
    </row>
    <row r="30" spans="1:5" x14ac:dyDescent="0.25">
      <c r="B30" s="11"/>
      <c r="C30" s="11"/>
    </row>
    <row r="31" spans="1:5" x14ac:dyDescent="0.25">
      <c r="B31" s="11"/>
      <c r="C31" s="11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/>
  </sheetViews>
  <sheetFormatPr defaultRowHeight="15" x14ac:dyDescent="0.25"/>
  <cols>
    <col min="1" max="2" width="9.140625" style="2"/>
    <col min="3" max="3" width="11.7109375" style="2" customWidth="1"/>
    <col min="4" max="4" width="9.140625" style="2"/>
    <col min="5" max="5" width="25.85546875" style="2" customWidth="1"/>
    <col min="6" max="6" width="21.140625" style="2" customWidth="1"/>
    <col min="7" max="16384" width="9.140625" style="2"/>
  </cols>
  <sheetData>
    <row r="1" spans="1:6" x14ac:dyDescent="0.25">
      <c r="A1" s="3" t="s">
        <v>7</v>
      </c>
    </row>
    <row r="3" spans="1:6" x14ac:dyDescent="0.25">
      <c r="A3" s="3" t="s">
        <v>4</v>
      </c>
      <c r="B3" s="3" t="s">
        <v>5</v>
      </c>
      <c r="C3" s="3" t="s">
        <v>6</v>
      </c>
      <c r="E3" s="3" t="s">
        <v>8</v>
      </c>
      <c r="F3" s="3" t="s">
        <v>9</v>
      </c>
    </row>
    <row r="4" spans="1:6" x14ac:dyDescent="0.25">
      <c r="A4" s="3">
        <v>2020</v>
      </c>
      <c r="B4" s="6">
        <v>33</v>
      </c>
      <c r="C4" s="5">
        <f>B4*$F$4</f>
        <v>201.21951219512195</v>
      </c>
      <c r="E4" s="6">
        <v>492</v>
      </c>
      <c r="F4" s="2">
        <f>3000/E4</f>
        <v>6.0975609756097562</v>
      </c>
    </row>
    <row r="5" spans="1:6" x14ac:dyDescent="0.25">
      <c r="A5" s="3">
        <v>2025</v>
      </c>
      <c r="B5" s="6">
        <v>169</v>
      </c>
      <c r="C5" s="5">
        <f t="shared" ref="C5:C6" si="0">B5*$F$4</f>
        <v>1030.4878048780488</v>
      </c>
    </row>
    <row r="6" spans="1:6" x14ac:dyDescent="0.25">
      <c r="A6" s="3">
        <v>2030</v>
      </c>
      <c r="B6" s="6">
        <v>385</v>
      </c>
      <c r="C6" s="5">
        <f t="shared" si="0"/>
        <v>2347.560975609756</v>
      </c>
    </row>
    <row r="8" spans="1:6" x14ac:dyDescent="0.25">
      <c r="A8" s="6" t="s">
        <v>10</v>
      </c>
      <c r="B8" s="6"/>
      <c r="C8" s="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5" x14ac:dyDescent="0.25"/>
  <cols>
    <col min="1" max="1" width="8.85546875" style="2" customWidth="1"/>
    <col min="2" max="4" width="9.140625" style="2"/>
    <col min="5" max="5" width="19.42578125" style="2" customWidth="1"/>
    <col min="6" max="6" width="16.140625" style="2" customWidth="1"/>
    <col min="7" max="7" width="9.140625" style="2"/>
    <col min="8" max="8" width="12" style="2" customWidth="1"/>
    <col min="9" max="9" width="8" style="2" customWidth="1"/>
    <col min="10" max="10" width="10.85546875" style="2" customWidth="1"/>
    <col min="11" max="16384" width="9.140625" style="2"/>
  </cols>
  <sheetData>
    <row r="1" spans="1:10" x14ac:dyDescent="0.25">
      <c r="A1" s="3" t="s">
        <v>11</v>
      </c>
    </row>
    <row r="3" spans="1:10" x14ac:dyDescent="0.25">
      <c r="A3" s="7" t="s">
        <v>12</v>
      </c>
    </row>
    <row r="4" spans="1:10" x14ac:dyDescent="0.25">
      <c r="A4" s="8"/>
    </row>
    <row r="5" spans="1:10" x14ac:dyDescent="0.25">
      <c r="A5" s="3" t="s">
        <v>13</v>
      </c>
    </row>
    <row r="6" spans="1:10" x14ac:dyDescent="0.25">
      <c r="A6" s="2" t="s">
        <v>4</v>
      </c>
      <c r="B6" s="2" t="s">
        <v>5</v>
      </c>
      <c r="C6" s="2" t="s">
        <v>14</v>
      </c>
      <c r="E6" s="3" t="s">
        <v>15</v>
      </c>
      <c r="F6" s="3" t="s">
        <v>16</v>
      </c>
      <c r="H6" s="3" t="s">
        <v>17</v>
      </c>
    </row>
    <row r="7" spans="1:10" x14ac:dyDescent="0.25">
      <c r="A7" s="2">
        <v>2015</v>
      </c>
      <c r="B7" s="6">
        <v>0</v>
      </c>
      <c r="C7" s="2">
        <f>B7*$F$7</f>
        <v>0</v>
      </c>
      <c r="E7" s="6">
        <v>745</v>
      </c>
      <c r="F7" s="2">
        <f>60/E7</f>
        <v>8.0536912751677847E-2</v>
      </c>
      <c r="H7" s="3" t="s">
        <v>18</v>
      </c>
    </row>
    <row r="8" spans="1:10" x14ac:dyDescent="0.25">
      <c r="A8" s="2">
        <v>2020</v>
      </c>
      <c r="B8" s="6">
        <v>3</v>
      </c>
      <c r="C8" s="2">
        <f t="shared" ref="C8:C9" si="0">B8*$F$7</f>
        <v>0.24161073825503354</v>
      </c>
      <c r="H8" s="3" t="s">
        <v>31</v>
      </c>
      <c r="I8" s="4">
        <f>C8/5 * 1000</f>
        <v>48.322147651006709</v>
      </c>
      <c r="J8" s="2" t="s">
        <v>6</v>
      </c>
    </row>
    <row r="9" spans="1:10" x14ac:dyDescent="0.25">
      <c r="A9" s="2">
        <v>2030</v>
      </c>
      <c r="B9" s="6">
        <v>28</v>
      </c>
      <c r="C9" s="2">
        <f t="shared" si="0"/>
        <v>2.2550335570469797</v>
      </c>
      <c r="H9" s="3" t="s">
        <v>30</v>
      </c>
      <c r="I9" s="4">
        <f>(C9-C8)/10*1000</f>
        <v>201.34228187919462</v>
      </c>
      <c r="J9" s="2" t="s">
        <v>6</v>
      </c>
    </row>
    <row r="10" spans="1:10" x14ac:dyDescent="0.25">
      <c r="H10" s="2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3" max="3" width="20.5703125" customWidth="1"/>
    <col min="4" max="4" width="28.5703125" customWidth="1"/>
    <col min="5" max="5" width="23" customWidth="1"/>
  </cols>
  <sheetData>
    <row r="1" spans="1:6" x14ac:dyDescent="0.25">
      <c r="A1" t="s">
        <v>32</v>
      </c>
    </row>
    <row r="3" spans="1:6" x14ac:dyDescent="0.25">
      <c r="C3" s="1" t="s">
        <v>27</v>
      </c>
      <c r="D3" s="1" t="s">
        <v>28</v>
      </c>
      <c r="E3" s="1" t="s">
        <v>45</v>
      </c>
    </row>
    <row r="4" spans="1:6" x14ac:dyDescent="0.25">
      <c r="B4" s="1">
        <v>2020</v>
      </c>
      <c r="C4" s="9">
        <f>'Fig4'!C4</f>
        <v>201.21951219512195</v>
      </c>
      <c r="D4" s="10">
        <f>'Fig6'!I8</f>
        <v>48.322147651006709</v>
      </c>
      <c r="E4" s="13">
        <f>C4-D4</f>
        <v>152.89736454411525</v>
      </c>
    </row>
    <row r="5" spans="1:6" x14ac:dyDescent="0.25">
      <c r="B5" s="1">
        <v>2025</v>
      </c>
      <c r="C5" s="9">
        <f>'Fig4'!C5</f>
        <v>1030.4878048780488</v>
      </c>
      <c r="D5" s="10">
        <f>'Fig6'!I9</f>
        <v>201.34228187919462</v>
      </c>
      <c r="E5" s="13">
        <f t="shared" ref="E5:E6" si="0">C5-D5</f>
        <v>829.14552299885418</v>
      </c>
    </row>
    <row r="6" spans="1:6" x14ac:dyDescent="0.25">
      <c r="B6" s="1">
        <v>2030</v>
      </c>
      <c r="C6" s="9">
        <f>'Fig4'!C6</f>
        <v>2347.560975609756</v>
      </c>
      <c r="D6" s="10">
        <f>'Fig6'!I9</f>
        <v>201.34228187919462</v>
      </c>
      <c r="E6" s="13">
        <f t="shared" si="0"/>
        <v>2146.2186937305614</v>
      </c>
    </row>
    <row r="8" spans="1:6" x14ac:dyDescent="0.25">
      <c r="A8" t="s">
        <v>46</v>
      </c>
    </row>
    <row r="9" spans="1:6" x14ac:dyDescent="0.25">
      <c r="A9" t="s">
        <v>47</v>
      </c>
    </row>
    <row r="10" spans="1:6" x14ac:dyDescent="0.25">
      <c r="A10" t="s">
        <v>33</v>
      </c>
    </row>
    <row r="12" spans="1:6" x14ac:dyDescent="0.25">
      <c r="B12" s="16" t="s">
        <v>35</v>
      </c>
      <c r="C12" s="17" t="s">
        <v>36</v>
      </c>
      <c r="D12" s="18" t="s">
        <v>44</v>
      </c>
      <c r="E12" s="23"/>
      <c r="F12" s="11"/>
    </row>
    <row r="13" spans="1:6" x14ac:dyDescent="0.25">
      <c r="B13" s="2">
        <v>2.1</v>
      </c>
      <c r="C13" s="9" t="s">
        <v>34</v>
      </c>
      <c r="D13" s="15">
        <f>B13/SUM(B13:B20)</f>
        <v>0.17213114754098363</v>
      </c>
      <c r="E13" s="24"/>
      <c r="F13" s="11"/>
    </row>
    <row r="14" spans="1:6" x14ac:dyDescent="0.25">
      <c r="B14" s="2">
        <v>0.3</v>
      </c>
      <c r="C14" s="9" t="s">
        <v>37</v>
      </c>
      <c r="E14" s="24"/>
      <c r="F14" s="11"/>
    </row>
    <row r="15" spans="1:6" x14ac:dyDescent="0.25">
      <c r="B15" s="2">
        <v>1.8</v>
      </c>
      <c r="C15" s="9" t="s">
        <v>38</v>
      </c>
      <c r="E15" s="24"/>
      <c r="F15" s="11"/>
    </row>
    <row r="16" spans="1:6" x14ac:dyDescent="0.25">
      <c r="B16" s="2">
        <v>1.2</v>
      </c>
      <c r="C16" s="9" t="s">
        <v>39</v>
      </c>
      <c r="E16" s="11"/>
      <c r="F16" s="11"/>
    </row>
    <row r="17" spans="1:6" x14ac:dyDescent="0.25">
      <c r="B17" s="2">
        <v>3.5</v>
      </c>
      <c r="C17" s="9" t="s">
        <v>40</v>
      </c>
      <c r="E17" s="11"/>
      <c r="F17" s="11"/>
    </row>
    <row r="18" spans="1:6" x14ac:dyDescent="0.25">
      <c r="B18" s="2">
        <v>1</v>
      </c>
      <c r="C18" s="9" t="s">
        <v>41</v>
      </c>
    </row>
    <row r="19" spans="1:6" x14ac:dyDescent="0.25">
      <c r="B19" s="2">
        <v>0.7</v>
      </c>
      <c r="C19" s="9" t="s">
        <v>42</v>
      </c>
    </row>
    <row r="20" spans="1:6" x14ac:dyDescent="0.25">
      <c r="B20" s="2">
        <v>1.6</v>
      </c>
      <c r="C20" s="9" t="s">
        <v>43</v>
      </c>
    </row>
    <row r="21" spans="1:6" x14ac:dyDescent="0.25">
      <c r="B21" s="2"/>
      <c r="C21" s="9"/>
    </row>
    <row r="22" spans="1:6" x14ac:dyDescent="0.25">
      <c r="B22" s="2"/>
      <c r="C22" s="2"/>
      <c r="D22" s="21" t="s">
        <v>34</v>
      </c>
      <c r="E22" s="22"/>
    </row>
    <row r="23" spans="1:6" x14ac:dyDescent="0.25">
      <c r="B23" s="2"/>
      <c r="C23" s="2"/>
      <c r="D23" s="1" t="s">
        <v>63</v>
      </c>
      <c r="E23" s="1" t="s">
        <v>45</v>
      </c>
    </row>
    <row r="24" spans="1:6" x14ac:dyDescent="0.25">
      <c r="B24" s="1"/>
      <c r="C24" s="1">
        <v>2020</v>
      </c>
      <c r="D24" s="14">
        <f>D4*$D$13</f>
        <v>8.3177467268126311</v>
      </c>
      <c r="E24" s="14">
        <f>E4*$D$13</f>
        <v>26.31839881497066</v>
      </c>
    </row>
    <row r="25" spans="1:6" x14ac:dyDescent="0.25">
      <c r="B25" s="1"/>
      <c r="C25" s="1">
        <v>2025</v>
      </c>
      <c r="D25" s="14">
        <f t="shared" ref="D25:D26" si="1">D5*$D$13</f>
        <v>34.65727802838596</v>
      </c>
      <c r="E25" s="14">
        <f>E5*$D$13</f>
        <v>142.72177035226181</v>
      </c>
    </row>
    <row r="26" spans="1:6" x14ac:dyDescent="0.25">
      <c r="B26" s="1"/>
      <c r="C26" s="1">
        <v>2030</v>
      </c>
      <c r="D26" s="14">
        <f t="shared" si="1"/>
        <v>34.65727802838596</v>
      </c>
      <c r="E26" s="14">
        <f>E6*$D$13</f>
        <v>369.43108662575241</v>
      </c>
    </row>
    <row r="28" spans="1:6" x14ac:dyDescent="0.25">
      <c r="A28" t="s">
        <v>49</v>
      </c>
    </row>
    <row r="29" spans="1:6" x14ac:dyDescent="0.25">
      <c r="A29" t="s">
        <v>50</v>
      </c>
    </row>
    <row r="31" spans="1:6" x14ac:dyDescent="0.25">
      <c r="D31" s="21" t="s">
        <v>34</v>
      </c>
      <c r="E31" s="22"/>
    </row>
    <row r="32" spans="1:6" x14ac:dyDescent="0.25">
      <c r="C32" s="11"/>
      <c r="D32" s="1" t="s">
        <v>64</v>
      </c>
      <c r="E32" s="1" t="s">
        <v>61</v>
      </c>
    </row>
    <row r="33" spans="1:5" x14ac:dyDescent="0.25">
      <c r="C33" s="25">
        <v>2015</v>
      </c>
      <c r="D33" s="11">
        <v>0</v>
      </c>
      <c r="E33" s="11">
        <v>0</v>
      </c>
    </row>
    <row r="34" spans="1:5" x14ac:dyDescent="0.25">
      <c r="C34" s="25">
        <v>2020</v>
      </c>
      <c r="D34" s="13">
        <f>D24*10^6</f>
        <v>8317746.7268126309</v>
      </c>
      <c r="E34" s="13">
        <f>E24*10^6</f>
        <v>26318398.814970661</v>
      </c>
    </row>
    <row r="35" spans="1:5" x14ac:dyDescent="0.25">
      <c r="C35" s="25">
        <v>2025</v>
      </c>
      <c r="D35" s="13">
        <f t="shared" ref="D35:E36" si="2">D25*10^6</f>
        <v>34657278.02838596</v>
      </c>
      <c r="E35" s="13">
        <f t="shared" si="2"/>
        <v>142721770.35226181</v>
      </c>
    </row>
    <row r="36" spans="1:5" x14ac:dyDescent="0.25">
      <c r="C36" s="25">
        <v>2030</v>
      </c>
      <c r="D36" s="13">
        <f t="shared" si="2"/>
        <v>34657278.02838596</v>
      </c>
      <c r="E36" s="13">
        <f t="shared" si="2"/>
        <v>369431086.62575239</v>
      </c>
    </row>
    <row r="37" spans="1:5" x14ac:dyDescent="0.25">
      <c r="C37" s="10"/>
    </row>
    <row r="38" spans="1:5" x14ac:dyDescent="0.25">
      <c r="A38" t="s">
        <v>48</v>
      </c>
      <c r="C38" s="10"/>
    </row>
    <row r="39" spans="1:5" x14ac:dyDescent="0.25">
      <c r="A39" t="s">
        <v>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2"/>
  <sheetViews>
    <sheetView workbookViewId="0"/>
  </sheetViews>
  <sheetFormatPr defaultRowHeight="15" x14ac:dyDescent="0.25"/>
  <cols>
    <col min="1" max="1" width="29.140625" customWidth="1"/>
    <col min="14" max="14" width="10" bestFit="1" customWidth="1"/>
    <col min="19" max="19" width="10" bestFit="1" customWidth="1"/>
  </cols>
  <sheetData>
    <row r="1" spans="1:20" x14ac:dyDescent="0.25">
      <c r="A1" t="s">
        <v>4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 s="26">
        <v>2020</v>
      </c>
      <c r="J1">
        <v>2021</v>
      </c>
      <c r="K1">
        <v>2022</v>
      </c>
      <c r="L1">
        <v>2023</v>
      </c>
      <c r="M1">
        <v>2024</v>
      </c>
      <c r="N1" s="26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20" x14ac:dyDescent="0.25">
      <c r="A2" t="s">
        <v>51</v>
      </c>
      <c r="B2">
        <f>D2</f>
        <v>0</v>
      </c>
      <c r="C2">
        <f>D2</f>
        <v>0</v>
      </c>
      <c r="D2">
        <f>TREND(Calculations!$E$33:$E$34,Calculations!$C$33:$C$34,D$1)</f>
        <v>0</v>
      </c>
      <c r="E2" s="19">
        <f>TREND(Calculations!$E$33:$E$34,Calculations!$C$33:$C$34,E$1)</f>
        <v>5263679.7629947662</v>
      </c>
      <c r="F2" s="19">
        <f>TREND(Calculations!$E$33:$E$34,Calculations!$C$33:$C$34,F$1)</f>
        <v>10527359.525987625</v>
      </c>
      <c r="G2" s="19">
        <f>TREND(Calculations!$E$33:$E$34,Calculations!$C$33:$C$34,G$1)</f>
        <v>15791039.288982391</v>
      </c>
      <c r="H2" s="19">
        <f>TREND(Calculations!$E$33:$E$34,Calculations!$C$33:$C$34,H$1)</f>
        <v>21054719.051977158</v>
      </c>
      <c r="I2" s="27">
        <f>TREND(Calculations!$E$33:$E$34,Calculations!$C$33:$C$34,I$1)</f>
        <v>26318398.814970016</v>
      </c>
      <c r="J2" s="19">
        <f>TREND(Calculations!$E$34:$E$35,Calculations!$C$34:$C$35,J$1)</f>
        <v>49599073.122436523</v>
      </c>
      <c r="K2" s="19">
        <f>TREND(Calculations!$E$34:$E$35,Calculations!$C$34:$C$35,K$1)</f>
        <v>72879747.429893494</v>
      </c>
      <c r="L2" s="19">
        <f>TREND(Calculations!$E$34:$E$35,Calculations!$C$34:$C$35,L$1)</f>
        <v>96160421.737350464</v>
      </c>
      <c r="M2" s="19">
        <f>TREND(Calculations!$E$34:$E$35,Calculations!$C$34:$C$35,M$1)</f>
        <v>119441096.04480743</v>
      </c>
      <c r="N2" s="27">
        <f>TREND(Calculations!$E$34:$E$35,Calculations!$C$34:$C$35,N$1)</f>
        <v>142721770.3522644</v>
      </c>
      <c r="O2" s="19">
        <f>TREND(Calculations!$E$35:$E$36,Calculations!$C$35:$C$36,O$1)</f>
        <v>188063633.60696411</v>
      </c>
      <c r="P2" s="19">
        <f>TREND(Calculations!$E$35:$E$36,Calculations!$C$35:$C$36,P$1)</f>
        <v>233405496.86166382</v>
      </c>
      <c r="Q2" s="19">
        <f>TREND(Calculations!$E$35:$E$36,Calculations!$C$35:$C$36,Q$1)</f>
        <v>278747360.11636353</v>
      </c>
      <c r="R2" s="19">
        <f>TREND(Calculations!$E$35:$E$36,Calculations!$C$35:$C$36,R$1)</f>
        <v>324089223.37106323</v>
      </c>
      <c r="S2" s="19">
        <f>TREND(Calculations!$E$35:$E$36,Calculations!$C$35:$C$36,S$1)</f>
        <v>369431086.62576294</v>
      </c>
      <c r="T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38.28515625" customWidth="1"/>
    <col min="14" max="14" width="10" bestFit="1" customWidth="1"/>
    <col min="19" max="19" width="10" bestFit="1" customWidth="1"/>
  </cols>
  <sheetData>
    <row r="1" spans="1:19" x14ac:dyDescent="0.25">
      <c r="A1" t="s">
        <v>4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 s="26">
        <v>2020</v>
      </c>
      <c r="J1">
        <v>2021</v>
      </c>
      <c r="K1">
        <v>2022</v>
      </c>
      <c r="L1">
        <v>2023</v>
      </c>
      <c r="M1">
        <v>2024</v>
      </c>
      <c r="N1" s="26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65</v>
      </c>
      <c r="B2">
        <f>D2</f>
        <v>0</v>
      </c>
      <c r="C2">
        <f>D2</f>
        <v>0</v>
      </c>
      <c r="D2">
        <f>TREND(Calculations!$D$33:$D$34,Calculations!$C$33:$C$34,D$1)</f>
        <v>0</v>
      </c>
      <c r="E2">
        <f>TREND(Calculations!$D$33:$D$34,Calculations!$C$33:$C$34,E$1)</f>
        <v>1663549.3453621864</v>
      </c>
      <c r="F2">
        <f>TREND(Calculations!$D$33:$D$34,Calculations!$C$33:$C$34,F$1)</f>
        <v>3327098.6907248497</v>
      </c>
      <c r="G2">
        <f>TREND(Calculations!$D$33:$D$34,Calculations!$C$33:$C$34,G$1)</f>
        <v>4990648.036087513</v>
      </c>
      <c r="H2">
        <f>TREND(Calculations!$D$33:$D$34,Calculations!$C$33:$C$34,H$1)</f>
        <v>6654197.3814496994</v>
      </c>
      <c r="I2" s="26">
        <f>TREND(Calculations!$D$33:$D$34,Calculations!$C$33:$C$34,I$1)</f>
        <v>8317746.7268123627</v>
      </c>
      <c r="J2" s="19">
        <f>TREND(Calculations!$D$34:$D$35,Calculations!$C$34:$C$35,J$1)</f>
        <v>13585652.987127304</v>
      </c>
      <c r="K2" s="19">
        <f>TREND(Calculations!$D$34:$D$35,Calculations!$C$34:$C$35,K$1)</f>
        <v>18853559.247442245</v>
      </c>
      <c r="L2" s="19">
        <f>TREND(Calculations!$D$34:$D$35,Calculations!$C$34:$C$35,L$1)</f>
        <v>24121465.507757187</v>
      </c>
      <c r="M2" s="19">
        <f>TREND(Calculations!$D$34:$D$35,Calculations!$C$34:$C$35,M$1)</f>
        <v>29389371.768070221</v>
      </c>
      <c r="N2" s="27">
        <f>TREND(Calculations!$D$34:$D$35,Calculations!$C$34:$C$35,N$1)</f>
        <v>34657278.028385162</v>
      </c>
      <c r="O2" s="19">
        <f>TREND(Calculations!$D$35:$D$36,Calculations!$C$35:$C$36,O$1)</f>
        <v>34657278.02838596</v>
      </c>
      <c r="P2" s="19">
        <f>TREND(Calculations!$D$35:$D$36,Calculations!$C$35:$C$36,P$1)</f>
        <v>34657278.02838596</v>
      </c>
      <c r="Q2" s="19">
        <f>TREND(Calculations!$D$35:$D$36,Calculations!$C$35:$C$36,Q$1)</f>
        <v>34657278.02838596</v>
      </c>
      <c r="R2" s="19">
        <f>TREND(Calculations!$D$35:$D$36,Calculations!$C$35:$C$36,R$1)</f>
        <v>34657278.02838596</v>
      </c>
      <c r="S2" s="19">
        <f>TREND(Calculations!$D$35:$D$36,Calculations!$C$35:$C$36,S$1)</f>
        <v>34657278.02838596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Fig4</vt:lpstr>
      <vt:lpstr>Fig6</vt:lpstr>
      <vt:lpstr>Calculations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2015-06-24T00:43:26Z</dcterms:modified>
</cp:coreProperties>
</file>