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eghan\Dropbox (Energy Innovation)\EPS Versions\eps-1.4.3-us-v2\"/>
    </mc:Choice>
  </mc:AlternateContent>
  <bookViews>
    <workbookView xWindow="480" yWindow="90" windowWidth="27795" windowHeight="14130" activeTab="2"/>
  </bookViews>
  <sheets>
    <sheet name="About" sheetId="8" r:id="rId1"/>
    <sheet name="Calculations" sheetId="2" r:id="rId2"/>
    <sheet name="Cost Curve" sheetId="5" r:id="rId3"/>
    <sheet name="1.4.3-us-RevNeuCTax-EI" sheetId="10" r:id="rId4"/>
  </sheets>
  <definedNames>
    <definedName name="_xlnm._FilterDatabase" localSheetId="2" hidden="1">'Cost Curve'!$A$1:$C$26</definedName>
  </definedNames>
  <calcPr calcId="162913"/>
</workbook>
</file>

<file path=xl/calcChain.xml><?xml version="1.0" encoding="utf-8"?>
<calcChain xmlns="http://schemas.openxmlformats.org/spreadsheetml/2006/main">
  <c r="A43" i="5" l="1"/>
  <c r="C5" i="2"/>
  <c r="C7" i="2"/>
  <c r="C16" i="2"/>
  <c r="C10" i="2"/>
  <c r="C23" i="2"/>
  <c r="C22" i="2"/>
  <c r="C21" i="2"/>
  <c r="C25" i="2"/>
  <c r="C3" i="2"/>
  <c r="C14" i="2"/>
  <c r="C26" i="2"/>
  <c r="C12" i="2"/>
  <c r="C18" i="2"/>
  <c r="C15" i="2"/>
  <c r="C8" i="2"/>
  <c r="C19" i="2"/>
  <c r="C4" i="2"/>
  <c r="C27" i="2"/>
  <c r="C9" i="2"/>
  <c r="C11" i="2"/>
  <c r="C24" i="2"/>
  <c r="C20" i="2"/>
  <c r="C17" i="2"/>
  <c r="C6" i="2"/>
  <c r="C13" i="2"/>
  <c r="A24" i="5" l="1"/>
  <c r="A23" i="5"/>
  <c r="A14" i="5"/>
  <c r="D13" i="2"/>
  <c r="A21" i="5" l="1"/>
  <c r="A18" i="5" l="1"/>
  <c r="A10" i="5"/>
  <c r="A25" i="5"/>
  <c r="A8" i="5"/>
  <c r="A2" i="5"/>
  <c r="A15" i="5"/>
  <c r="A3" i="5"/>
  <c r="A4" i="5"/>
  <c r="A5" i="5"/>
  <c r="A12" i="5"/>
  <c r="A11" i="5"/>
  <c r="A26" i="5"/>
  <c r="A6" i="5"/>
  <c r="A7" i="5"/>
  <c r="A22" i="5"/>
  <c r="A16" i="5"/>
  <c r="A17" i="2"/>
  <c r="D27" i="2"/>
  <c r="J9" i="2"/>
  <c r="D17" i="2"/>
  <c r="J6" i="2"/>
  <c r="D14" i="2"/>
  <c r="D20" i="2"/>
  <c r="D5" i="2"/>
  <c r="J16" i="2"/>
  <c r="D6" i="2"/>
  <c r="D16" i="2"/>
  <c r="J8" i="2"/>
  <c r="J14" i="2"/>
  <c r="D9" i="2"/>
  <c r="J5" i="2"/>
  <c r="J7" i="2"/>
  <c r="D15" i="2"/>
  <c r="J12" i="2"/>
  <c r="J13" i="2"/>
  <c r="J18" i="2"/>
  <c r="J11" i="2"/>
  <c r="J15" i="2"/>
  <c r="D8" i="2"/>
  <c r="D7" i="2"/>
  <c r="J17" i="2"/>
  <c r="D18" i="2"/>
  <c r="J10" i="2"/>
  <c r="D10" i="2"/>
  <c r="D11" i="2"/>
  <c r="D4" i="2"/>
  <c r="D3" i="2"/>
  <c r="D19" i="2"/>
  <c r="J3" i="2"/>
  <c r="J4" i="2"/>
  <c r="J19" i="2"/>
  <c r="D12" i="2"/>
  <c r="E27" i="2" l="1"/>
  <c r="A19" i="5"/>
  <c r="E20" i="2"/>
  <c r="A17" i="5"/>
  <c r="K3" i="2"/>
  <c r="L3" i="2" s="1"/>
  <c r="A9" i="5"/>
  <c r="A13" i="5"/>
  <c r="A20" i="5"/>
  <c r="E3" i="2"/>
  <c r="C50" i="2"/>
  <c r="C52" i="2"/>
  <c r="C49" i="2"/>
  <c r="C51" i="2"/>
  <c r="C53" i="2"/>
  <c r="K12" i="2"/>
  <c r="L12" i="2" s="1"/>
  <c r="K13" i="2"/>
  <c r="L13" i="2" s="1"/>
  <c r="K6" i="2"/>
  <c r="L6" i="2" s="1"/>
  <c r="K14" i="2"/>
  <c r="L14" i="2" s="1"/>
  <c r="K9" i="2"/>
  <c r="L9" i="2" s="1"/>
  <c r="K5" i="2"/>
  <c r="L5" i="2" s="1"/>
  <c r="K7" i="2"/>
  <c r="L7" i="2" s="1"/>
  <c r="K15" i="2"/>
  <c r="L15" i="2" s="1"/>
  <c r="K17" i="2"/>
  <c r="L17" i="2" s="1"/>
  <c r="K4" i="2"/>
  <c r="L4" i="2" s="1"/>
  <c r="K8" i="2"/>
  <c r="L8" i="2" s="1"/>
  <c r="K16" i="2"/>
  <c r="L16" i="2" s="1"/>
  <c r="K10" i="2"/>
  <c r="L10" i="2" s="1"/>
  <c r="K18" i="2"/>
  <c r="L18" i="2" s="1"/>
  <c r="K11" i="2"/>
  <c r="L11" i="2" s="1"/>
  <c r="K19" i="2"/>
  <c r="L19" i="2" s="1"/>
  <c r="E10" i="2"/>
  <c r="E4" i="2"/>
  <c r="E17" i="2"/>
  <c r="E8" i="2"/>
  <c r="E11" i="2"/>
  <c r="E19" i="2"/>
  <c r="E18" i="2"/>
  <c r="E9" i="2"/>
  <c r="E16" i="2"/>
  <c r="E7" i="2"/>
  <c r="E12" i="2"/>
  <c r="E15" i="2"/>
  <c r="E6" i="2"/>
  <c r="E14" i="2"/>
  <c r="E5" i="2"/>
  <c r="E13" i="2"/>
  <c r="J25" i="2"/>
  <c r="J26" i="2"/>
  <c r="J27" i="2"/>
  <c r="D26" i="2"/>
  <c r="D21" i="2"/>
  <c r="J23" i="2"/>
  <c r="J24" i="2"/>
  <c r="J21" i="2"/>
  <c r="J22" i="2"/>
  <c r="D24" i="2"/>
  <c r="J20" i="2"/>
  <c r="D22" i="2"/>
  <c r="D25" i="2"/>
  <c r="D23" i="2"/>
  <c r="E25" i="2" l="1"/>
  <c r="E26" i="2"/>
  <c r="K27" i="2"/>
  <c r="L27" i="2" s="1"/>
  <c r="K26" i="2"/>
  <c r="L26" i="2" s="1"/>
  <c r="K25" i="2"/>
  <c r="L25" i="2" s="1"/>
  <c r="K23" i="2"/>
  <c r="L23" i="2" s="1"/>
  <c r="K20" i="2"/>
  <c r="L20" i="2" s="1"/>
  <c r="E24" i="2"/>
  <c r="E21" i="2"/>
  <c r="E22" i="2"/>
  <c r="E23" i="2"/>
  <c r="K24" i="2"/>
  <c r="L24" i="2" s="1"/>
  <c r="K22" i="2"/>
  <c r="L22" i="2" s="1"/>
  <c r="K21" i="2"/>
  <c r="L21" i="2" s="1"/>
  <c r="F5" i="2" l="1"/>
  <c r="F23" i="2"/>
  <c r="F8" i="2"/>
  <c r="F3" i="2"/>
  <c r="G3" i="2" s="1"/>
  <c r="H3" i="2" s="1"/>
  <c r="B18" i="5" s="1"/>
  <c r="F4" i="2"/>
  <c r="F16" i="2"/>
  <c r="F12" i="2"/>
  <c r="F26" i="2"/>
  <c r="G26" i="2" s="1"/>
  <c r="H26" i="2" s="1"/>
  <c r="B20" i="5" s="1"/>
  <c r="F19" i="2"/>
  <c r="F6" i="2"/>
  <c r="F21" i="2"/>
  <c r="F25" i="2"/>
  <c r="F14" i="2"/>
  <c r="F22" i="2"/>
  <c r="F15" i="2"/>
  <c r="F9" i="2"/>
  <c r="F20" i="2"/>
  <c r="F11" i="2"/>
  <c r="F7" i="2"/>
  <c r="F18" i="2"/>
  <c r="F27" i="2"/>
  <c r="G27" i="2" s="1"/>
  <c r="M27" i="2" s="1"/>
  <c r="C21" i="5" s="1"/>
  <c r="F24" i="2"/>
  <c r="F10" i="2"/>
  <c r="F13" i="2"/>
  <c r="F17" i="2"/>
  <c r="G25" i="2" l="1"/>
  <c r="H25" i="2" s="1"/>
  <c r="B19" i="5" s="1"/>
  <c r="M3" i="2"/>
  <c r="C18" i="5" s="1"/>
  <c r="G22" i="2"/>
  <c r="M22" i="2" s="1"/>
  <c r="C17" i="5" s="1"/>
  <c r="G7" i="2"/>
  <c r="H7" i="2" s="1"/>
  <c r="B2" i="5" s="1"/>
  <c r="M26" i="2"/>
  <c r="C20" i="5" s="1"/>
  <c r="G24" i="2"/>
  <c r="M24" i="2" s="1"/>
  <c r="C16" i="5" s="1"/>
  <c r="G15" i="2"/>
  <c r="M15" i="2" s="1"/>
  <c r="C12" i="5" s="1"/>
  <c r="H27" i="2"/>
  <c r="G19" i="2"/>
  <c r="M19" i="2" s="1"/>
  <c r="C7" i="5" s="1"/>
  <c r="G21" i="2"/>
  <c r="M21" i="2" s="1"/>
  <c r="C9" i="5" s="1"/>
  <c r="G10" i="2"/>
  <c r="M10" i="2" s="1"/>
  <c r="C4" i="5" s="1"/>
  <c r="G23" i="2"/>
  <c r="G8" i="2"/>
  <c r="M8" i="2" s="1"/>
  <c r="C15" i="5" s="1"/>
  <c r="G12" i="2"/>
  <c r="M12" i="2" s="1"/>
  <c r="C14" i="5" s="1"/>
  <c r="G17" i="2"/>
  <c r="M17" i="2" s="1"/>
  <c r="C26" i="5" s="1"/>
  <c r="G6" i="2"/>
  <c r="M6" i="2" s="1"/>
  <c r="C8" i="5" s="1"/>
  <c r="G13" i="2"/>
  <c r="H13" i="2" s="1"/>
  <c r="B24" i="5" s="1"/>
  <c r="G16" i="2"/>
  <c r="H16" i="2" s="1"/>
  <c r="B11" i="5" s="1"/>
  <c r="G20" i="2"/>
  <c r="G5" i="2"/>
  <c r="H5" i="2" s="1"/>
  <c r="B25" i="5" s="1"/>
  <c r="G14" i="2"/>
  <c r="H14" i="2" s="1"/>
  <c r="B23" i="5" s="1"/>
  <c r="G4" i="2"/>
  <c r="M4" i="2" s="1"/>
  <c r="C10" i="5" s="1"/>
  <c r="G11" i="2"/>
  <c r="H11" i="2" s="1"/>
  <c r="B5" i="5" s="1"/>
  <c r="G9" i="2"/>
  <c r="H9" i="2" s="1"/>
  <c r="B3" i="5" s="1"/>
  <c r="G18" i="2"/>
  <c r="M18" i="2" s="1"/>
  <c r="C6" i="5" s="1"/>
  <c r="B21" i="5" l="1"/>
  <c r="A86" i="5" s="1"/>
  <c r="M25" i="2"/>
  <c r="C19" i="5" s="1"/>
  <c r="M7" i="2"/>
  <c r="C2" i="5" s="1"/>
  <c r="H12" i="2"/>
  <c r="H4" i="2"/>
  <c r="B10" i="5" s="1"/>
  <c r="M16" i="2"/>
  <c r="C11" i="5" s="1"/>
  <c r="H10" i="2"/>
  <c r="B4" i="5" s="1"/>
  <c r="H22" i="2"/>
  <c r="B17" i="5" s="1"/>
  <c r="H15" i="2"/>
  <c r="B12" i="5" s="1"/>
  <c r="M5" i="2"/>
  <c r="C25" i="5" s="1"/>
  <c r="M14" i="2"/>
  <c r="C23" i="5" s="1"/>
  <c r="H18" i="2"/>
  <c r="B6" i="5" s="1"/>
  <c r="H17" i="2"/>
  <c r="B26" i="5" s="1"/>
  <c r="Y41" i="5" s="1"/>
  <c r="M11" i="2"/>
  <c r="C5" i="5" s="1"/>
  <c r="H6" i="2"/>
  <c r="B8" i="5" s="1"/>
  <c r="A44" i="5" s="1"/>
  <c r="H19" i="2"/>
  <c r="B7" i="5" s="1"/>
  <c r="H21" i="2"/>
  <c r="B9" i="5" s="1"/>
  <c r="M13" i="2"/>
  <c r="C24" i="5" s="1"/>
  <c r="H24" i="2"/>
  <c r="B16" i="5" s="1"/>
  <c r="M23" i="2"/>
  <c r="C22" i="5" s="1"/>
  <c r="T79" i="5" s="1"/>
  <c r="H23" i="2"/>
  <c r="B22" i="5" s="1"/>
  <c r="M9" i="2"/>
  <c r="C3" i="5" s="1"/>
  <c r="H8" i="2"/>
  <c r="B15" i="5" s="1"/>
  <c r="M20" i="2"/>
  <c r="C13" i="5" s="1"/>
  <c r="R76" i="5" s="1"/>
  <c r="H20" i="2"/>
  <c r="B13" i="5" s="1"/>
  <c r="Z92" i="5" l="1"/>
  <c r="X88" i="5"/>
  <c r="V84" i="5"/>
  <c r="V83" i="5"/>
  <c r="C98" i="5"/>
  <c r="C96" i="5"/>
  <c r="B14" i="5"/>
  <c r="H41" i="5" s="1"/>
  <c r="W41" i="5"/>
  <c r="R41" i="5"/>
  <c r="Z41" i="5"/>
  <c r="N67" i="5"/>
  <c r="C45" i="5"/>
  <c r="W86" i="5"/>
  <c r="C99" i="5"/>
  <c r="W85" i="5"/>
  <c r="C41" i="5"/>
  <c r="D41" i="5"/>
  <c r="G53" i="5"/>
  <c r="G41" i="5"/>
  <c r="I41" i="5"/>
  <c r="K41" i="5"/>
  <c r="S77" i="5"/>
  <c r="K62" i="5"/>
  <c r="S78" i="5"/>
  <c r="O70" i="5"/>
  <c r="O69" i="5"/>
  <c r="L63" i="5"/>
  <c r="L41" i="5"/>
  <c r="J60" i="5"/>
  <c r="J59" i="5"/>
  <c r="U41" i="5"/>
  <c r="F41" i="5"/>
  <c r="O41" i="5"/>
  <c r="S41" i="5"/>
  <c r="B41" i="5"/>
  <c r="Q41" i="5"/>
  <c r="V41" i="5"/>
  <c r="M41" i="5"/>
  <c r="T41" i="5"/>
  <c r="E41" i="5"/>
  <c r="A45" i="5"/>
  <c r="A46" i="5" s="1"/>
  <c r="B44" i="5"/>
  <c r="P72" i="5"/>
  <c r="P71" i="5"/>
  <c r="X87" i="5"/>
  <c r="I57" i="5"/>
  <c r="N68" i="5"/>
  <c r="G54" i="5"/>
  <c r="T80" i="5"/>
  <c r="R75" i="5"/>
  <c r="L64" i="5"/>
  <c r="D48" i="5"/>
  <c r="D47" i="5"/>
  <c r="C46" i="5"/>
  <c r="I58" i="5"/>
  <c r="B43" i="5"/>
  <c r="E49" i="5"/>
  <c r="E50" i="5"/>
  <c r="F51" i="5"/>
  <c r="F52" i="5"/>
  <c r="H55" i="5"/>
  <c r="H56" i="5"/>
  <c r="K61" i="5"/>
  <c r="M65" i="5"/>
  <c r="M66" i="5"/>
  <c r="Q73" i="5"/>
  <c r="Q74" i="5"/>
  <c r="Z91" i="5"/>
  <c r="Y89" i="5"/>
  <c r="Y90" i="5"/>
  <c r="U81" i="5"/>
  <c r="U82" i="5"/>
  <c r="N41" i="5" l="1"/>
  <c r="P41" i="5"/>
  <c r="J41" i="5"/>
  <c r="C97" i="5"/>
  <c r="X41" i="5"/>
  <c r="A47" i="5"/>
  <c r="A48" i="5" s="1"/>
  <c r="A49" i="5" l="1"/>
  <c r="A50" i="5" s="1"/>
  <c r="A51" i="5" l="1"/>
  <c r="A52" i="5" s="1"/>
  <c r="A53" i="5" l="1"/>
  <c r="A54" i="5" s="1"/>
  <c r="A55" i="5" l="1"/>
  <c r="A56" i="5" s="1"/>
  <c r="A57" i="5" l="1"/>
  <c r="A58" i="5" s="1"/>
  <c r="A59" i="5" l="1"/>
  <c r="A60" i="5" s="1"/>
  <c r="A61" i="5" l="1"/>
  <c r="A62" i="5" s="1"/>
  <c r="A63" i="5" l="1"/>
  <c r="A64" i="5" s="1"/>
  <c r="A65" i="5" l="1"/>
  <c r="A66" i="5" s="1"/>
  <c r="A67" i="5" l="1"/>
  <c r="A68" i="5" s="1"/>
  <c r="A69" i="5" l="1"/>
  <c r="A70" i="5" s="1"/>
  <c r="A71" i="5" l="1"/>
  <c r="A72" i="5" s="1"/>
  <c r="A73" i="5" l="1"/>
  <c r="A74" i="5" s="1"/>
  <c r="A75" i="5" l="1"/>
  <c r="A76" i="5" s="1"/>
  <c r="A77" i="5" l="1"/>
  <c r="A78" i="5" s="1"/>
  <c r="A79" i="5" l="1"/>
  <c r="A80" i="5" l="1"/>
  <c r="A81" i="5" s="1"/>
  <c r="A82" i="5" l="1"/>
  <c r="A83" i="5" s="1"/>
  <c r="A84" i="5" s="1"/>
  <c r="A85" i="5" s="1"/>
  <c r="A87" i="5"/>
  <c r="A88" i="5" s="1"/>
  <c r="A89" i="5" l="1"/>
  <c r="A90" i="5" s="1"/>
  <c r="A91" i="5" l="1"/>
  <c r="A92" i="5" s="1"/>
  <c r="A93" i="5" l="1"/>
</calcChain>
</file>

<file path=xl/comments1.xml><?xml version="1.0" encoding="utf-8"?>
<comments xmlns="http://schemas.openxmlformats.org/spreadsheetml/2006/main">
  <authors>
    <author>Jeffrey Rissman</author>
  </authors>
  <commentList>
    <comment ref="K2" authorId="0" shapeId="0">
      <text>
        <r>
          <rPr>
            <b/>
            <sz val="9"/>
            <color indexed="81"/>
            <rFont val="Tahoma"/>
            <family val="2"/>
          </rPr>
          <t>Jeffrey Rissman:</t>
        </r>
        <r>
          <rPr>
            <sz val="9"/>
            <color indexed="81"/>
            <rFont val="Tahoma"/>
            <family val="2"/>
          </rPr>
          <t xml:space="preserve">
Note: Negative costs here indicate that the total scenario cost dropped when the policy group was disabled, so the policy group was costing money (had positive cost).  Positive costs here indicate that the total scenario cost increased when the policy group was disabled, so the policy group was saving money (negative cost).</t>
        </r>
      </text>
    </comment>
    <comment ref="L2" authorId="0" shapeId="0">
      <text>
        <r>
          <rPr>
            <b/>
            <sz val="9"/>
            <color indexed="81"/>
            <rFont val="Tahoma"/>
            <family val="2"/>
          </rPr>
          <t>Jeffrey Rissman:</t>
        </r>
        <r>
          <rPr>
            <sz val="9"/>
            <color indexed="81"/>
            <rFont val="Tahoma"/>
            <family val="2"/>
          </rPr>
          <t xml:space="preserve">
In this column, negative values indicate savings and positive values indicate costs, which is how it should be graphed in the web app.</t>
        </r>
      </text>
    </comment>
  </commentList>
</comments>
</file>

<file path=xl/sharedStrings.xml><?xml version="1.0" encoding="utf-8"?>
<sst xmlns="http://schemas.openxmlformats.org/spreadsheetml/2006/main" count="184" uniqueCount="102">
  <si>
    <t>Time</t>
  </si>
  <si>
    <t>DisabledPolicyGroup=None</t>
  </si>
  <si>
    <t>DisabledPolicies=None</t>
  </si>
  <si>
    <t>Output Cumulative Total CO2e Emissions</t>
  </si>
  <si>
    <t>DisabledPolicyGroup=Vehicle Fuel Economy Standards</t>
  </si>
  <si>
    <t>DisabledPolicyGroup=Transportation Demand Management</t>
  </si>
  <si>
    <t>DisabledPolicyGroup=Building Energy Efficiency Standards</t>
  </si>
  <si>
    <t>DisabledPolicyGroup=Renewable Portfolio Standard</t>
  </si>
  <si>
    <t>DisabledPolicyGroup=Methane Capture and Destruction</t>
  </si>
  <si>
    <t>DisabledPolicyGroup=Cogeneration and Waste Heat Recovery</t>
  </si>
  <si>
    <t>DisabledPolicyGroup=Industry Energy Efficiency Standards</t>
  </si>
  <si>
    <t>Disabled Policy Group</t>
  </si>
  <si>
    <t>This is the width of each box.</t>
  </si>
  <si>
    <t>Cost or Savings Attributable to This Policy Group</t>
  </si>
  <si>
    <t>Cost or Savings per Ton Abated (in Dollars per Ton)</t>
  </si>
  <si>
    <t>This is the height of each box.</t>
  </si>
  <si>
    <t>DisabledPolicyGroup=Demand Response</t>
  </si>
  <si>
    <t>DisabledPolicyGroup=Increase Transmission</t>
  </si>
  <si>
    <t>DisabledPolicyGroup=All</t>
  </si>
  <si>
    <t>DisabledPolicies=All</t>
  </si>
  <si>
    <t>Number of Years in Model Run</t>
  </si>
  <si>
    <t>Output First Year NPV of Capital Fuel and OM Expenditures through This Year with Revenue Neutral Carbon Tax</t>
  </si>
  <si>
    <t>DisabledPolicyGroup=Improved Labeling</t>
  </si>
  <si>
    <t>DisabledPolicyGroup=Carbon Tax</t>
  </si>
  <si>
    <t>Settings</t>
  </si>
  <si>
    <t>First simulated year</t>
  </si>
  <si>
    <t>Final Year in Cost Curve</t>
  </si>
  <si>
    <t>Source Data Tab Name</t>
  </si>
  <si>
    <t>Output First Year NPV of Capital Fuel and OM Expenditures through This Year</t>
  </si>
  <si>
    <t>Cumulative Abatement due to Disabled Policy Group</t>
  </si>
  <si>
    <t>Scaled Cumulative Abatement due to Disabled Policy Group</t>
  </si>
  <si>
    <t>Annual Average Scaled Cumulative Abatement due to Disabled Policy Group</t>
  </si>
  <si>
    <t>Cumulative Emissions through User-Specified Year</t>
  </si>
  <si>
    <t>NPV Cost through User-Specified Year</t>
  </si>
  <si>
    <t>Change in NPV Cost due to Disabled Policy Group</t>
  </si>
  <si>
    <t>Policy</t>
  </si>
  <si>
    <t>Min Abatement Threshold</t>
  </si>
  <si>
    <t>Remove Policy Groups Contributing Abatement Under Min Threshold</t>
  </si>
  <si>
    <t>Cost per Ton (currency/metric ton)</t>
  </si>
  <si>
    <t>Abatement (metric tons)</t>
  </si>
  <si>
    <t>Box width unit multiplier</t>
  </si>
  <si>
    <t>Cumulative Width</t>
  </si>
  <si>
    <t>&lt;–– Use the filter to sort "Cost per Ton" from Smallest to Largest</t>
  </si>
  <si>
    <t>The X axis of the cost curve is a "date" axis in Excel and can only show integer values.  Therefore, we multiply the widths of all boxes by a fixed multiplier that is large enough to ensure that</t>
  </si>
  <si>
    <t>Excel's rounding of box widths to integer values doesn't drop boxes or introduce distortion.  Note that a multiplier of 1000+ can cause Excel slowdowns, failure to update the graph, or crashes.</t>
  </si>
  <si>
    <t>Cost Curve Generator</t>
  </si>
  <si>
    <t>This Excel file allows you to generate a cost curve diagram, similar to the one generated</t>
  </si>
  <si>
    <t>by the web interface.  This file requires a regular installation of Excel and does not</t>
  </si>
  <si>
    <t>require plug-ins nor macros.</t>
  </si>
  <si>
    <t>that are included with the model.  To visualize the cost curve for one of these</t>
  </si>
  <si>
    <t>scenarios:</t>
  </si>
  <si>
    <t>1. On the "Calculations" tab, enter the name of the tab containing the scenario data</t>
  </si>
  <si>
    <t>in the cell under "Source Data Tab Name".  Be sure the First Simulated Year is accurate.</t>
  </si>
  <si>
    <t>2. To cause the cost curve to only consider abatement and costs from the first simulated</t>
  </si>
  <si>
    <t>year up through a particular year before the end of the model run (such as 2030 or 2040),</t>
  </si>
  <si>
    <t>enter that year in the cell under "Final Year in Cost Curve".</t>
  </si>
  <si>
    <t>3. On the "Cost Curve" tab, use the filter in the "Cost per Ton" cell to sort from Smallest</t>
  </si>
  <si>
    <t>to Largest.</t>
  </si>
  <si>
    <t>Note that this tool is currently limited to displaying up to 25 policy groups.</t>
  </si>
  <si>
    <t>(A policy group is a set of policies configured to be enabled or disabled together</t>
  </si>
  <si>
    <t>in the CreateContributionTestScript.py Python script.)</t>
  </si>
  <si>
    <t>This file comes pre-loaded with data from one or more reference scenarios</t>
  </si>
  <si>
    <t>Creating a Cost Curve from Existing Data</t>
  </si>
  <si>
    <t>Generating Data for a Cost Curve</t>
  </si>
  <si>
    <t>To generate data for a cost curve (for example, to create one for your own custom</t>
  </si>
  <si>
    <t>scenario):</t>
  </si>
  <si>
    <t>1. Ensure the file OutputVarsToExport.lst contains only two lines.  The first should be:</t>
  </si>
  <si>
    <t>The second can be either of the following two options:</t>
  </si>
  <si>
    <t>2. Create a copy of CreateContributionTestScript.py and set up your scenario's policy settings in the</t>
  </si>
  <si>
    <t>policy implementation schedule.</t>
  </si>
  <si>
    <t>3. In Python 3, run CreateContributionTestScript.py, to obtain a GeneratedContributionTestScript.cmd file.</t>
  </si>
  <si>
    <t>4. In Vensim DSS, run the GeneratedContributionTestScript.cmd file.  It produces a tab-separated values out</t>
  </si>
  <si>
    <t>file called ContributionTestResults.tsv.</t>
  </si>
  <si>
    <t>5. Copy the data from ContributionTestResult.tsv into a new tab in this file.  Give the tab a descriptive</t>
  </si>
  <si>
    <t>name.  Then follow the directions above for "Creating a Cost Curve from Existing Data"</t>
  </si>
  <si>
    <t>Python file.  Don't forget to specify the implementation schedule file number, if you're using a non-default</t>
  </si>
  <si>
    <t>DisabledPolicies=Building Energy Efficiency Standards - Urban Residential Heating, Building Energy Efficiency Standards - Urban Residential Cooling and Ventilation, Building Energy Efficiency Standards - Urban Residential Envelope, Building Energy Efficiency Standards - Urban Residential Lighting, Building Energy Efficiency Standards - Urban Residential Appliances, Building Energy Efficiency Standards - Urban Residential Other Components, Building Energy Efficiency Standards - Rural Residential Heating, Building Energy Efficiency Standards - Rural Residential Cooling and Ventilation, Building Energy Efficiency Standards - Rural Residential Envelope, Building Energy Efficiency Standards - Rural Residential Lighting, Building Energy Efficiency Standards - Rural Residential Appliances, Building Energy Efficiency Standards - Rural Residential Other Components, Building Energy Efficiency Standards - Commercial Heating, Building Energy Efficiency Standards - Commercial Cooling and Ventilation, Building Energy Efficiency Standards - Commercial Envelope, Building Energy Efficiency Standards - Commercial Lighting, Building Energy Efficiency Standards - Commercial Appliances, Building Energy Efficiency Standards - Commercial Other Components</t>
  </si>
  <si>
    <t>DisabledPolicies=Improved Labeling</t>
  </si>
  <si>
    <t>DisabledPolicies=Demand Response</t>
  </si>
  <si>
    <t>DisabledPolicies=Increase Transmission</t>
  </si>
  <si>
    <t>DisabledPolicies=Renewable Portfolio Standard</t>
  </si>
  <si>
    <t>DisabledPolicies=Cogeneration and Waste Heat Recovery</t>
  </si>
  <si>
    <t>DisabledPolicies=Carbon Tax - Transportation Sector, Carbon Tax - Electricity Sector, Carbon Tax - Residential Bldg Sector, Carbon Tax - Commercial Bldg Sector, Carbon Tax - Industry Sector</t>
  </si>
  <si>
    <t>1.4.3-us-RevNeuCTax-EI</t>
  </si>
  <si>
    <t>DisabledPolicyGroup=EV Sales Mandate</t>
  </si>
  <si>
    <t>DisabledPolicies=Electric Vehicle Sales Mandate - Passenger LDVs</t>
  </si>
  <si>
    <t>DisabledPolicyGroup=EV Subsidy</t>
  </si>
  <si>
    <t>DisabledPolicies=Electric Vehicle Subsidy - Passenger LDVs</t>
  </si>
  <si>
    <t>DisabledPolicies=Transportation Demand Management - Passengers</t>
  </si>
  <si>
    <t>DisabledPolicyGroup=Building Component Electrification</t>
  </si>
  <si>
    <t>DisabledPolicies=Building Component Electrification - Urban Residential, Building Component Electrification - Rural Residential, Building Component Electrification - Commercial</t>
  </si>
  <si>
    <t>DisabledPolicyGroup=Contractor Training</t>
  </si>
  <si>
    <t>DisabledPolicies=Contractor Training</t>
  </si>
  <si>
    <t>DisabledPolicyGroup=Increased Retrofitting</t>
  </si>
  <si>
    <t>DisabledPolicies=Increased Retrofitting - Heating, Increased Retrofitting - Cooling and Ventilation, Increased Retrofitting - Envelope</t>
  </si>
  <si>
    <t>DisabledPolicyGroup=Grid-Scale Electricity Storage</t>
  </si>
  <si>
    <t>DisabledPolicies=Grid-Scale Electricity Storage</t>
  </si>
  <si>
    <t>DisabledPolicyGroup=Subsidy for Electricity Production</t>
  </si>
  <si>
    <t>DisabledPolicies=Subsidy for Electricity Production - Offshore Wind</t>
  </si>
  <si>
    <t>DisabledPolicies=Industry Energy Efficiency Standards - Cement, Industry Energy Efficiency Standards - Natural Gas and Petroleum, Industry Energy Efficiency Standards - Iron and Steel, Industry Energy Efficiency Standards - Chemicals</t>
  </si>
  <si>
    <t>DisabledPolicies=Methane Capture</t>
  </si>
  <si>
    <t>DisabledPolicies=Fuel Economy Standard - Gasoline Engine LDVs, Fuel Economy Standard - Diesel Engine HDVs, Fuel Economy Standard - Gasoline Engine LDVs, Fuel Economy Standard - Diesel Engine HDVs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</si>
</sst>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0.0"/>
    <numFmt numFmtId="165" formatCode="0.0%"/>
  </numFmts>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9"/>
      <color indexed="81"/>
      <name val="Tahoma"/>
      <family val="2"/>
    </font>
    <font>
      <b/>
      <sz val="9"/>
      <color indexed="81"/>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rgb="FF92D050"/>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7">
    <xf numFmtId="0" fontId="0" fillId="0" borderId="0" xfId="0"/>
    <xf numFmtId="11" fontId="0" fillId="0" borderId="0" xfId="0" applyNumberFormat="1"/>
    <xf numFmtId="0" fontId="16" fillId="0" borderId="0" xfId="0" applyFont="1"/>
    <xf numFmtId="0" fontId="16" fillId="0" borderId="0" xfId="0" applyFont="1" applyAlignment="1">
      <alignment wrapText="1"/>
    </xf>
    <xf numFmtId="0" fontId="16" fillId="0" borderId="0" xfId="0" applyFont="1" applyAlignment="1">
      <alignment horizontal="right" wrapText="1"/>
    </xf>
    <xf numFmtId="0" fontId="0" fillId="0" borderId="0" xfId="0" applyAlignment="1">
      <alignment wrapText="1"/>
    </xf>
    <xf numFmtId="1" fontId="0" fillId="0" borderId="0" xfId="0" applyNumberFormat="1"/>
    <xf numFmtId="0" fontId="16" fillId="33" borderId="0" xfId="0" applyFont="1" applyFill="1" applyAlignment="1">
      <alignment horizontal="right" wrapText="1"/>
    </xf>
    <xf numFmtId="1" fontId="0" fillId="33" borderId="0" xfId="0" applyNumberFormat="1" applyFill="1"/>
    <xf numFmtId="0" fontId="0" fillId="33" borderId="0" xfId="0" applyFill="1"/>
    <xf numFmtId="0" fontId="18" fillId="0" borderId="0" xfId="0" applyFont="1" applyAlignment="1">
      <alignment wrapText="1"/>
    </xf>
    <xf numFmtId="164" fontId="0" fillId="0" borderId="0" xfId="1" applyNumberFormat="1" applyFont="1"/>
    <xf numFmtId="0" fontId="0" fillId="33" borderId="0" xfId="0" applyFill="1" applyAlignment="1">
      <alignment wrapText="1"/>
    </xf>
    <xf numFmtId="0" fontId="0" fillId="0" borderId="0" xfId="0" applyAlignment="1">
      <alignment horizontal="left"/>
    </xf>
    <xf numFmtId="0" fontId="16" fillId="33" borderId="0" xfId="0" applyFont="1" applyFill="1"/>
    <xf numFmtId="0" fontId="0" fillId="0" borderId="0" xfId="0" applyAlignment="1">
      <alignment horizontal="right"/>
    </xf>
    <xf numFmtId="164" fontId="0" fillId="0" borderId="0" xfId="1" applyNumberFormat="1" applyFont="1" applyAlignment="1">
      <alignment horizontal="right"/>
    </xf>
    <xf numFmtId="0" fontId="16" fillId="0" borderId="0" xfId="0" applyFont="1" applyAlignment="1">
      <alignment horizontal="left" wrapText="1"/>
    </xf>
    <xf numFmtId="0" fontId="16" fillId="0" borderId="0" xfId="0" applyFont="1" applyAlignment="1">
      <alignment horizontal="left"/>
    </xf>
    <xf numFmtId="0" fontId="0" fillId="34" borderId="10" xfId="0" applyFill="1" applyBorder="1" applyAlignment="1">
      <alignment horizontal="left"/>
    </xf>
    <xf numFmtId="1" fontId="0" fillId="35" borderId="0" xfId="0" applyNumberFormat="1" applyFill="1"/>
    <xf numFmtId="0" fontId="0" fillId="33" borderId="0" xfId="0" applyFill="1" applyAlignment="1">
      <alignment horizontal="left"/>
    </xf>
    <xf numFmtId="0" fontId="0" fillId="33" borderId="0" xfId="0" applyFill="1" applyAlignment="1">
      <alignment horizontal="right"/>
    </xf>
    <xf numFmtId="11" fontId="0" fillId="33" borderId="0" xfId="0" applyNumberFormat="1" applyFill="1"/>
    <xf numFmtId="164" fontId="0" fillId="33" borderId="0" xfId="1" applyNumberFormat="1" applyFont="1" applyFill="1"/>
    <xf numFmtId="1" fontId="0" fillId="0" borderId="0" xfId="0" applyNumberFormat="1" applyAlignment="1">
      <alignment horizontal="right"/>
    </xf>
    <xf numFmtId="1" fontId="0" fillId="33" borderId="0" xfId="0" applyNumberFormat="1" applyFill="1" applyAlignment="1">
      <alignment horizontal="right"/>
    </xf>
    <xf numFmtId="11" fontId="0" fillId="0" borderId="0" xfId="0" applyNumberFormat="1" applyAlignment="1">
      <alignment horizontal="right"/>
    </xf>
    <xf numFmtId="0" fontId="0" fillId="0" borderId="13" xfId="0" applyBorder="1"/>
    <xf numFmtId="0" fontId="0" fillId="0" borderId="15" xfId="0" applyBorder="1"/>
    <xf numFmtId="0" fontId="16" fillId="33" borderId="11" xfId="0" applyFont="1" applyFill="1" applyBorder="1"/>
    <xf numFmtId="0" fontId="16" fillId="33" borderId="0" xfId="0" applyFont="1" applyFill="1" applyBorder="1"/>
    <xf numFmtId="0" fontId="16" fillId="34" borderId="0" xfId="0" applyFont="1" applyFill="1" applyBorder="1"/>
    <xf numFmtId="1" fontId="0" fillId="0" borderId="0" xfId="0" applyNumberFormat="1" applyBorder="1" applyAlignment="1">
      <alignment horizontal="right"/>
    </xf>
    <xf numFmtId="2" fontId="0" fillId="0" borderId="14" xfId="0" applyNumberFormat="1" applyBorder="1" applyAlignment="1">
      <alignment horizontal="right"/>
    </xf>
    <xf numFmtId="0" fontId="0" fillId="0" borderId="14" xfId="0" applyBorder="1" applyAlignment="1">
      <alignment horizontal="right"/>
    </xf>
    <xf numFmtId="0" fontId="0" fillId="34" borderId="0" xfId="0" applyFill="1"/>
    <xf numFmtId="0" fontId="16" fillId="0" borderId="0" xfId="0" applyFont="1" applyBorder="1"/>
    <xf numFmtId="2" fontId="0" fillId="36" borderId="0" xfId="0" applyNumberFormat="1" applyFill="1"/>
    <xf numFmtId="0" fontId="0" fillId="36" borderId="0" xfId="0" applyFill="1"/>
    <xf numFmtId="0" fontId="0" fillId="0" borderId="0" xfId="0" applyFont="1" applyBorder="1"/>
    <xf numFmtId="165" fontId="16" fillId="34" borderId="10" xfId="0" applyNumberFormat="1" applyFont="1" applyFill="1" applyBorder="1" applyAlignment="1">
      <alignment horizontal="left"/>
    </xf>
    <xf numFmtId="1" fontId="0" fillId="0" borderId="0" xfId="0" applyNumberFormat="1" applyFont="1"/>
    <xf numFmtId="164" fontId="0" fillId="0" borderId="0" xfId="0" applyNumberFormat="1" applyBorder="1" applyAlignment="1">
      <alignment horizontal="right"/>
    </xf>
    <xf numFmtId="0" fontId="16" fillId="0" borderId="0" xfId="0" applyFont="1" applyFill="1"/>
    <xf numFmtId="0" fontId="16" fillId="37" borderId="18" xfId="0" applyFont="1" applyFill="1" applyBorder="1"/>
    <xf numFmtId="0" fontId="0" fillId="37" borderId="19" xfId="0" applyFill="1" applyBorder="1" applyAlignment="1">
      <alignment horizontal="left"/>
    </xf>
    <xf numFmtId="0" fontId="16" fillId="33" borderId="12" xfId="0" applyFont="1" applyFill="1" applyBorder="1" applyAlignment="1">
      <alignment wrapText="1"/>
    </xf>
    <xf numFmtId="0" fontId="16" fillId="34" borderId="10" xfId="0" applyFont="1" applyFill="1" applyBorder="1" applyAlignment="1">
      <alignment wrapText="1"/>
    </xf>
    <xf numFmtId="1" fontId="18" fillId="0" borderId="0" xfId="0" applyNumberFormat="1" applyFont="1"/>
    <xf numFmtId="0" fontId="18" fillId="0" borderId="0" xfId="0" applyFont="1"/>
    <xf numFmtId="0" fontId="16" fillId="38" borderId="0" xfId="0" applyFont="1" applyFill="1" applyAlignment="1">
      <alignment horizontal="right"/>
    </xf>
    <xf numFmtId="0" fontId="0" fillId="36" borderId="0" xfId="0" applyFill="1" applyAlignment="1">
      <alignment horizontal="left" indent="3"/>
    </xf>
    <xf numFmtId="0" fontId="0" fillId="0" borderId="0" xfId="0"/>
    <xf numFmtId="11" fontId="0" fillId="0" borderId="0" xfId="0" applyNumberFormat="1"/>
    <xf numFmtId="164" fontId="0" fillId="0" borderId="16" xfId="0" applyNumberFormat="1" applyBorder="1" applyAlignment="1">
      <alignment horizontal="right"/>
    </xf>
    <xf numFmtId="2" fontId="0" fillId="0" borderId="17" xfId="0" applyNumberFormat="1" applyBorder="1" applyAlignment="1">
      <alignment horizontal="right"/>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'Cost Curve'!$B$41</c:f>
              <c:strCache>
                <c:ptCount val="1"/>
                <c:pt idx="0">
                  <c:v>Transportation Demand Management</c:v>
                </c:pt>
              </c:strCache>
            </c:strRef>
          </c:tx>
          <c:spPr>
            <a:solidFill>
              <a:schemeClr val="accent1"/>
            </a:solidFill>
            <a:ln>
              <a:noFill/>
            </a:ln>
            <a:effectLst/>
          </c:spPr>
          <c:cat>
            <c:numRef>
              <c:f>'Cost Curve'!$A$42:$A$93</c:f>
              <c:numCache>
                <c:formatCode>0</c:formatCode>
                <c:ptCount val="52"/>
                <c:pt idx="0">
                  <c:v>0</c:v>
                </c:pt>
                <c:pt idx="1">
                  <c:v>0</c:v>
                </c:pt>
                <c:pt idx="2">
                  <c:v>3076.8528900250658</c:v>
                </c:pt>
                <c:pt idx="3">
                  <c:v>3076.8528900250658</c:v>
                </c:pt>
                <c:pt idx="4">
                  <c:v>5223.4944412053446</c:v>
                </c:pt>
                <c:pt idx="5">
                  <c:v>5223.4944412053446</c:v>
                </c:pt>
                <c:pt idx="6">
                  <c:v>5964.5968814937742</c:v>
                </c:pt>
                <c:pt idx="7">
                  <c:v>5964.5968814937742</c:v>
                </c:pt>
                <c:pt idx="8">
                  <c:v>8065.2389708630471</c:v>
                </c:pt>
                <c:pt idx="9">
                  <c:v>8065.2389708630471</c:v>
                </c:pt>
                <c:pt idx="10">
                  <c:v>10462.32203634769</c:v>
                </c:pt>
                <c:pt idx="11">
                  <c:v>10462.32203634769</c:v>
                </c:pt>
                <c:pt idx="12">
                  <c:v>14586.940445401226</c:v>
                </c:pt>
                <c:pt idx="13">
                  <c:v>14586.940445401226</c:v>
                </c:pt>
                <c:pt idx="14">
                  <c:v>17326.463948812248</c:v>
                </c:pt>
                <c:pt idx="15">
                  <c:v>17326.463948812248</c:v>
                </c:pt>
                <c:pt idx="16">
                  <c:v>96885.088676603234</c:v>
                </c:pt>
                <c:pt idx="17">
                  <c:v>96885.088676603234</c:v>
                </c:pt>
                <c:pt idx="18">
                  <c:v>120717.92094601666</c:v>
                </c:pt>
                <c:pt idx="19">
                  <c:v>120717.92094601666</c:v>
                </c:pt>
                <c:pt idx="20">
                  <c:v>143380.32246490559</c:v>
                </c:pt>
                <c:pt idx="21">
                  <c:v>143380.32246490559</c:v>
                </c:pt>
                <c:pt idx="22">
                  <c:v>144775.63947317278</c:v>
                </c:pt>
                <c:pt idx="23">
                  <c:v>144775.63947317278</c:v>
                </c:pt>
                <c:pt idx="24">
                  <c:v>164785.40536096037</c:v>
                </c:pt>
                <c:pt idx="25">
                  <c:v>164785.40536096037</c:v>
                </c:pt>
                <c:pt idx="26">
                  <c:v>167407.3746841877</c:v>
                </c:pt>
                <c:pt idx="27">
                  <c:v>167407.3746841877</c:v>
                </c:pt>
                <c:pt idx="28">
                  <c:v>186481.81818181818</c:v>
                </c:pt>
                <c:pt idx="29">
                  <c:v>186481.81818181818</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Curve'!$B$42:$B$93</c:f>
              <c:numCache>
                <c:formatCode>0.00</c:formatCode>
                <c:ptCount val="52"/>
                <c:pt idx="1">
                  <c:v>-1015.9288559090555</c:v>
                </c:pt>
                <c:pt idx="2">
                  <c:v>-1015.9288559090555</c:v>
                </c:pt>
              </c:numCache>
            </c:numRef>
          </c:val>
          <c:extLst>
            <c:ext xmlns:c16="http://schemas.microsoft.com/office/drawing/2014/chart" uri="{C3380CC4-5D6E-409C-BE32-E72D297353CC}">
              <c16:uniqueId val="{00000000-492B-49FD-90E0-AB2E19DD36BE}"/>
            </c:ext>
          </c:extLst>
        </c:ser>
        <c:ser>
          <c:idx val="1"/>
          <c:order val="1"/>
          <c:tx>
            <c:strRef>
              <c:f>'Cost Curve'!$C$41</c:f>
              <c:strCache>
                <c:ptCount val="1"/>
                <c:pt idx="0">
                  <c:v>Building Energy Efficiency Standards</c:v>
                </c:pt>
              </c:strCache>
            </c:strRef>
          </c:tx>
          <c:spPr>
            <a:solidFill>
              <a:schemeClr val="accent2"/>
            </a:solidFill>
            <a:ln>
              <a:noFill/>
            </a:ln>
            <a:effectLst/>
          </c:spPr>
          <c:cat>
            <c:numRef>
              <c:f>'Cost Curve'!$A$42:$A$93</c:f>
              <c:numCache>
                <c:formatCode>0</c:formatCode>
                <c:ptCount val="52"/>
                <c:pt idx="0">
                  <c:v>0</c:v>
                </c:pt>
                <c:pt idx="1">
                  <c:v>0</c:v>
                </c:pt>
                <c:pt idx="2">
                  <c:v>3076.8528900250658</c:v>
                </c:pt>
                <c:pt idx="3">
                  <c:v>3076.8528900250658</c:v>
                </c:pt>
                <c:pt idx="4">
                  <c:v>5223.4944412053446</c:v>
                </c:pt>
                <c:pt idx="5">
                  <c:v>5223.4944412053446</c:v>
                </c:pt>
                <c:pt idx="6">
                  <c:v>5964.5968814937742</c:v>
                </c:pt>
                <c:pt idx="7">
                  <c:v>5964.5968814937742</c:v>
                </c:pt>
                <c:pt idx="8">
                  <c:v>8065.2389708630471</c:v>
                </c:pt>
                <c:pt idx="9">
                  <c:v>8065.2389708630471</c:v>
                </c:pt>
                <c:pt idx="10">
                  <c:v>10462.32203634769</c:v>
                </c:pt>
                <c:pt idx="11">
                  <c:v>10462.32203634769</c:v>
                </c:pt>
                <c:pt idx="12">
                  <c:v>14586.940445401226</c:v>
                </c:pt>
                <c:pt idx="13">
                  <c:v>14586.940445401226</c:v>
                </c:pt>
                <c:pt idx="14">
                  <c:v>17326.463948812248</c:v>
                </c:pt>
                <c:pt idx="15">
                  <c:v>17326.463948812248</c:v>
                </c:pt>
                <c:pt idx="16">
                  <c:v>96885.088676603234</c:v>
                </c:pt>
                <c:pt idx="17">
                  <c:v>96885.088676603234</c:v>
                </c:pt>
                <c:pt idx="18">
                  <c:v>120717.92094601666</c:v>
                </c:pt>
                <c:pt idx="19">
                  <c:v>120717.92094601666</c:v>
                </c:pt>
                <c:pt idx="20">
                  <c:v>143380.32246490559</c:v>
                </c:pt>
                <c:pt idx="21">
                  <c:v>143380.32246490559</c:v>
                </c:pt>
                <c:pt idx="22">
                  <c:v>144775.63947317278</c:v>
                </c:pt>
                <c:pt idx="23">
                  <c:v>144775.63947317278</c:v>
                </c:pt>
                <c:pt idx="24">
                  <c:v>164785.40536096037</c:v>
                </c:pt>
                <c:pt idx="25">
                  <c:v>164785.40536096037</c:v>
                </c:pt>
                <c:pt idx="26">
                  <c:v>167407.3746841877</c:v>
                </c:pt>
                <c:pt idx="27">
                  <c:v>167407.3746841877</c:v>
                </c:pt>
                <c:pt idx="28">
                  <c:v>186481.81818181818</c:v>
                </c:pt>
                <c:pt idx="29">
                  <c:v>186481.81818181818</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Curve'!$C$42:$C$93</c:f>
              <c:numCache>
                <c:formatCode>General</c:formatCode>
                <c:ptCount val="52"/>
                <c:pt idx="3" formatCode="0.00">
                  <c:v>-523.62893830393273</c:v>
                </c:pt>
                <c:pt idx="4" formatCode="0.00">
                  <c:v>-523.62893830393273</c:v>
                </c:pt>
              </c:numCache>
            </c:numRef>
          </c:val>
          <c:extLst>
            <c:ext xmlns:c16="http://schemas.microsoft.com/office/drawing/2014/chart" uri="{C3380CC4-5D6E-409C-BE32-E72D297353CC}">
              <c16:uniqueId val="{00000001-492B-49FD-90E0-AB2E19DD36BE}"/>
            </c:ext>
          </c:extLst>
        </c:ser>
        <c:ser>
          <c:idx val="2"/>
          <c:order val="2"/>
          <c:tx>
            <c:strRef>
              <c:f>'Cost Curve'!$D$41</c:f>
              <c:strCache>
                <c:ptCount val="1"/>
                <c:pt idx="0">
                  <c:v>Contractor Training</c:v>
                </c:pt>
              </c:strCache>
            </c:strRef>
          </c:tx>
          <c:spPr>
            <a:solidFill>
              <a:schemeClr val="accent3"/>
            </a:solidFill>
            <a:ln>
              <a:noFill/>
            </a:ln>
            <a:effectLst/>
          </c:spPr>
          <c:cat>
            <c:numRef>
              <c:f>'Cost Curve'!$A$42:$A$93</c:f>
              <c:numCache>
                <c:formatCode>0</c:formatCode>
                <c:ptCount val="52"/>
                <c:pt idx="0">
                  <c:v>0</c:v>
                </c:pt>
                <c:pt idx="1">
                  <c:v>0</c:v>
                </c:pt>
                <c:pt idx="2">
                  <c:v>3076.8528900250658</c:v>
                </c:pt>
                <c:pt idx="3">
                  <c:v>3076.8528900250658</c:v>
                </c:pt>
                <c:pt idx="4">
                  <c:v>5223.4944412053446</c:v>
                </c:pt>
                <c:pt idx="5">
                  <c:v>5223.4944412053446</c:v>
                </c:pt>
                <c:pt idx="6">
                  <c:v>5964.5968814937742</c:v>
                </c:pt>
                <c:pt idx="7">
                  <c:v>5964.5968814937742</c:v>
                </c:pt>
                <c:pt idx="8">
                  <c:v>8065.2389708630471</c:v>
                </c:pt>
                <c:pt idx="9">
                  <c:v>8065.2389708630471</c:v>
                </c:pt>
                <c:pt idx="10">
                  <c:v>10462.32203634769</c:v>
                </c:pt>
                <c:pt idx="11">
                  <c:v>10462.32203634769</c:v>
                </c:pt>
                <c:pt idx="12">
                  <c:v>14586.940445401226</c:v>
                </c:pt>
                <c:pt idx="13">
                  <c:v>14586.940445401226</c:v>
                </c:pt>
                <c:pt idx="14">
                  <c:v>17326.463948812248</c:v>
                </c:pt>
                <c:pt idx="15">
                  <c:v>17326.463948812248</c:v>
                </c:pt>
                <c:pt idx="16">
                  <c:v>96885.088676603234</c:v>
                </c:pt>
                <c:pt idx="17">
                  <c:v>96885.088676603234</c:v>
                </c:pt>
                <c:pt idx="18">
                  <c:v>120717.92094601666</c:v>
                </c:pt>
                <c:pt idx="19">
                  <c:v>120717.92094601666</c:v>
                </c:pt>
                <c:pt idx="20">
                  <c:v>143380.32246490559</c:v>
                </c:pt>
                <c:pt idx="21">
                  <c:v>143380.32246490559</c:v>
                </c:pt>
                <c:pt idx="22">
                  <c:v>144775.63947317278</c:v>
                </c:pt>
                <c:pt idx="23">
                  <c:v>144775.63947317278</c:v>
                </c:pt>
                <c:pt idx="24">
                  <c:v>164785.40536096037</c:v>
                </c:pt>
                <c:pt idx="25">
                  <c:v>164785.40536096037</c:v>
                </c:pt>
                <c:pt idx="26">
                  <c:v>167407.3746841877</c:v>
                </c:pt>
                <c:pt idx="27">
                  <c:v>167407.3746841877</c:v>
                </c:pt>
                <c:pt idx="28">
                  <c:v>186481.81818181818</c:v>
                </c:pt>
                <c:pt idx="29">
                  <c:v>186481.81818181818</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Curve'!$D$42:$D$93</c:f>
              <c:numCache>
                <c:formatCode>General</c:formatCode>
                <c:ptCount val="52"/>
                <c:pt idx="5" formatCode="0.00">
                  <c:v>-369.91982477049874</c:v>
                </c:pt>
                <c:pt idx="6" formatCode="0.00">
                  <c:v>-369.91982477049874</c:v>
                </c:pt>
              </c:numCache>
            </c:numRef>
          </c:val>
          <c:extLst>
            <c:ext xmlns:c16="http://schemas.microsoft.com/office/drawing/2014/chart" uri="{C3380CC4-5D6E-409C-BE32-E72D297353CC}">
              <c16:uniqueId val="{00000002-492B-49FD-90E0-AB2E19DD36BE}"/>
            </c:ext>
          </c:extLst>
        </c:ser>
        <c:ser>
          <c:idx val="3"/>
          <c:order val="3"/>
          <c:tx>
            <c:strRef>
              <c:f>'Cost Curve'!$E$41</c:f>
              <c:strCache>
                <c:ptCount val="1"/>
                <c:pt idx="0">
                  <c:v>Improved Labeling</c:v>
                </c:pt>
              </c:strCache>
            </c:strRef>
          </c:tx>
          <c:spPr>
            <a:solidFill>
              <a:schemeClr val="accent4"/>
            </a:solidFill>
            <a:ln>
              <a:noFill/>
            </a:ln>
            <a:effectLst/>
          </c:spPr>
          <c:cat>
            <c:numRef>
              <c:f>'Cost Curve'!$A$42:$A$93</c:f>
              <c:numCache>
                <c:formatCode>0</c:formatCode>
                <c:ptCount val="52"/>
                <c:pt idx="0">
                  <c:v>0</c:v>
                </c:pt>
                <c:pt idx="1">
                  <c:v>0</c:v>
                </c:pt>
                <c:pt idx="2">
                  <c:v>3076.8528900250658</c:v>
                </c:pt>
                <c:pt idx="3">
                  <c:v>3076.8528900250658</c:v>
                </c:pt>
                <c:pt idx="4">
                  <c:v>5223.4944412053446</c:v>
                </c:pt>
                <c:pt idx="5">
                  <c:v>5223.4944412053446</c:v>
                </c:pt>
                <c:pt idx="6">
                  <c:v>5964.5968814937742</c:v>
                </c:pt>
                <c:pt idx="7">
                  <c:v>5964.5968814937742</c:v>
                </c:pt>
                <c:pt idx="8">
                  <c:v>8065.2389708630471</c:v>
                </c:pt>
                <c:pt idx="9">
                  <c:v>8065.2389708630471</c:v>
                </c:pt>
                <c:pt idx="10">
                  <c:v>10462.32203634769</c:v>
                </c:pt>
                <c:pt idx="11">
                  <c:v>10462.32203634769</c:v>
                </c:pt>
                <c:pt idx="12">
                  <c:v>14586.940445401226</c:v>
                </c:pt>
                <c:pt idx="13">
                  <c:v>14586.940445401226</c:v>
                </c:pt>
                <c:pt idx="14">
                  <c:v>17326.463948812248</c:v>
                </c:pt>
                <c:pt idx="15">
                  <c:v>17326.463948812248</c:v>
                </c:pt>
                <c:pt idx="16">
                  <c:v>96885.088676603234</c:v>
                </c:pt>
                <c:pt idx="17">
                  <c:v>96885.088676603234</c:v>
                </c:pt>
                <c:pt idx="18">
                  <c:v>120717.92094601666</c:v>
                </c:pt>
                <c:pt idx="19">
                  <c:v>120717.92094601666</c:v>
                </c:pt>
                <c:pt idx="20">
                  <c:v>143380.32246490559</c:v>
                </c:pt>
                <c:pt idx="21">
                  <c:v>143380.32246490559</c:v>
                </c:pt>
                <c:pt idx="22">
                  <c:v>144775.63947317278</c:v>
                </c:pt>
                <c:pt idx="23">
                  <c:v>144775.63947317278</c:v>
                </c:pt>
                <c:pt idx="24">
                  <c:v>164785.40536096037</c:v>
                </c:pt>
                <c:pt idx="25">
                  <c:v>164785.40536096037</c:v>
                </c:pt>
                <c:pt idx="26">
                  <c:v>167407.3746841877</c:v>
                </c:pt>
                <c:pt idx="27">
                  <c:v>167407.3746841877</c:v>
                </c:pt>
                <c:pt idx="28">
                  <c:v>186481.81818181818</c:v>
                </c:pt>
                <c:pt idx="29">
                  <c:v>186481.81818181818</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Curve'!$E$42:$E$93</c:f>
              <c:numCache>
                <c:formatCode>General</c:formatCode>
                <c:ptCount val="52"/>
                <c:pt idx="7" formatCode="0.00">
                  <c:v>-210.96868391452668</c:v>
                </c:pt>
                <c:pt idx="8" formatCode="0.00">
                  <c:v>-210.96868391452668</c:v>
                </c:pt>
              </c:numCache>
            </c:numRef>
          </c:val>
          <c:extLst>
            <c:ext xmlns:c16="http://schemas.microsoft.com/office/drawing/2014/chart" uri="{C3380CC4-5D6E-409C-BE32-E72D297353CC}">
              <c16:uniqueId val="{00000003-492B-49FD-90E0-AB2E19DD36BE}"/>
            </c:ext>
          </c:extLst>
        </c:ser>
        <c:ser>
          <c:idx val="4"/>
          <c:order val="4"/>
          <c:tx>
            <c:strRef>
              <c:f>'Cost Curve'!$F$41</c:f>
              <c:strCache>
                <c:ptCount val="1"/>
                <c:pt idx="0">
                  <c:v>Cogeneration and Waste Heat Recovery</c:v>
                </c:pt>
              </c:strCache>
            </c:strRef>
          </c:tx>
          <c:spPr>
            <a:solidFill>
              <a:schemeClr val="accent5"/>
            </a:solidFill>
            <a:ln>
              <a:noFill/>
            </a:ln>
            <a:effectLst/>
          </c:spPr>
          <c:cat>
            <c:numRef>
              <c:f>'Cost Curve'!$A$42:$A$93</c:f>
              <c:numCache>
                <c:formatCode>0</c:formatCode>
                <c:ptCount val="52"/>
                <c:pt idx="0">
                  <c:v>0</c:v>
                </c:pt>
                <c:pt idx="1">
                  <c:v>0</c:v>
                </c:pt>
                <c:pt idx="2">
                  <c:v>3076.8528900250658</c:v>
                </c:pt>
                <c:pt idx="3">
                  <c:v>3076.8528900250658</c:v>
                </c:pt>
                <c:pt idx="4">
                  <c:v>5223.4944412053446</c:v>
                </c:pt>
                <c:pt idx="5">
                  <c:v>5223.4944412053446</c:v>
                </c:pt>
                <c:pt idx="6">
                  <c:v>5964.5968814937742</c:v>
                </c:pt>
                <c:pt idx="7">
                  <c:v>5964.5968814937742</c:v>
                </c:pt>
                <c:pt idx="8">
                  <c:v>8065.2389708630471</c:v>
                </c:pt>
                <c:pt idx="9">
                  <c:v>8065.2389708630471</c:v>
                </c:pt>
                <c:pt idx="10">
                  <c:v>10462.32203634769</c:v>
                </c:pt>
                <c:pt idx="11">
                  <c:v>10462.32203634769</c:v>
                </c:pt>
                <c:pt idx="12">
                  <c:v>14586.940445401226</c:v>
                </c:pt>
                <c:pt idx="13">
                  <c:v>14586.940445401226</c:v>
                </c:pt>
                <c:pt idx="14">
                  <c:v>17326.463948812248</c:v>
                </c:pt>
                <c:pt idx="15">
                  <c:v>17326.463948812248</c:v>
                </c:pt>
                <c:pt idx="16">
                  <c:v>96885.088676603234</c:v>
                </c:pt>
                <c:pt idx="17">
                  <c:v>96885.088676603234</c:v>
                </c:pt>
                <c:pt idx="18">
                  <c:v>120717.92094601666</c:v>
                </c:pt>
                <c:pt idx="19">
                  <c:v>120717.92094601666</c:v>
                </c:pt>
                <c:pt idx="20">
                  <c:v>143380.32246490559</c:v>
                </c:pt>
                <c:pt idx="21">
                  <c:v>143380.32246490559</c:v>
                </c:pt>
                <c:pt idx="22">
                  <c:v>144775.63947317278</c:v>
                </c:pt>
                <c:pt idx="23">
                  <c:v>144775.63947317278</c:v>
                </c:pt>
                <c:pt idx="24">
                  <c:v>164785.40536096037</c:v>
                </c:pt>
                <c:pt idx="25">
                  <c:v>164785.40536096037</c:v>
                </c:pt>
                <c:pt idx="26">
                  <c:v>167407.3746841877</c:v>
                </c:pt>
                <c:pt idx="27">
                  <c:v>167407.3746841877</c:v>
                </c:pt>
                <c:pt idx="28">
                  <c:v>186481.81818181818</c:v>
                </c:pt>
                <c:pt idx="29">
                  <c:v>186481.81818181818</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Curve'!$F$42:$F$93</c:f>
              <c:numCache>
                <c:formatCode>General</c:formatCode>
                <c:ptCount val="52"/>
                <c:pt idx="9" formatCode="0.00">
                  <c:v>-98.473218657844214</c:v>
                </c:pt>
                <c:pt idx="10" formatCode="0.00">
                  <c:v>-98.473218657844214</c:v>
                </c:pt>
              </c:numCache>
            </c:numRef>
          </c:val>
          <c:extLst>
            <c:ext xmlns:c16="http://schemas.microsoft.com/office/drawing/2014/chart" uri="{C3380CC4-5D6E-409C-BE32-E72D297353CC}">
              <c16:uniqueId val="{00000004-492B-49FD-90E0-AB2E19DD36BE}"/>
            </c:ext>
          </c:extLst>
        </c:ser>
        <c:ser>
          <c:idx val="5"/>
          <c:order val="5"/>
          <c:tx>
            <c:strRef>
              <c:f>'Cost Curve'!$G$41</c:f>
              <c:strCache>
                <c:ptCount val="1"/>
                <c:pt idx="0">
                  <c:v>Industry Energy Efficiency Standards</c:v>
                </c:pt>
              </c:strCache>
            </c:strRef>
          </c:tx>
          <c:spPr>
            <a:solidFill>
              <a:schemeClr val="accent6"/>
            </a:solidFill>
            <a:ln>
              <a:noFill/>
            </a:ln>
            <a:effectLst/>
          </c:spPr>
          <c:cat>
            <c:numRef>
              <c:f>'Cost Curve'!$A$42:$A$93</c:f>
              <c:numCache>
                <c:formatCode>0</c:formatCode>
                <c:ptCount val="52"/>
                <c:pt idx="0">
                  <c:v>0</c:v>
                </c:pt>
                <c:pt idx="1">
                  <c:v>0</c:v>
                </c:pt>
                <c:pt idx="2">
                  <c:v>3076.8528900250658</c:v>
                </c:pt>
                <c:pt idx="3">
                  <c:v>3076.8528900250658</c:v>
                </c:pt>
                <c:pt idx="4">
                  <c:v>5223.4944412053446</c:v>
                </c:pt>
                <c:pt idx="5">
                  <c:v>5223.4944412053446</c:v>
                </c:pt>
                <c:pt idx="6">
                  <c:v>5964.5968814937742</c:v>
                </c:pt>
                <c:pt idx="7">
                  <c:v>5964.5968814937742</c:v>
                </c:pt>
                <c:pt idx="8">
                  <c:v>8065.2389708630471</c:v>
                </c:pt>
                <c:pt idx="9">
                  <c:v>8065.2389708630471</c:v>
                </c:pt>
                <c:pt idx="10">
                  <c:v>10462.32203634769</c:v>
                </c:pt>
                <c:pt idx="11">
                  <c:v>10462.32203634769</c:v>
                </c:pt>
                <c:pt idx="12">
                  <c:v>14586.940445401226</c:v>
                </c:pt>
                <c:pt idx="13">
                  <c:v>14586.940445401226</c:v>
                </c:pt>
                <c:pt idx="14">
                  <c:v>17326.463948812248</c:v>
                </c:pt>
                <c:pt idx="15">
                  <c:v>17326.463948812248</c:v>
                </c:pt>
                <c:pt idx="16">
                  <c:v>96885.088676603234</c:v>
                </c:pt>
                <c:pt idx="17">
                  <c:v>96885.088676603234</c:v>
                </c:pt>
                <c:pt idx="18">
                  <c:v>120717.92094601666</c:v>
                </c:pt>
                <c:pt idx="19">
                  <c:v>120717.92094601666</c:v>
                </c:pt>
                <c:pt idx="20">
                  <c:v>143380.32246490559</c:v>
                </c:pt>
                <c:pt idx="21">
                  <c:v>143380.32246490559</c:v>
                </c:pt>
                <c:pt idx="22">
                  <c:v>144775.63947317278</c:v>
                </c:pt>
                <c:pt idx="23">
                  <c:v>144775.63947317278</c:v>
                </c:pt>
                <c:pt idx="24">
                  <c:v>164785.40536096037</c:v>
                </c:pt>
                <c:pt idx="25">
                  <c:v>164785.40536096037</c:v>
                </c:pt>
                <c:pt idx="26">
                  <c:v>167407.3746841877</c:v>
                </c:pt>
                <c:pt idx="27">
                  <c:v>167407.3746841877</c:v>
                </c:pt>
                <c:pt idx="28">
                  <c:v>186481.81818181818</c:v>
                </c:pt>
                <c:pt idx="29">
                  <c:v>186481.81818181818</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Curve'!$G$42:$G$93</c:f>
              <c:numCache>
                <c:formatCode>General</c:formatCode>
                <c:ptCount val="52"/>
                <c:pt idx="11" formatCode="0.00">
                  <c:v>-94.265469517290413</c:v>
                </c:pt>
                <c:pt idx="12" formatCode="0.00">
                  <c:v>-94.265469517290413</c:v>
                </c:pt>
              </c:numCache>
            </c:numRef>
          </c:val>
          <c:extLst>
            <c:ext xmlns:c16="http://schemas.microsoft.com/office/drawing/2014/chart" uri="{C3380CC4-5D6E-409C-BE32-E72D297353CC}">
              <c16:uniqueId val="{00000005-492B-49FD-90E0-AB2E19DD36BE}"/>
            </c:ext>
          </c:extLst>
        </c:ser>
        <c:ser>
          <c:idx val="6"/>
          <c:order val="6"/>
          <c:tx>
            <c:strRef>
              <c:f>'Cost Curve'!$H$41</c:f>
              <c:strCache>
                <c:ptCount val="1"/>
                <c:pt idx="0">
                  <c:v>Vehicle Fuel Economy Standards</c:v>
                </c:pt>
              </c:strCache>
            </c:strRef>
          </c:tx>
          <c:spPr>
            <a:solidFill>
              <a:schemeClr val="accent1">
                <a:lumMod val="60000"/>
              </a:schemeClr>
            </a:solidFill>
            <a:ln>
              <a:noFill/>
            </a:ln>
            <a:effectLst/>
          </c:spPr>
          <c:cat>
            <c:numRef>
              <c:f>'Cost Curve'!$A$42:$A$93</c:f>
              <c:numCache>
                <c:formatCode>0</c:formatCode>
                <c:ptCount val="52"/>
                <c:pt idx="0">
                  <c:v>0</c:v>
                </c:pt>
                <c:pt idx="1">
                  <c:v>0</c:v>
                </c:pt>
                <c:pt idx="2">
                  <c:v>3076.8528900250658</c:v>
                </c:pt>
                <c:pt idx="3">
                  <c:v>3076.8528900250658</c:v>
                </c:pt>
                <c:pt idx="4">
                  <c:v>5223.4944412053446</c:v>
                </c:pt>
                <c:pt idx="5">
                  <c:v>5223.4944412053446</c:v>
                </c:pt>
                <c:pt idx="6">
                  <c:v>5964.5968814937742</c:v>
                </c:pt>
                <c:pt idx="7">
                  <c:v>5964.5968814937742</c:v>
                </c:pt>
                <c:pt idx="8">
                  <c:v>8065.2389708630471</c:v>
                </c:pt>
                <c:pt idx="9">
                  <c:v>8065.2389708630471</c:v>
                </c:pt>
                <c:pt idx="10">
                  <c:v>10462.32203634769</c:v>
                </c:pt>
                <c:pt idx="11">
                  <c:v>10462.32203634769</c:v>
                </c:pt>
                <c:pt idx="12">
                  <c:v>14586.940445401226</c:v>
                </c:pt>
                <c:pt idx="13">
                  <c:v>14586.940445401226</c:v>
                </c:pt>
                <c:pt idx="14">
                  <c:v>17326.463948812248</c:v>
                </c:pt>
                <c:pt idx="15">
                  <c:v>17326.463948812248</c:v>
                </c:pt>
                <c:pt idx="16">
                  <c:v>96885.088676603234</c:v>
                </c:pt>
                <c:pt idx="17">
                  <c:v>96885.088676603234</c:v>
                </c:pt>
                <c:pt idx="18">
                  <c:v>120717.92094601666</c:v>
                </c:pt>
                <c:pt idx="19">
                  <c:v>120717.92094601666</c:v>
                </c:pt>
                <c:pt idx="20">
                  <c:v>143380.32246490559</c:v>
                </c:pt>
                <c:pt idx="21">
                  <c:v>143380.32246490559</c:v>
                </c:pt>
                <c:pt idx="22">
                  <c:v>144775.63947317278</c:v>
                </c:pt>
                <c:pt idx="23">
                  <c:v>144775.63947317278</c:v>
                </c:pt>
                <c:pt idx="24">
                  <c:v>164785.40536096037</c:v>
                </c:pt>
                <c:pt idx="25">
                  <c:v>164785.40536096037</c:v>
                </c:pt>
                <c:pt idx="26">
                  <c:v>167407.3746841877</c:v>
                </c:pt>
                <c:pt idx="27">
                  <c:v>167407.3746841877</c:v>
                </c:pt>
                <c:pt idx="28">
                  <c:v>186481.81818181818</c:v>
                </c:pt>
                <c:pt idx="29">
                  <c:v>186481.81818181818</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Curve'!$H$42:$H$93</c:f>
              <c:numCache>
                <c:formatCode>General</c:formatCode>
                <c:ptCount val="52"/>
                <c:pt idx="13" formatCode="0.00">
                  <c:v>-59.519308832913381</c:v>
                </c:pt>
                <c:pt idx="14" formatCode="0.00">
                  <c:v>-59.519308832913381</c:v>
                </c:pt>
              </c:numCache>
            </c:numRef>
          </c:val>
          <c:extLst>
            <c:ext xmlns:c16="http://schemas.microsoft.com/office/drawing/2014/chart" uri="{C3380CC4-5D6E-409C-BE32-E72D297353CC}">
              <c16:uniqueId val="{00000006-492B-49FD-90E0-AB2E19DD36BE}"/>
            </c:ext>
          </c:extLst>
        </c:ser>
        <c:ser>
          <c:idx val="7"/>
          <c:order val="7"/>
          <c:tx>
            <c:strRef>
              <c:f>'Cost Curve'!$I$41</c:f>
              <c:strCache>
                <c:ptCount val="1"/>
                <c:pt idx="0">
                  <c:v>Carbon Tax</c:v>
                </c:pt>
              </c:strCache>
            </c:strRef>
          </c:tx>
          <c:spPr>
            <a:solidFill>
              <a:schemeClr val="accent2">
                <a:lumMod val="60000"/>
              </a:schemeClr>
            </a:solidFill>
            <a:ln>
              <a:noFill/>
            </a:ln>
            <a:effectLst/>
          </c:spPr>
          <c:cat>
            <c:numRef>
              <c:f>'Cost Curve'!$A$42:$A$93</c:f>
              <c:numCache>
                <c:formatCode>0</c:formatCode>
                <c:ptCount val="52"/>
                <c:pt idx="0">
                  <c:v>0</c:v>
                </c:pt>
                <c:pt idx="1">
                  <c:v>0</c:v>
                </c:pt>
                <c:pt idx="2">
                  <c:v>3076.8528900250658</c:v>
                </c:pt>
                <c:pt idx="3">
                  <c:v>3076.8528900250658</c:v>
                </c:pt>
                <c:pt idx="4">
                  <c:v>5223.4944412053446</c:v>
                </c:pt>
                <c:pt idx="5">
                  <c:v>5223.4944412053446</c:v>
                </c:pt>
                <c:pt idx="6">
                  <c:v>5964.5968814937742</c:v>
                </c:pt>
                <c:pt idx="7">
                  <c:v>5964.5968814937742</c:v>
                </c:pt>
                <c:pt idx="8">
                  <c:v>8065.2389708630471</c:v>
                </c:pt>
                <c:pt idx="9">
                  <c:v>8065.2389708630471</c:v>
                </c:pt>
                <c:pt idx="10">
                  <c:v>10462.32203634769</c:v>
                </c:pt>
                <c:pt idx="11">
                  <c:v>10462.32203634769</c:v>
                </c:pt>
                <c:pt idx="12">
                  <c:v>14586.940445401226</c:v>
                </c:pt>
                <c:pt idx="13">
                  <c:v>14586.940445401226</c:v>
                </c:pt>
                <c:pt idx="14">
                  <c:v>17326.463948812248</c:v>
                </c:pt>
                <c:pt idx="15">
                  <c:v>17326.463948812248</c:v>
                </c:pt>
                <c:pt idx="16">
                  <c:v>96885.088676603234</c:v>
                </c:pt>
                <c:pt idx="17">
                  <c:v>96885.088676603234</c:v>
                </c:pt>
                <c:pt idx="18">
                  <c:v>120717.92094601666</c:v>
                </c:pt>
                <c:pt idx="19">
                  <c:v>120717.92094601666</c:v>
                </c:pt>
                <c:pt idx="20">
                  <c:v>143380.32246490559</c:v>
                </c:pt>
                <c:pt idx="21">
                  <c:v>143380.32246490559</c:v>
                </c:pt>
                <c:pt idx="22">
                  <c:v>144775.63947317278</c:v>
                </c:pt>
                <c:pt idx="23">
                  <c:v>144775.63947317278</c:v>
                </c:pt>
                <c:pt idx="24">
                  <c:v>164785.40536096037</c:v>
                </c:pt>
                <c:pt idx="25">
                  <c:v>164785.40536096037</c:v>
                </c:pt>
                <c:pt idx="26">
                  <c:v>167407.3746841877</c:v>
                </c:pt>
                <c:pt idx="27">
                  <c:v>167407.3746841877</c:v>
                </c:pt>
                <c:pt idx="28">
                  <c:v>186481.81818181818</c:v>
                </c:pt>
                <c:pt idx="29">
                  <c:v>186481.81818181818</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Curve'!$I$42:$I$93</c:f>
              <c:numCache>
                <c:formatCode>General</c:formatCode>
                <c:ptCount val="52"/>
                <c:pt idx="15" formatCode="0.00">
                  <c:v>-39.510791610330578</c:v>
                </c:pt>
                <c:pt idx="16" formatCode="0.00">
                  <c:v>-39.510791610330578</c:v>
                </c:pt>
              </c:numCache>
            </c:numRef>
          </c:val>
          <c:extLst>
            <c:ext xmlns:c16="http://schemas.microsoft.com/office/drawing/2014/chart" uri="{C3380CC4-5D6E-409C-BE32-E72D297353CC}">
              <c16:uniqueId val="{00000007-492B-49FD-90E0-AB2E19DD36BE}"/>
            </c:ext>
          </c:extLst>
        </c:ser>
        <c:ser>
          <c:idx val="8"/>
          <c:order val="8"/>
          <c:tx>
            <c:strRef>
              <c:f>'Cost Curve'!$J$41</c:f>
              <c:strCache>
                <c:ptCount val="1"/>
                <c:pt idx="0">
                  <c:v>EV Sales Mandate</c:v>
                </c:pt>
              </c:strCache>
            </c:strRef>
          </c:tx>
          <c:spPr>
            <a:solidFill>
              <a:schemeClr val="accent3">
                <a:lumMod val="60000"/>
              </a:schemeClr>
            </a:solidFill>
            <a:ln>
              <a:noFill/>
            </a:ln>
            <a:effectLst/>
          </c:spPr>
          <c:cat>
            <c:numRef>
              <c:f>'Cost Curve'!$A$42:$A$93</c:f>
              <c:numCache>
                <c:formatCode>0</c:formatCode>
                <c:ptCount val="52"/>
                <c:pt idx="0">
                  <c:v>0</c:v>
                </c:pt>
                <c:pt idx="1">
                  <c:v>0</c:v>
                </c:pt>
                <c:pt idx="2">
                  <c:v>3076.8528900250658</c:v>
                </c:pt>
                <c:pt idx="3">
                  <c:v>3076.8528900250658</c:v>
                </c:pt>
                <c:pt idx="4">
                  <c:v>5223.4944412053446</c:v>
                </c:pt>
                <c:pt idx="5">
                  <c:v>5223.4944412053446</c:v>
                </c:pt>
                <c:pt idx="6">
                  <c:v>5964.5968814937742</c:v>
                </c:pt>
                <c:pt idx="7">
                  <c:v>5964.5968814937742</c:v>
                </c:pt>
                <c:pt idx="8">
                  <c:v>8065.2389708630471</c:v>
                </c:pt>
                <c:pt idx="9">
                  <c:v>8065.2389708630471</c:v>
                </c:pt>
                <c:pt idx="10">
                  <c:v>10462.32203634769</c:v>
                </c:pt>
                <c:pt idx="11">
                  <c:v>10462.32203634769</c:v>
                </c:pt>
                <c:pt idx="12">
                  <c:v>14586.940445401226</c:v>
                </c:pt>
                <c:pt idx="13">
                  <c:v>14586.940445401226</c:v>
                </c:pt>
                <c:pt idx="14">
                  <c:v>17326.463948812248</c:v>
                </c:pt>
                <c:pt idx="15">
                  <c:v>17326.463948812248</c:v>
                </c:pt>
                <c:pt idx="16">
                  <c:v>96885.088676603234</c:v>
                </c:pt>
                <c:pt idx="17">
                  <c:v>96885.088676603234</c:v>
                </c:pt>
                <c:pt idx="18">
                  <c:v>120717.92094601666</c:v>
                </c:pt>
                <c:pt idx="19">
                  <c:v>120717.92094601666</c:v>
                </c:pt>
                <c:pt idx="20">
                  <c:v>143380.32246490559</c:v>
                </c:pt>
                <c:pt idx="21">
                  <c:v>143380.32246490559</c:v>
                </c:pt>
                <c:pt idx="22">
                  <c:v>144775.63947317278</c:v>
                </c:pt>
                <c:pt idx="23">
                  <c:v>144775.63947317278</c:v>
                </c:pt>
                <c:pt idx="24">
                  <c:v>164785.40536096037</c:v>
                </c:pt>
                <c:pt idx="25">
                  <c:v>164785.40536096037</c:v>
                </c:pt>
                <c:pt idx="26">
                  <c:v>167407.3746841877</c:v>
                </c:pt>
                <c:pt idx="27">
                  <c:v>167407.3746841877</c:v>
                </c:pt>
                <c:pt idx="28">
                  <c:v>186481.81818181818</c:v>
                </c:pt>
                <c:pt idx="29">
                  <c:v>186481.81818181818</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Curve'!$J$42:$J$93</c:f>
              <c:numCache>
                <c:formatCode>General</c:formatCode>
                <c:ptCount val="52"/>
                <c:pt idx="17" formatCode="0.00">
                  <c:v>-8.0281408088826556</c:v>
                </c:pt>
                <c:pt idx="18" formatCode="0.00">
                  <c:v>-8.0281408088826556</c:v>
                </c:pt>
              </c:numCache>
            </c:numRef>
          </c:val>
          <c:extLst>
            <c:ext xmlns:c16="http://schemas.microsoft.com/office/drawing/2014/chart" uri="{C3380CC4-5D6E-409C-BE32-E72D297353CC}">
              <c16:uniqueId val="{00000008-492B-49FD-90E0-AB2E19DD36BE}"/>
            </c:ext>
          </c:extLst>
        </c:ser>
        <c:ser>
          <c:idx val="9"/>
          <c:order val="9"/>
          <c:tx>
            <c:strRef>
              <c:f>'Cost Curve'!$K$41</c:f>
              <c:strCache>
                <c:ptCount val="1"/>
                <c:pt idx="0">
                  <c:v>Renewable Portfolio Standard</c:v>
                </c:pt>
              </c:strCache>
            </c:strRef>
          </c:tx>
          <c:spPr>
            <a:solidFill>
              <a:schemeClr val="accent4">
                <a:lumMod val="60000"/>
              </a:schemeClr>
            </a:solidFill>
            <a:ln>
              <a:noFill/>
            </a:ln>
            <a:effectLst/>
          </c:spPr>
          <c:cat>
            <c:numRef>
              <c:f>'Cost Curve'!$A$42:$A$93</c:f>
              <c:numCache>
                <c:formatCode>0</c:formatCode>
                <c:ptCount val="52"/>
                <c:pt idx="0">
                  <c:v>0</c:v>
                </c:pt>
                <c:pt idx="1">
                  <c:v>0</c:v>
                </c:pt>
                <c:pt idx="2">
                  <c:v>3076.8528900250658</c:v>
                </c:pt>
                <c:pt idx="3">
                  <c:v>3076.8528900250658</c:v>
                </c:pt>
                <c:pt idx="4">
                  <c:v>5223.4944412053446</c:v>
                </c:pt>
                <c:pt idx="5">
                  <c:v>5223.4944412053446</c:v>
                </c:pt>
                <c:pt idx="6">
                  <c:v>5964.5968814937742</c:v>
                </c:pt>
                <c:pt idx="7">
                  <c:v>5964.5968814937742</c:v>
                </c:pt>
                <c:pt idx="8">
                  <c:v>8065.2389708630471</c:v>
                </c:pt>
                <c:pt idx="9">
                  <c:v>8065.2389708630471</c:v>
                </c:pt>
                <c:pt idx="10">
                  <c:v>10462.32203634769</c:v>
                </c:pt>
                <c:pt idx="11">
                  <c:v>10462.32203634769</c:v>
                </c:pt>
                <c:pt idx="12">
                  <c:v>14586.940445401226</c:v>
                </c:pt>
                <c:pt idx="13">
                  <c:v>14586.940445401226</c:v>
                </c:pt>
                <c:pt idx="14">
                  <c:v>17326.463948812248</c:v>
                </c:pt>
                <c:pt idx="15">
                  <c:v>17326.463948812248</c:v>
                </c:pt>
                <c:pt idx="16">
                  <c:v>96885.088676603234</c:v>
                </c:pt>
                <c:pt idx="17">
                  <c:v>96885.088676603234</c:v>
                </c:pt>
                <c:pt idx="18">
                  <c:v>120717.92094601666</c:v>
                </c:pt>
                <c:pt idx="19">
                  <c:v>120717.92094601666</c:v>
                </c:pt>
                <c:pt idx="20">
                  <c:v>143380.32246490559</c:v>
                </c:pt>
                <c:pt idx="21">
                  <c:v>143380.32246490559</c:v>
                </c:pt>
                <c:pt idx="22">
                  <c:v>144775.63947317278</c:v>
                </c:pt>
                <c:pt idx="23">
                  <c:v>144775.63947317278</c:v>
                </c:pt>
                <c:pt idx="24">
                  <c:v>164785.40536096037</c:v>
                </c:pt>
                <c:pt idx="25">
                  <c:v>164785.40536096037</c:v>
                </c:pt>
                <c:pt idx="26">
                  <c:v>167407.3746841877</c:v>
                </c:pt>
                <c:pt idx="27">
                  <c:v>167407.3746841877</c:v>
                </c:pt>
                <c:pt idx="28">
                  <c:v>186481.81818181818</c:v>
                </c:pt>
                <c:pt idx="29">
                  <c:v>186481.81818181818</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Curve'!$K$42:$K$93</c:f>
              <c:numCache>
                <c:formatCode>General</c:formatCode>
                <c:ptCount val="52"/>
                <c:pt idx="19" formatCode="0.00">
                  <c:v>2.3671566537527573</c:v>
                </c:pt>
                <c:pt idx="20" formatCode="0.00">
                  <c:v>2.3671566537527573</c:v>
                </c:pt>
              </c:numCache>
            </c:numRef>
          </c:val>
          <c:extLst>
            <c:ext xmlns:c16="http://schemas.microsoft.com/office/drawing/2014/chart" uri="{C3380CC4-5D6E-409C-BE32-E72D297353CC}">
              <c16:uniqueId val="{00000009-492B-49FD-90E0-AB2E19DD36BE}"/>
            </c:ext>
          </c:extLst>
        </c:ser>
        <c:ser>
          <c:idx val="10"/>
          <c:order val="10"/>
          <c:tx>
            <c:strRef>
              <c:f>'Cost Curve'!$L$41</c:f>
              <c:strCache>
                <c:ptCount val="1"/>
                <c:pt idx="0">
                  <c:v>Increase Transmission</c:v>
                </c:pt>
              </c:strCache>
            </c:strRef>
          </c:tx>
          <c:spPr>
            <a:solidFill>
              <a:schemeClr val="accent5">
                <a:lumMod val="60000"/>
              </a:schemeClr>
            </a:solidFill>
            <a:ln>
              <a:noFill/>
            </a:ln>
            <a:effectLst/>
          </c:spPr>
          <c:cat>
            <c:numRef>
              <c:f>'Cost Curve'!$A$42:$A$93</c:f>
              <c:numCache>
                <c:formatCode>0</c:formatCode>
                <c:ptCount val="52"/>
                <c:pt idx="0">
                  <c:v>0</c:v>
                </c:pt>
                <c:pt idx="1">
                  <c:v>0</c:v>
                </c:pt>
                <c:pt idx="2">
                  <c:v>3076.8528900250658</c:v>
                </c:pt>
                <c:pt idx="3">
                  <c:v>3076.8528900250658</c:v>
                </c:pt>
                <c:pt idx="4">
                  <c:v>5223.4944412053446</c:v>
                </c:pt>
                <c:pt idx="5">
                  <c:v>5223.4944412053446</c:v>
                </c:pt>
                <c:pt idx="6">
                  <c:v>5964.5968814937742</c:v>
                </c:pt>
                <c:pt idx="7">
                  <c:v>5964.5968814937742</c:v>
                </c:pt>
                <c:pt idx="8">
                  <c:v>8065.2389708630471</c:v>
                </c:pt>
                <c:pt idx="9">
                  <c:v>8065.2389708630471</c:v>
                </c:pt>
                <c:pt idx="10">
                  <c:v>10462.32203634769</c:v>
                </c:pt>
                <c:pt idx="11">
                  <c:v>10462.32203634769</c:v>
                </c:pt>
                <c:pt idx="12">
                  <c:v>14586.940445401226</c:v>
                </c:pt>
                <c:pt idx="13">
                  <c:v>14586.940445401226</c:v>
                </c:pt>
                <c:pt idx="14">
                  <c:v>17326.463948812248</c:v>
                </c:pt>
                <c:pt idx="15">
                  <c:v>17326.463948812248</c:v>
                </c:pt>
                <c:pt idx="16">
                  <c:v>96885.088676603234</c:v>
                </c:pt>
                <c:pt idx="17">
                  <c:v>96885.088676603234</c:v>
                </c:pt>
                <c:pt idx="18">
                  <c:v>120717.92094601666</c:v>
                </c:pt>
                <c:pt idx="19">
                  <c:v>120717.92094601666</c:v>
                </c:pt>
                <c:pt idx="20">
                  <c:v>143380.32246490559</c:v>
                </c:pt>
                <c:pt idx="21">
                  <c:v>143380.32246490559</c:v>
                </c:pt>
                <c:pt idx="22">
                  <c:v>144775.63947317278</c:v>
                </c:pt>
                <c:pt idx="23">
                  <c:v>144775.63947317278</c:v>
                </c:pt>
                <c:pt idx="24">
                  <c:v>164785.40536096037</c:v>
                </c:pt>
                <c:pt idx="25">
                  <c:v>164785.40536096037</c:v>
                </c:pt>
                <c:pt idx="26">
                  <c:v>167407.3746841877</c:v>
                </c:pt>
                <c:pt idx="27">
                  <c:v>167407.3746841877</c:v>
                </c:pt>
                <c:pt idx="28">
                  <c:v>186481.81818181818</c:v>
                </c:pt>
                <c:pt idx="29">
                  <c:v>186481.81818181818</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Curve'!$L$42:$L$93</c:f>
              <c:numCache>
                <c:formatCode>General</c:formatCode>
                <c:ptCount val="52"/>
                <c:pt idx="21" formatCode="0.00">
                  <c:v>90.875406268766582</c:v>
                </c:pt>
                <c:pt idx="22" formatCode="0.00">
                  <c:v>90.875406268766582</c:v>
                </c:pt>
              </c:numCache>
            </c:numRef>
          </c:val>
          <c:extLst>
            <c:ext xmlns:c16="http://schemas.microsoft.com/office/drawing/2014/chart" uri="{C3380CC4-5D6E-409C-BE32-E72D297353CC}">
              <c16:uniqueId val="{0000000A-492B-49FD-90E0-AB2E19DD36BE}"/>
            </c:ext>
          </c:extLst>
        </c:ser>
        <c:ser>
          <c:idx val="11"/>
          <c:order val="11"/>
          <c:tx>
            <c:strRef>
              <c:f>'Cost Curve'!$M$41</c:f>
              <c:strCache>
                <c:ptCount val="1"/>
                <c:pt idx="0">
                  <c:v>Methane Capture and Destruction</c:v>
                </c:pt>
              </c:strCache>
            </c:strRef>
          </c:tx>
          <c:spPr>
            <a:solidFill>
              <a:schemeClr val="accent6">
                <a:lumMod val="60000"/>
              </a:schemeClr>
            </a:solidFill>
            <a:ln>
              <a:noFill/>
            </a:ln>
            <a:effectLst/>
          </c:spPr>
          <c:cat>
            <c:numRef>
              <c:f>'Cost Curve'!$A$42:$A$93</c:f>
              <c:numCache>
                <c:formatCode>0</c:formatCode>
                <c:ptCount val="52"/>
                <c:pt idx="0">
                  <c:v>0</c:v>
                </c:pt>
                <c:pt idx="1">
                  <c:v>0</c:v>
                </c:pt>
                <c:pt idx="2">
                  <c:v>3076.8528900250658</c:v>
                </c:pt>
                <c:pt idx="3">
                  <c:v>3076.8528900250658</c:v>
                </c:pt>
                <c:pt idx="4">
                  <c:v>5223.4944412053446</c:v>
                </c:pt>
                <c:pt idx="5">
                  <c:v>5223.4944412053446</c:v>
                </c:pt>
                <c:pt idx="6">
                  <c:v>5964.5968814937742</c:v>
                </c:pt>
                <c:pt idx="7">
                  <c:v>5964.5968814937742</c:v>
                </c:pt>
                <c:pt idx="8">
                  <c:v>8065.2389708630471</c:v>
                </c:pt>
                <c:pt idx="9">
                  <c:v>8065.2389708630471</c:v>
                </c:pt>
                <c:pt idx="10">
                  <c:v>10462.32203634769</c:v>
                </c:pt>
                <c:pt idx="11">
                  <c:v>10462.32203634769</c:v>
                </c:pt>
                <c:pt idx="12">
                  <c:v>14586.940445401226</c:v>
                </c:pt>
                <c:pt idx="13">
                  <c:v>14586.940445401226</c:v>
                </c:pt>
                <c:pt idx="14">
                  <c:v>17326.463948812248</c:v>
                </c:pt>
                <c:pt idx="15">
                  <c:v>17326.463948812248</c:v>
                </c:pt>
                <c:pt idx="16">
                  <c:v>96885.088676603234</c:v>
                </c:pt>
                <c:pt idx="17">
                  <c:v>96885.088676603234</c:v>
                </c:pt>
                <c:pt idx="18">
                  <c:v>120717.92094601666</c:v>
                </c:pt>
                <c:pt idx="19">
                  <c:v>120717.92094601666</c:v>
                </c:pt>
                <c:pt idx="20">
                  <c:v>143380.32246490559</c:v>
                </c:pt>
                <c:pt idx="21">
                  <c:v>143380.32246490559</c:v>
                </c:pt>
                <c:pt idx="22">
                  <c:v>144775.63947317278</c:v>
                </c:pt>
                <c:pt idx="23">
                  <c:v>144775.63947317278</c:v>
                </c:pt>
                <c:pt idx="24">
                  <c:v>164785.40536096037</c:v>
                </c:pt>
                <c:pt idx="25">
                  <c:v>164785.40536096037</c:v>
                </c:pt>
                <c:pt idx="26">
                  <c:v>167407.3746841877</c:v>
                </c:pt>
                <c:pt idx="27">
                  <c:v>167407.3746841877</c:v>
                </c:pt>
                <c:pt idx="28">
                  <c:v>186481.81818181818</c:v>
                </c:pt>
                <c:pt idx="29">
                  <c:v>186481.81818181818</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Curve'!$M$42:$M$93</c:f>
              <c:numCache>
                <c:formatCode>General</c:formatCode>
                <c:ptCount val="52"/>
                <c:pt idx="23" formatCode="0.00">
                  <c:v>103.79689231742211</c:v>
                </c:pt>
                <c:pt idx="24" formatCode="0.00">
                  <c:v>103.79689231742211</c:v>
                </c:pt>
              </c:numCache>
            </c:numRef>
          </c:val>
          <c:extLst>
            <c:ext xmlns:c16="http://schemas.microsoft.com/office/drawing/2014/chart" uri="{C3380CC4-5D6E-409C-BE32-E72D297353CC}">
              <c16:uniqueId val="{0000000B-492B-49FD-90E0-AB2E19DD36BE}"/>
            </c:ext>
          </c:extLst>
        </c:ser>
        <c:ser>
          <c:idx val="12"/>
          <c:order val="12"/>
          <c:tx>
            <c:strRef>
              <c:f>'Cost Curve'!$N$41</c:f>
              <c:strCache>
                <c:ptCount val="1"/>
                <c:pt idx="0">
                  <c:v>Increased Retrofitting</c:v>
                </c:pt>
              </c:strCache>
            </c:strRef>
          </c:tx>
          <c:spPr>
            <a:solidFill>
              <a:schemeClr val="accent1">
                <a:lumMod val="80000"/>
                <a:lumOff val="20000"/>
              </a:schemeClr>
            </a:solidFill>
            <a:ln>
              <a:noFill/>
            </a:ln>
            <a:effectLst/>
          </c:spPr>
          <c:cat>
            <c:numRef>
              <c:f>'Cost Curve'!$A$42:$A$93</c:f>
              <c:numCache>
                <c:formatCode>0</c:formatCode>
                <c:ptCount val="52"/>
                <c:pt idx="0">
                  <c:v>0</c:v>
                </c:pt>
                <c:pt idx="1">
                  <c:v>0</c:v>
                </c:pt>
                <c:pt idx="2">
                  <c:v>3076.8528900250658</c:v>
                </c:pt>
                <c:pt idx="3">
                  <c:v>3076.8528900250658</c:v>
                </c:pt>
                <c:pt idx="4">
                  <c:v>5223.4944412053446</c:v>
                </c:pt>
                <c:pt idx="5">
                  <c:v>5223.4944412053446</c:v>
                </c:pt>
                <c:pt idx="6">
                  <c:v>5964.5968814937742</c:v>
                </c:pt>
                <c:pt idx="7">
                  <c:v>5964.5968814937742</c:v>
                </c:pt>
                <c:pt idx="8">
                  <c:v>8065.2389708630471</c:v>
                </c:pt>
                <c:pt idx="9">
                  <c:v>8065.2389708630471</c:v>
                </c:pt>
                <c:pt idx="10">
                  <c:v>10462.32203634769</c:v>
                </c:pt>
                <c:pt idx="11">
                  <c:v>10462.32203634769</c:v>
                </c:pt>
                <c:pt idx="12">
                  <c:v>14586.940445401226</c:v>
                </c:pt>
                <c:pt idx="13">
                  <c:v>14586.940445401226</c:v>
                </c:pt>
                <c:pt idx="14">
                  <c:v>17326.463948812248</c:v>
                </c:pt>
                <c:pt idx="15">
                  <c:v>17326.463948812248</c:v>
                </c:pt>
                <c:pt idx="16">
                  <c:v>96885.088676603234</c:v>
                </c:pt>
                <c:pt idx="17">
                  <c:v>96885.088676603234</c:v>
                </c:pt>
                <c:pt idx="18">
                  <c:v>120717.92094601666</c:v>
                </c:pt>
                <c:pt idx="19">
                  <c:v>120717.92094601666</c:v>
                </c:pt>
                <c:pt idx="20">
                  <c:v>143380.32246490559</c:v>
                </c:pt>
                <c:pt idx="21">
                  <c:v>143380.32246490559</c:v>
                </c:pt>
                <c:pt idx="22">
                  <c:v>144775.63947317278</c:v>
                </c:pt>
                <c:pt idx="23">
                  <c:v>144775.63947317278</c:v>
                </c:pt>
                <c:pt idx="24">
                  <c:v>164785.40536096037</c:v>
                </c:pt>
                <c:pt idx="25">
                  <c:v>164785.40536096037</c:v>
                </c:pt>
                <c:pt idx="26">
                  <c:v>167407.3746841877</c:v>
                </c:pt>
                <c:pt idx="27">
                  <c:v>167407.3746841877</c:v>
                </c:pt>
                <c:pt idx="28">
                  <c:v>186481.81818181818</c:v>
                </c:pt>
                <c:pt idx="29">
                  <c:v>186481.81818181818</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Curve'!$N$42:$N$93</c:f>
              <c:numCache>
                <c:formatCode>General</c:formatCode>
                <c:ptCount val="52"/>
                <c:pt idx="25" formatCode="0.00">
                  <c:v>179.46029717854003</c:v>
                </c:pt>
                <c:pt idx="26" formatCode="0.00">
                  <c:v>179.46029717854003</c:v>
                </c:pt>
              </c:numCache>
            </c:numRef>
          </c:val>
          <c:extLst>
            <c:ext xmlns:c16="http://schemas.microsoft.com/office/drawing/2014/chart" uri="{C3380CC4-5D6E-409C-BE32-E72D297353CC}">
              <c16:uniqueId val="{0000000C-492B-49FD-90E0-AB2E19DD36BE}"/>
            </c:ext>
          </c:extLst>
        </c:ser>
        <c:ser>
          <c:idx val="13"/>
          <c:order val="13"/>
          <c:tx>
            <c:strRef>
              <c:f>'Cost Curve'!$O$41</c:f>
              <c:strCache>
                <c:ptCount val="1"/>
                <c:pt idx="0">
                  <c:v>Building Component Electrification</c:v>
                </c:pt>
              </c:strCache>
            </c:strRef>
          </c:tx>
          <c:spPr>
            <a:solidFill>
              <a:schemeClr val="accent2">
                <a:lumMod val="80000"/>
                <a:lumOff val="20000"/>
              </a:schemeClr>
            </a:solidFill>
            <a:ln>
              <a:noFill/>
            </a:ln>
            <a:effectLst/>
          </c:spPr>
          <c:cat>
            <c:numRef>
              <c:f>'Cost Curve'!$A$42:$A$93</c:f>
              <c:numCache>
                <c:formatCode>0</c:formatCode>
                <c:ptCount val="52"/>
                <c:pt idx="0">
                  <c:v>0</c:v>
                </c:pt>
                <c:pt idx="1">
                  <c:v>0</c:v>
                </c:pt>
                <c:pt idx="2">
                  <c:v>3076.8528900250658</c:v>
                </c:pt>
                <c:pt idx="3">
                  <c:v>3076.8528900250658</c:v>
                </c:pt>
                <c:pt idx="4">
                  <c:v>5223.4944412053446</c:v>
                </c:pt>
                <c:pt idx="5">
                  <c:v>5223.4944412053446</c:v>
                </c:pt>
                <c:pt idx="6">
                  <c:v>5964.5968814937742</c:v>
                </c:pt>
                <c:pt idx="7">
                  <c:v>5964.5968814937742</c:v>
                </c:pt>
                <c:pt idx="8">
                  <c:v>8065.2389708630471</c:v>
                </c:pt>
                <c:pt idx="9">
                  <c:v>8065.2389708630471</c:v>
                </c:pt>
                <c:pt idx="10">
                  <c:v>10462.32203634769</c:v>
                </c:pt>
                <c:pt idx="11">
                  <c:v>10462.32203634769</c:v>
                </c:pt>
                <c:pt idx="12">
                  <c:v>14586.940445401226</c:v>
                </c:pt>
                <c:pt idx="13">
                  <c:v>14586.940445401226</c:v>
                </c:pt>
                <c:pt idx="14">
                  <c:v>17326.463948812248</c:v>
                </c:pt>
                <c:pt idx="15">
                  <c:v>17326.463948812248</c:v>
                </c:pt>
                <c:pt idx="16">
                  <c:v>96885.088676603234</c:v>
                </c:pt>
                <c:pt idx="17">
                  <c:v>96885.088676603234</c:v>
                </c:pt>
                <c:pt idx="18">
                  <c:v>120717.92094601666</c:v>
                </c:pt>
                <c:pt idx="19">
                  <c:v>120717.92094601666</c:v>
                </c:pt>
                <c:pt idx="20">
                  <c:v>143380.32246490559</c:v>
                </c:pt>
                <c:pt idx="21">
                  <c:v>143380.32246490559</c:v>
                </c:pt>
                <c:pt idx="22">
                  <c:v>144775.63947317278</c:v>
                </c:pt>
                <c:pt idx="23">
                  <c:v>144775.63947317278</c:v>
                </c:pt>
                <c:pt idx="24">
                  <c:v>164785.40536096037</c:v>
                </c:pt>
                <c:pt idx="25">
                  <c:v>164785.40536096037</c:v>
                </c:pt>
                <c:pt idx="26">
                  <c:v>167407.3746841877</c:v>
                </c:pt>
                <c:pt idx="27">
                  <c:v>167407.3746841877</c:v>
                </c:pt>
                <c:pt idx="28">
                  <c:v>186481.81818181818</c:v>
                </c:pt>
                <c:pt idx="29">
                  <c:v>186481.81818181818</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Curve'!$O$42:$O$93</c:f>
              <c:numCache>
                <c:formatCode>General</c:formatCode>
                <c:ptCount val="52"/>
                <c:pt idx="27" formatCode="0.00">
                  <c:v>192.00115337415232</c:v>
                </c:pt>
                <c:pt idx="28" formatCode="0.00">
                  <c:v>192.00115337415232</c:v>
                </c:pt>
              </c:numCache>
            </c:numRef>
          </c:val>
          <c:extLst>
            <c:ext xmlns:c16="http://schemas.microsoft.com/office/drawing/2014/chart" uri="{C3380CC4-5D6E-409C-BE32-E72D297353CC}">
              <c16:uniqueId val="{0000000D-492B-49FD-90E0-AB2E19DD36BE}"/>
            </c:ext>
          </c:extLst>
        </c:ser>
        <c:ser>
          <c:idx val="14"/>
          <c:order val="14"/>
          <c:tx>
            <c:strRef>
              <c:f>'Cost Curve'!$P$41</c:f>
              <c:strCache>
                <c:ptCount val="1"/>
              </c:strCache>
            </c:strRef>
          </c:tx>
          <c:spPr>
            <a:solidFill>
              <a:schemeClr val="accent3">
                <a:lumMod val="80000"/>
                <a:lumOff val="20000"/>
              </a:schemeClr>
            </a:solidFill>
            <a:ln>
              <a:noFill/>
            </a:ln>
            <a:effectLst/>
          </c:spPr>
          <c:cat>
            <c:numRef>
              <c:f>'Cost Curve'!$A$42:$A$93</c:f>
              <c:numCache>
                <c:formatCode>0</c:formatCode>
                <c:ptCount val="52"/>
                <c:pt idx="0">
                  <c:v>0</c:v>
                </c:pt>
                <c:pt idx="1">
                  <c:v>0</c:v>
                </c:pt>
                <c:pt idx="2">
                  <c:v>3076.8528900250658</c:v>
                </c:pt>
                <c:pt idx="3">
                  <c:v>3076.8528900250658</c:v>
                </c:pt>
                <c:pt idx="4">
                  <c:v>5223.4944412053446</c:v>
                </c:pt>
                <c:pt idx="5">
                  <c:v>5223.4944412053446</c:v>
                </c:pt>
                <c:pt idx="6">
                  <c:v>5964.5968814937742</c:v>
                </c:pt>
                <c:pt idx="7">
                  <c:v>5964.5968814937742</c:v>
                </c:pt>
                <c:pt idx="8">
                  <c:v>8065.2389708630471</c:v>
                </c:pt>
                <c:pt idx="9">
                  <c:v>8065.2389708630471</c:v>
                </c:pt>
                <c:pt idx="10">
                  <c:v>10462.32203634769</c:v>
                </c:pt>
                <c:pt idx="11">
                  <c:v>10462.32203634769</c:v>
                </c:pt>
                <c:pt idx="12">
                  <c:v>14586.940445401226</c:v>
                </c:pt>
                <c:pt idx="13">
                  <c:v>14586.940445401226</c:v>
                </c:pt>
                <c:pt idx="14">
                  <c:v>17326.463948812248</c:v>
                </c:pt>
                <c:pt idx="15">
                  <c:v>17326.463948812248</c:v>
                </c:pt>
                <c:pt idx="16">
                  <c:v>96885.088676603234</c:v>
                </c:pt>
                <c:pt idx="17">
                  <c:v>96885.088676603234</c:v>
                </c:pt>
                <c:pt idx="18">
                  <c:v>120717.92094601666</c:v>
                </c:pt>
                <c:pt idx="19">
                  <c:v>120717.92094601666</c:v>
                </c:pt>
                <c:pt idx="20">
                  <c:v>143380.32246490559</c:v>
                </c:pt>
                <c:pt idx="21">
                  <c:v>143380.32246490559</c:v>
                </c:pt>
                <c:pt idx="22">
                  <c:v>144775.63947317278</c:v>
                </c:pt>
                <c:pt idx="23">
                  <c:v>144775.63947317278</c:v>
                </c:pt>
                <c:pt idx="24">
                  <c:v>164785.40536096037</c:v>
                </c:pt>
                <c:pt idx="25">
                  <c:v>164785.40536096037</c:v>
                </c:pt>
                <c:pt idx="26">
                  <c:v>167407.3746841877</c:v>
                </c:pt>
                <c:pt idx="27">
                  <c:v>167407.3746841877</c:v>
                </c:pt>
                <c:pt idx="28">
                  <c:v>186481.81818181818</c:v>
                </c:pt>
                <c:pt idx="29">
                  <c:v>186481.81818181818</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Curve'!$P$42:$P$93</c:f>
              <c:numCache>
                <c:formatCode>General</c:formatCode>
                <c:ptCount val="52"/>
                <c:pt idx="29" formatCode="0.00">
                  <c:v>#N/A</c:v>
                </c:pt>
                <c:pt idx="30" formatCode="0.00">
                  <c:v>#N/A</c:v>
                </c:pt>
              </c:numCache>
            </c:numRef>
          </c:val>
          <c:extLst>
            <c:ext xmlns:c16="http://schemas.microsoft.com/office/drawing/2014/chart" uri="{C3380CC4-5D6E-409C-BE32-E72D297353CC}">
              <c16:uniqueId val="{0000000E-492B-49FD-90E0-AB2E19DD36BE}"/>
            </c:ext>
          </c:extLst>
        </c:ser>
        <c:ser>
          <c:idx val="15"/>
          <c:order val="15"/>
          <c:tx>
            <c:strRef>
              <c:f>'Cost Curve'!$Q$41</c:f>
              <c:strCache>
                <c:ptCount val="1"/>
              </c:strCache>
            </c:strRef>
          </c:tx>
          <c:spPr>
            <a:solidFill>
              <a:schemeClr val="accent4">
                <a:lumMod val="80000"/>
                <a:lumOff val="20000"/>
              </a:schemeClr>
            </a:solidFill>
            <a:ln>
              <a:noFill/>
            </a:ln>
            <a:effectLst/>
          </c:spPr>
          <c:cat>
            <c:numRef>
              <c:f>'Cost Curve'!$A$42:$A$93</c:f>
              <c:numCache>
                <c:formatCode>0</c:formatCode>
                <c:ptCount val="52"/>
                <c:pt idx="0">
                  <c:v>0</c:v>
                </c:pt>
                <c:pt idx="1">
                  <c:v>0</c:v>
                </c:pt>
                <c:pt idx="2">
                  <c:v>3076.8528900250658</c:v>
                </c:pt>
                <c:pt idx="3">
                  <c:v>3076.8528900250658</c:v>
                </c:pt>
                <c:pt idx="4">
                  <c:v>5223.4944412053446</c:v>
                </c:pt>
                <c:pt idx="5">
                  <c:v>5223.4944412053446</c:v>
                </c:pt>
                <c:pt idx="6">
                  <c:v>5964.5968814937742</c:v>
                </c:pt>
                <c:pt idx="7">
                  <c:v>5964.5968814937742</c:v>
                </c:pt>
                <c:pt idx="8">
                  <c:v>8065.2389708630471</c:v>
                </c:pt>
                <c:pt idx="9">
                  <c:v>8065.2389708630471</c:v>
                </c:pt>
                <c:pt idx="10">
                  <c:v>10462.32203634769</c:v>
                </c:pt>
                <c:pt idx="11">
                  <c:v>10462.32203634769</c:v>
                </c:pt>
                <c:pt idx="12">
                  <c:v>14586.940445401226</c:v>
                </c:pt>
                <c:pt idx="13">
                  <c:v>14586.940445401226</c:v>
                </c:pt>
                <c:pt idx="14">
                  <c:v>17326.463948812248</c:v>
                </c:pt>
                <c:pt idx="15">
                  <c:v>17326.463948812248</c:v>
                </c:pt>
                <c:pt idx="16">
                  <c:v>96885.088676603234</c:v>
                </c:pt>
                <c:pt idx="17">
                  <c:v>96885.088676603234</c:v>
                </c:pt>
                <c:pt idx="18">
                  <c:v>120717.92094601666</c:v>
                </c:pt>
                <c:pt idx="19">
                  <c:v>120717.92094601666</c:v>
                </c:pt>
                <c:pt idx="20">
                  <c:v>143380.32246490559</c:v>
                </c:pt>
                <c:pt idx="21">
                  <c:v>143380.32246490559</c:v>
                </c:pt>
                <c:pt idx="22">
                  <c:v>144775.63947317278</c:v>
                </c:pt>
                <c:pt idx="23">
                  <c:v>144775.63947317278</c:v>
                </c:pt>
                <c:pt idx="24">
                  <c:v>164785.40536096037</c:v>
                </c:pt>
                <c:pt idx="25">
                  <c:v>164785.40536096037</c:v>
                </c:pt>
                <c:pt idx="26">
                  <c:v>167407.3746841877</c:v>
                </c:pt>
                <c:pt idx="27">
                  <c:v>167407.3746841877</c:v>
                </c:pt>
                <c:pt idx="28">
                  <c:v>186481.81818181818</c:v>
                </c:pt>
                <c:pt idx="29">
                  <c:v>186481.81818181818</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Curve'!$Q$42:$Q$93</c:f>
              <c:numCache>
                <c:formatCode>General</c:formatCode>
                <c:ptCount val="52"/>
                <c:pt idx="31" formatCode="0.00">
                  <c:v>#N/A</c:v>
                </c:pt>
                <c:pt idx="32" formatCode="0.00">
                  <c:v>#N/A</c:v>
                </c:pt>
              </c:numCache>
            </c:numRef>
          </c:val>
          <c:extLst>
            <c:ext xmlns:c16="http://schemas.microsoft.com/office/drawing/2014/chart" uri="{C3380CC4-5D6E-409C-BE32-E72D297353CC}">
              <c16:uniqueId val="{0000000F-492B-49FD-90E0-AB2E19DD36BE}"/>
            </c:ext>
          </c:extLst>
        </c:ser>
        <c:ser>
          <c:idx val="16"/>
          <c:order val="16"/>
          <c:tx>
            <c:strRef>
              <c:f>'Cost Curve'!$R$41</c:f>
              <c:strCache>
                <c:ptCount val="1"/>
              </c:strCache>
            </c:strRef>
          </c:tx>
          <c:spPr>
            <a:solidFill>
              <a:schemeClr val="accent5">
                <a:lumMod val="80000"/>
                <a:lumOff val="20000"/>
              </a:schemeClr>
            </a:solidFill>
            <a:ln>
              <a:noFill/>
            </a:ln>
            <a:effectLst/>
          </c:spPr>
          <c:cat>
            <c:numRef>
              <c:f>'Cost Curve'!$A$42:$A$93</c:f>
              <c:numCache>
                <c:formatCode>0</c:formatCode>
                <c:ptCount val="52"/>
                <c:pt idx="0">
                  <c:v>0</c:v>
                </c:pt>
                <c:pt idx="1">
                  <c:v>0</c:v>
                </c:pt>
                <c:pt idx="2">
                  <c:v>3076.8528900250658</c:v>
                </c:pt>
                <c:pt idx="3">
                  <c:v>3076.8528900250658</c:v>
                </c:pt>
                <c:pt idx="4">
                  <c:v>5223.4944412053446</c:v>
                </c:pt>
                <c:pt idx="5">
                  <c:v>5223.4944412053446</c:v>
                </c:pt>
                <c:pt idx="6">
                  <c:v>5964.5968814937742</c:v>
                </c:pt>
                <c:pt idx="7">
                  <c:v>5964.5968814937742</c:v>
                </c:pt>
                <c:pt idx="8">
                  <c:v>8065.2389708630471</c:v>
                </c:pt>
                <c:pt idx="9">
                  <c:v>8065.2389708630471</c:v>
                </c:pt>
                <c:pt idx="10">
                  <c:v>10462.32203634769</c:v>
                </c:pt>
                <c:pt idx="11">
                  <c:v>10462.32203634769</c:v>
                </c:pt>
                <c:pt idx="12">
                  <c:v>14586.940445401226</c:v>
                </c:pt>
                <c:pt idx="13">
                  <c:v>14586.940445401226</c:v>
                </c:pt>
                <c:pt idx="14">
                  <c:v>17326.463948812248</c:v>
                </c:pt>
                <c:pt idx="15">
                  <c:v>17326.463948812248</c:v>
                </c:pt>
                <c:pt idx="16">
                  <c:v>96885.088676603234</c:v>
                </c:pt>
                <c:pt idx="17">
                  <c:v>96885.088676603234</c:v>
                </c:pt>
                <c:pt idx="18">
                  <c:v>120717.92094601666</c:v>
                </c:pt>
                <c:pt idx="19">
                  <c:v>120717.92094601666</c:v>
                </c:pt>
                <c:pt idx="20">
                  <c:v>143380.32246490559</c:v>
                </c:pt>
                <c:pt idx="21">
                  <c:v>143380.32246490559</c:v>
                </c:pt>
                <c:pt idx="22">
                  <c:v>144775.63947317278</c:v>
                </c:pt>
                <c:pt idx="23">
                  <c:v>144775.63947317278</c:v>
                </c:pt>
                <c:pt idx="24">
                  <c:v>164785.40536096037</c:v>
                </c:pt>
                <c:pt idx="25">
                  <c:v>164785.40536096037</c:v>
                </c:pt>
                <c:pt idx="26">
                  <c:v>167407.3746841877</c:v>
                </c:pt>
                <c:pt idx="27">
                  <c:v>167407.3746841877</c:v>
                </c:pt>
                <c:pt idx="28">
                  <c:v>186481.81818181818</c:v>
                </c:pt>
                <c:pt idx="29">
                  <c:v>186481.81818181818</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Curve'!$R$42:$R$93</c:f>
              <c:numCache>
                <c:formatCode>General</c:formatCode>
                <c:ptCount val="52"/>
                <c:pt idx="33">
                  <c:v>#N/A</c:v>
                </c:pt>
                <c:pt idx="34">
                  <c:v>#N/A</c:v>
                </c:pt>
              </c:numCache>
            </c:numRef>
          </c:val>
          <c:extLst>
            <c:ext xmlns:c16="http://schemas.microsoft.com/office/drawing/2014/chart" uri="{C3380CC4-5D6E-409C-BE32-E72D297353CC}">
              <c16:uniqueId val="{00000010-492B-49FD-90E0-AB2E19DD36BE}"/>
            </c:ext>
          </c:extLst>
        </c:ser>
        <c:ser>
          <c:idx val="17"/>
          <c:order val="17"/>
          <c:tx>
            <c:strRef>
              <c:f>'Cost Curve'!$S$41</c:f>
              <c:strCache>
                <c:ptCount val="1"/>
              </c:strCache>
            </c:strRef>
          </c:tx>
          <c:spPr>
            <a:solidFill>
              <a:schemeClr val="accent6">
                <a:lumMod val="80000"/>
                <a:lumOff val="20000"/>
              </a:schemeClr>
            </a:solidFill>
            <a:ln>
              <a:noFill/>
            </a:ln>
            <a:effectLst/>
          </c:spPr>
          <c:cat>
            <c:numRef>
              <c:f>'Cost Curve'!$A$42:$A$93</c:f>
              <c:numCache>
                <c:formatCode>0</c:formatCode>
                <c:ptCount val="52"/>
                <c:pt idx="0">
                  <c:v>0</c:v>
                </c:pt>
                <c:pt idx="1">
                  <c:v>0</c:v>
                </c:pt>
                <c:pt idx="2">
                  <c:v>3076.8528900250658</c:v>
                </c:pt>
                <c:pt idx="3">
                  <c:v>3076.8528900250658</c:v>
                </c:pt>
                <c:pt idx="4">
                  <c:v>5223.4944412053446</c:v>
                </c:pt>
                <c:pt idx="5">
                  <c:v>5223.4944412053446</c:v>
                </c:pt>
                <c:pt idx="6">
                  <c:v>5964.5968814937742</c:v>
                </c:pt>
                <c:pt idx="7">
                  <c:v>5964.5968814937742</c:v>
                </c:pt>
                <c:pt idx="8">
                  <c:v>8065.2389708630471</c:v>
                </c:pt>
                <c:pt idx="9">
                  <c:v>8065.2389708630471</c:v>
                </c:pt>
                <c:pt idx="10">
                  <c:v>10462.32203634769</c:v>
                </c:pt>
                <c:pt idx="11">
                  <c:v>10462.32203634769</c:v>
                </c:pt>
                <c:pt idx="12">
                  <c:v>14586.940445401226</c:v>
                </c:pt>
                <c:pt idx="13">
                  <c:v>14586.940445401226</c:v>
                </c:pt>
                <c:pt idx="14">
                  <c:v>17326.463948812248</c:v>
                </c:pt>
                <c:pt idx="15">
                  <c:v>17326.463948812248</c:v>
                </c:pt>
                <c:pt idx="16">
                  <c:v>96885.088676603234</c:v>
                </c:pt>
                <c:pt idx="17">
                  <c:v>96885.088676603234</c:v>
                </c:pt>
                <c:pt idx="18">
                  <c:v>120717.92094601666</c:v>
                </c:pt>
                <c:pt idx="19">
                  <c:v>120717.92094601666</c:v>
                </c:pt>
                <c:pt idx="20">
                  <c:v>143380.32246490559</c:v>
                </c:pt>
                <c:pt idx="21">
                  <c:v>143380.32246490559</c:v>
                </c:pt>
                <c:pt idx="22">
                  <c:v>144775.63947317278</c:v>
                </c:pt>
                <c:pt idx="23">
                  <c:v>144775.63947317278</c:v>
                </c:pt>
                <c:pt idx="24">
                  <c:v>164785.40536096037</c:v>
                </c:pt>
                <c:pt idx="25">
                  <c:v>164785.40536096037</c:v>
                </c:pt>
                <c:pt idx="26">
                  <c:v>167407.3746841877</c:v>
                </c:pt>
                <c:pt idx="27">
                  <c:v>167407.3746841877</c:v>
                </c:pt>
                <c:pt idx="28">
                  <c:v>186481.81818181818</c:v>
                </c:pt>
                <c:pt idx="29">
                  <c:v>186481.81818181818</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Curve'!$S$42:$S$93</c:f>
              <c:numCache>
                <c:formatCode>General</c:formatCode>
                <c:ptCount val="52"/>
                <c:pt idx="35">
                  <c:v>#N/A</c:v>
                </c:pt>
                <c:pt idx="36">
                  <c:v>#N/A</c:v>
                </c:pt>
              </c:numCache>
            </c:numRef>
          </c:val>
          <c:extLst>
            <c:ext xmlns:c16="http://schemas.microsoft.com/office/drawing/2014/chart" uri="{C3380CC4-5D6E-409C-BE32-E72D297353CC}">
              <c16:uniqueId val="{00000011-492B-49FD-90E0-AB2E19DD36BE}"/>
            </c:ext>
          </c:extLst>
        </c:ser>
        <c:ser>
          <c:idx val="18"/>
          <c:order val="18"/>
          <c:tx>
            <c:strRef>
              <c:f>'Cost Curve'!$T$41</c:f>
              <c:strCache>
                <c:ptCount val="1"/>
              </c:strCache>
            </c:strRef>
          </c:tx>
          <c:spPr>
            <a:solidFill>
              <a:schemeClr val="accent1">
                <a:lumMod val="80000"/>
              </a:schemeClr>
            </a:solidFill>
            <a:ln>
              <a:noFill/>
            </a:ln>
            <a:effectLst/>
          </c:spPr>
          <c:cat>
            <c:numRef>
              <c:f>'Cost Curve'!$A$42:$A$93</c:f>
              <c:numCache>
                <c:formatCode>0</c:formatCode>
                <c:ptCount val="52"/>
                <c:pt idx="0">
                  <c:v>0</c:v>
                </c:pt>
                <c:pt idx="1">
                  <c:v>0</c:v>
                </c:pt>
                <c:pt idx="2">
                  <c:v>3076.8528900250658</c:v>
                </c:pt>
                <c:pt idx="3">
                  <c:v>3076.8528900250658</c:v>
                </c:pt>
                <c:pt idx="4">
                  <c:v>5223.4944412053446</c:v>
                </c:pt>
                <c:pt idx="5">
                  <c:v>5223.4944412053446</c:v>
                </c:pt>
                <c:pt idx="6">
                  <c:v>5964.5968814937742</c:v>
                </c:pt>
                <c:pt idx="7">
                  <c:v>5964.5968814937742</c:v>
                </c:pt>
                <c:pt idx="8">
                  <c:v>8065.2389708630471</c:v>
                </c:pt>
                <c:pt idx="9">
                  <c:v>8065.2389708630471</c:v>
                </c:pt>
                <c:pt idx="10">
                  <c:v>10462.32203634769</c:v>
                </c:pt>
                <c:pt idx="11">
                  <c:v>10462.32203634769</c:v>
                </c:pt>
                <c:pt idx="12">
                  <c:v>14586.940445401226</c:v>
                </c:pt>
                <c:pt idx="13">
                  <c:v>14586.940445401226</c:v>
                </c:pt>
                <c:pt idx="14">
                  <c:v>17326.463948812248</c:v>
                </c:pt>
                <c:pt idx="15">
                  <c:v>17326.463948812248</c:v>
                </c:pt>
                <c:pt idx="16">
                  <c:v>96885.088676603234</c:v>
                </c:pt>
                <c:pt idx="17">
                  <c:v>96885.088676603234</c:v>
                </c:pt>
                <c:pt idx="18">
                  <c:v>120717.92094601666</c:v>
                </c:pt>
                <c:pt idx="19">
                  <c:v>120717.92094601666</c:v>
                </c:pt>
                <c:pt idx="20">
                  <c:v>143380.32246490559</c:v>
                </c:pt>
                <c:pt idx="21">
                  <c:v>143380.32246490559</c:v>
                </c:pt>
                <c:pt idx="22">
                  <c:v>144775.63947317278</c:v>
                </c:pt>
                <c:pt idx="23">
                  <c:v>144775.63947317278</c:v>
                </c:pt>
                <c:pt idx="24">
                  <c:v>164785.40536096037</c:v>
                </c:pt>
                <c:pt idx="25">
                  <c:v>164785.40536096037</c:v>
                </c:pt>
                <c:pt idx="26">
                  <c:v>167407.3746841877</c:v>
                </c:pt>
                <c:pt idx="27">
                  <c:v>167407.3746841877</c:v>
                </c:pt>
                <c:pt idx="28">
                  <c:v>186481.81818181818</c:v>
                </c:pt>
                <c:pt idx="29">
                  <c:v>186481.81818181818</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Curve'!$T$42:$T$93</c:f>
              <c:numCache>
                <c:formatCode>General</c:formatCode>
                <c:ptCount val="52"/>
                <c:pt idx="37">
                  <c:v>#N/A</c:v>
                </c:pt>
                <c:pt idx="38">
                  <c:v>#N/A</c:v>
                </c:pt>
              </c:numCache>
            </c:numRef>
          </c:val>
          <c:extLst>
            <c:ext xmlns:c16="http://schemas.microsoft.com/office/drawing/2014/chart" uri="{C3380CC4-5D6E-409C-BE32-E72D297353CC}">
              <c16:uniqueId val="{00000012-492B-49FD-90E0-AB2E19DD36BE}"/>
            </c:ext>
          </c:extLst>
        </c:ser>
        <c:ser>
          <c:idx val="19"/>
          <c:order val="19"/>
          <c:tx>
            <c:strRef>
              <c:f>'Cost Curve'!$U$41</c:f>
              <c:strCache>
                <c:ptCount val="1"/>
              </c:strCache>
            </c:strRef>
          </c:tx>
          <c:spPr>
            <a:solidFill>
              <a:schemeClr val="accent2">
                <a:lumMod val="80000"/>
              </a:schemeClr>
            </a:solidFill>
            <a:ln>
              <a:noFill/>
            </a:ln>
            <a:effectLst/>
          </c:spPr>
          <c:cat>
            <c:numRef>
              <c:f>'Cost Curve'!$A$42:$A$93</c:f>
              <c:numCache>
                <c:formatCode>0</c:formatCode>
                <c:ptCount val="52"/>
                <c:pt idx="0">
                  <c:v>0</c:v>
                </c:pt>
                <c:pt idx="1">
                  <c:v>0</c:v>
                </c:pt>
                <c:pt idx="2">
                  <c:v>3076.8528900250658</c:v>
                </c:pt>
                <c:pt idx="3">
                  <c:v>3076.8528900250658</c:v>
                </c:pt>
                <c:pt idx="4">
                  <c:v>5223.4944412053446</c:v>
                </c:pt>
                <c:pt idx="5">
                  <c:v>5223.4944412053446</c:v>
                </c:pt>
                <c:pt idx="6">
                  <c:v>5964.5968814937742</c:v>
                </c:pt>
                <c:pt idx="7">
                  <c:v>5964.5968814937742</c:v>
                </c:pt>
                <c:pt idx="8">
                  <c:v>8065.2389708630471</c:v>
                </c:pt>
                <c:pt idx="9">
                  <c:v>8065.2389708630471</c:v>
                </c:pt>
                <c:pt idx="10">
                  <c:v>10462.32203634769</c:v>
                </c:pt>
                <c:pt idx="11">
                  <c:v>10462.32203634769</c:v>
                </c:pt>
                <c:pt idx="12">
                  <c:v>14586.940445401226</c:v>
                </c:pt>
                <c:pt idx="13">
                  <c:v>14586.940445401226</c:v>
                </c:pt>
                <c:pt idx="14">
                  <c:v>17326.463948812248</c:v>
                </c:pt>
                <c:pt idx="15">
                  <c:v>17326.463948812248</c:v>
                </c:pt>
                <c:pt idx="16">
                  <c:v>96885.088676603234</c:v>
                </c:pt>
                <c:pt idx="17">
                  <c:v>96885.088676603234</c:v>
                </c:pt>
                <c:pt idx="18">
                  <c:v>120717.92094601666</c:v>
                </c:pt>
                <c:pt idx="19">
                  <c:v>120717.92094601666</c:v>
                </c:pt>
                <c:pt idx="20">
                  <c:v>143380.32246490559</c:v>
                </c:pt>
                <c:pt idx="21">
                  <c:v>143380.32246490559</c:v>
                </c:pt>
                <c:pt idx="22">
                  <c:v>144775.63947317278</c:v>
                </c:pt>
                <c:pt idx="23">
                  <c:v>144775.63947317278</c:v>
                </c:pt>
                <c:pt idx="24">
                  <c:v>164785.40536096037</c:v>
                </c:pt>
                <c:pt idx="25">
                  <c:v>164785.40536096037</c:v>
                </c:pt>
                <c:pt idx="26">
                  <c:v>167407.3746841877</c:v>
                </c:pt>
                <c:pt idx="27">
                  <c:v>167407.3746841877</c:v>
                </c:pt>
                <c:pt idx="28">
                  <c:v>186481.81818181818</c:v>
                </c:pt>
                <c:pt idx="29">
                  <c:v>186481.81818181818</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Curve'!$U$42:$U$93</c:f>
              <c:numCache>
                <c:formatCode>General</c:formatCode>
                <c:ptCount val="52"/>
                <c:pt idx="39">
                  <c:v>#N/A</c:v>
                </c:pt>
                <c:pt idx="40">
                  <c:v>#N/A</c:v>
                </c:pt>
              </c:numCache>
            </c:numRef>
          </c:val>
          <c:extLst>
            <c:ext xmlns:c16="http://schemas.microsoft.com/office/drawing/2014/chart" uri="{C3380CC4-5D6E-409C-BE32-E72D297353CC}">
              <c16:uniqueId val="{00000013-492B-49FD-90E0-AB2E19DD36BE}"/>
            </c:ext>
          </c:extLst>
        </c:ser>
        <c:ser>
          <c:idx val="20"/>
          <c:order val="20"/>
          <c:tx>
            <c:strRef>
              <c:f>'Cost Curve'!$V$41</c:f>
              <c:strCache>
                <c:ptCount val="1"/>
              </c:strCache>
            </c:strRef>
          </c:tx>
          <c:spPr>
            <a:solidFill>
              <a:schemeClr val="accent3">
                <a:lumMod val="80000"/>
              </a:schemeClr>
            </a:solidFill>
            <a:ln>
              <a:noFill/>
            </a:ln>
            <a:effectLst/>
          </c:spPr>
          <c:cat>
            <c:numRef>
              <c:f>'Cost Curve'!$A$42:$A$93</c:f>
              <c:numCache>
                <c:formatCode>0</c:formatCode>
                <c:ptCount val="52"/>
                <c:pt idx="0">
                  <c:v>0</c:v>
                </c:pt>
                <c:pt idx="1">
                  <c:v>0</c:v>
                </c:pt>
                <c:pt idx="2">
                  <c:v>3076.8528900250658</c:v>
                </c:pt>
                <c:pt idx="3">
                  <c:v>3076.8528900250658</c:v>
                </c:pt>
                <c:pt idx="4">
                  <c:v>5223.4944412053446</c:v>
                </c:pt>
                <c:pt idx="5">
                  <c:v>5223.4944412053446</c:v>
                </c:pt>
                <c:pt idx="6">
                  <c:v>5964.5968814937742</c:v>
                </c:pt>
                <c:pt idx="7">
                  <c:v>5964.5968814937742</c:v>
                </c:pt>
                <c:pt idx="8">
                  <c:v>8065.2389708630471</c:v>
                </c:pt>
                <c:pt idx="9">
                  <c:v>8065.2389708630471</c:v>
                </c:pt>
                <c:pt idx="10">
                  <c:v>10462.32203634769</c:v>
                </c:pt>
                <c:pt idx="11">
                  <c:v>10462.32203634769</c:v>
                </c:pt>
                <c:pt idx="12">
                  <c:v>14586.940445401226</c:v>
                </c:pt>
                <c:pt idx="13">
                  <c:v>14586.940445401226</c:v>
                </c:pt>
                <c:pt idx="14">
                  <c:v>17326.463948812248</c:v>
                </c:pt>
                <c:pt idx="15">
                  <c:v>17326.463948812248</c:v>
                </c:pt>
                <c:pt idx="16">
                  <c:v>96885.088676603234</c:v>
                </c:pt>
                <c:pt idx="17">
                  <c:v>96885.088676603234</c:v>
                </c:pt>
                <c:pt idx="18">
                  <c:v>120717.92094601666</c:v>
                </c:pt>
                <c:pt idx="19">
                  <c:v>120717.92094601666</c:v>
                </c:pt>
                <c:pt idx="20">
                  <c:v>143380.32246490559</c:v>
                </c:pt>
                <c:pt idx="21">
                  <c:v>143380.32246490559</c:v>
                </c:pt>
                <c:pt idx="22">
                  <c:v>144775.63947317278</c:v>
                </c:pt>
                <c:pt idx="23">
                  <c:v>144775.63947317278</c:v>
                </c:pt>
                <c:pt idx="24">
                  <c:v>164785.40536096037</c:v>
                </c:pt>
                <c:pt idx="25">
                  <c:v>164785.40536096037</c:v>
                </c:pt>
                <c:pt idx="26">
                  <c:v>167407.3746841877</c:v>
                </c:pt>
                <c:pt idx="27">
                  <c:v>167407.3746841877</c:v>
                </c:pt>
                <c:pt idx="28">
                  <c:v>186481.81818181818</c:v>
                </c:pt>
                <c:pt idx="29">
                  <c:v>186481.81818181818</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Curve'!$V$42:$V$93</c:f>
              <c:numCache>
                <c:formatCode>General</c:formatCode>
                <c:ptCount val="52"/>
                <c:pt idx="41" formatCode="0.00">
                  <c:v>#N/A</c:v>
                </c:pt>
                <c:pt idx="42" formatCode="0.00">
                  <c:v>#N/A</c:v>
                </c:pt>
              </c:numCache>
            </c:numRef>
          </c:val>
          <c:extLst>
            <c:ext xmlns:c16="http://schemas.microsoft.com/office/drawing/2014/chart" uri="{C3380CC4-5D6E-409C-BE32-E72D297353CC}">
              <c16:uniqueId val="{00000014-492B-49FD-90E0-AB2E19DD36BE}"/>
            </c:ext>
          </c:extLst>
        </c:ser>
        <c:ser>
          <c:idx val="21"/>
          <c:order val="21"/>
          <c:tx>
            <c:strRef>
              <c:f>'Cost Curve'!$W$41</c:f>
              <c:strCache>
                <c:ptCount val="1"/>
              </c:strCache>
            </c:strRef>
          </c:tx>
          <c:spPr>
            <a:solidFill>
              <a:schemeClr val="accent4">
                <a:lumMod val="80000"/>
              </a:schemeClr>
            </a:solidFill>
            <a:ln>
              <a:noFill/>
            </a:ln>
            <a:effectLst/>
          </c:spPr>
          <c:cat>
            <c:numRef>
              <c:f>'Cost Curve'!$A$42:$A$93</c:f>
              <c:numCache>
                <c:formatCode>0</c:formatCode>
                <c:ptCount val="52"/>
                <c:pt idx="0">
                  <c:v>0</c:v>
                </c:pt>
                <c:pt idx="1">
                  <c:v>0</c:v>
                </c:pt>
                <c:pt idx="2">
                  <c:v>3076.8528900250658</c:v>
                </c:pt>
                <c:pt idx="3">
                  <c:v>3076.8528900250658</c:v>
                </c:pt>
                <c:pt idx="4">
                  <c:v>5223.4944412053446</c:v>
                </c:pt>
                <c:pt idx="5">
                  <c:v>5223.4944412053446</c:v>
                </c:pt>
                <c:pt idx="6">
                  <c:v>5964.5968814937742</c:v>
                </c:pt>
                <c:pt idx="7">
                  <c:v>5964.5968814937742</c:v>
                </c:pt>
                <c:pt idx="8">
                  <c:v>8065.2389708630471</c:v>
                </c:pt>
                <c:pt idx="9">
                  <c:v>8065.2389708630471</c:v>
                </c:pt>
                <c:pt idx="10">
                  <c:v>10462.32203634769</c:v>
                </c:pt>
                <c:pt idx="11">
                  <c:v>10462.32203634769</c:v>
                </c:pt>
                <c:pt idx="12">
                  <c:v>14586.940445401226</c:v>
                </c:pt>
                <c:pt idx="13">
                  <c:v>14586.940445401226</c:v>
                </c:pt>
                <c:pt idx="14">
                  <c:v>17326.463948812248</c:v>
                </c:pt>
                <c:pt idx="15">
                  <c:v>17326.463948812248</c:v>
                </c:pt>
                <c:pt idx="16">
                  <c:v>96885.088676603234</c:v>
                </c:pt>
                <c:pt idx="17">
                  <c:v>96885.088676603234</c:v>
                </c:pt>
                <c:pt idx="18">
                  <c:v>120717.92094601666</c:v>
                </c:pt>
                <c:pt idx="19">
                  <c:v>120717.92094601666</c:v>
                </c:pt>
                <c:pt idx="20">
                  <c:v>143380.32246490559</c:v>
                </c:pt>
                <c:pt idx="21">
                  <c:v>143380.32246490559</c:v>
                </c:pt>
                <c:pt idx="22">
                  <c:v>144775.63947317278</c:v>
                </c:pt>
                <c:pt idx="23">
                  <c:v>144775.63947317278</c:v>
                </c:pt>
                <c:pt idx="24">
                  <c:v>164785.40536096037</c:v>
                </c:pt>
                <c:pt idx="25">
                  <c:v>164785.40536096037</c:v>
                </c:pt>
                <c:pt idx="26">
                  <c:v>167407.3746841877</c:v>
                </c:pt>
                <c:pt idx="27">
                  <c:v>167407.3746841877</c:v>
                </c:pt>
                <c:pt idx="28">
                  <c:v>186481.81818181818</c:v>
                </c:pt>
                <c:pt idx="29">
                  <c:v>186481.81818181818</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Curve'!$W$42:$W$93</c:f>
              <c:numCache>
                <c:formatCode>General</c:formatCode>
                <c:ptCount val="52"/>
                <c:pt idx="43" formatCode="0.00">
                  <c:v>#N/A</c:v>
                </c:pt>
                <c:pt idx="44" formatCode="0.00">
                  <c:v>#N/A</c:v>
                </c:pt>
              </c:numCache>
            </c:numRef>
          </c:val>
          <c:extLst>
            <c:ext xmlns:c16="http://schemas.microsoft.com/office/drawing/2014/chart" uri="{C3380CC4-5D6E-409C-BE32-E72D297353CC}">
              <c16:uniqueId val="{00000015-492B-49FD-90E0-AB2E19DD36BE}"/>
            </c:ext>
          </c:extLst>
        </c:ser>
        <c:ser>
          <c:idx val="22"/>
          <c:order val="22"/>
          <c:tx>
            <c:strRef>
              <c:f>'Cost Curve'!$X$41</c:f>
              <c:strCache>
                <c:ptCount val="1"/>
              </c:strCache>
            </c:strRef>
          </c:tx>
          <c:spPr>
            <a:solidFill>
              <a:schemeClr val="accent5">
                <a:lumMod val="80000"/>
              </a:schemeClr>
            </a:solidFill>
            <a:ln>
              <a:noFill/>
            </a:ln>
            <a:effectLst/>
          </c:spPr>
          <c:cat>
            <c:numRef>
              <c:f>'Cost Curve'!$A$42:$A$93</c:f>
              <c:numCache>
                <c:formatCode>0</c:formatCode>
                <c:ptCount val="52"/>
                <c:pt idx="0">
                  <c:v>0</c:v>
                </c:pt>
                <c:pt idx="1">
                  <c:v>0</c:v>
                </c:pt>
                <c:pt idx="2">
                  <c:v>3076.8528900250658</c:v>
                </c:pt>
                <c:pt idx="3">
                  <c:v>3076.8528900250658</c:v>
                </c:pt>
                <c:pt idx="4">
                  <c:v>5223.4944412053446</c:v>
                </c:pt>
                <c:pt idx="5">
                  <c:v>5223.4944412053446</c:v>
                </c:pt>
                <c:pt idx="6">
                  <c:v>5964.5968814937742</c:v>
                </c:pt>
                <c:pt idx="7">
                  <c:v>5964.5968814937742</c:v>
                </c:pt>
                <c:pt idx="8">
                  <c:v>8065.2389708630471</c:v>
                </c:pt>
                <c:pt idx="9">
                  <c:v>8065.2389708630471</c:v>
                </c:pt>
                <c:pt idx="10">
                  <c:v>10462.32203634769</c:v>
                </c:pt>
                <c:pt idx="11">
                  <c:v>10462.32203634769</c:v>
                </c:pt>
                <c:pt idx="12">
                  <c:v>14586.940445401226</c:v>
                </c:pt>
                <c:pt idx="13">
                  <c:v>14586.940445401226</c:v>
                </c:pt>
                <c:pt idx="14">
                  <c:v>17326.463948812248</c:v>
                </c:pt>
                <c:pt idx="15">
                  <c:v>17326.463948812248</c:v>
                </c:pt>
                <c:pt idx="16">
                  <c:v>96885.088676603234</c:v>
                </c:pt>
                <c:pt idx="17">
                  <c:v>96885.088676603234</c:v>
                </c:pt>
                <c:pt idx="18">
                  <c:v>120717.92094601666</c:v>
                </c:pt>
                <c:pt idx="19">
                  <c:v>120717.92094601666</c:v>
                </c:pt>
                <c:pt idx="20">
                  <c:v>143380.32246490559</c:v>
                </c:pt>
                <c:pt idx="21">
                  <c:v>143380.32246490559</c:v>
                </c:pt>
                <c:pt idx="22">
                  <c:v>144775.63947317278</c:v>
                </c:pt>
                <c:pt idx="23">
                  <c:v>144775.63947317278</c:v>
                </c:pt>
                <c:pt idx="24">
                  <c:v>164785.40536096037</c:v>
                </c:pt>
                <c:pt idx="25">
                  <c:v>164785.40536096037</c:v>
                </c:pt>
                <c:pt idx="26">
                  <c:v>167407.3746841877</c:v>
                </c:pt>
                <c:pt idx="27">
                  <c:v>167407.3746841877</c:v>
                </c:pt>
                <c:pt idx="28">
                  <c:v>186481.81818181818</c:v>
                </c:pt>
                <c:pt idx="29">
                  <c:v>186481.81818181818</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Curve'!$X$42:$X$93</c:f>
              <c:numCache>
                <c:formatCode>General</c:formatCode>
                <c:ptCount val="52"/>
                <c:pt idx="45" formatCode="0.00">
                  <c:v>#N/A</c:v>
                </c:pt>
                <c:pt idx="46" formatCode="0.00">
                  <c:v>#N/A</c:v>
                </c:pt>
              </c:numCache>
            </c:numRef>
          </c:val>
          <c:extLst>
            <c:ext xmlns:c16="http://schemas.microsoft.com/office/drawing/2014/chart" uri="{C3380CC4-5D6E-409C-BE32-E72D297353CC}">
              <c16:uniqueId val="{00000016-492B-49FD-90E0-AB2E19DD36BE}"/>
            </c:ext>
          </c:extLst>
        </c:ser>
        <c:ser>
          <c:idx val="23"/>
          <c:order val="23"/>
          <c:tx>
            <c:strRef>
              <c:f>'Cost Curve'!$Y$41</c:f>
              <c:strCache>
                <c:ptCount val="1"/>
              </c:strCache>
            </c:strRef>
          </c:tx>
          <c:spPr>
            <a:solidFill>
              <a:schemeClr val="accent6">
                <a:lumMod val="80000"/>
              </a:schemeClr>
            </a:solidFill>
            <a:ln>
              <a:noFill/>
            </a:ln>
            <a:effectLst/>
          </c:spPr>
          <c:cat>
            <c:numRef>
              <c:f>'Cost Curve'!$A$42:$A$93</c:f>
              <c:numCache>
                <c:formatCode>0</c:formatCode>
                <c:ptCount val="52"/>
                <c:pt idx="0">
                  <c:v>0</c:v>
                </c:pt>
                <c:pt idx="1">
                  <c:v>0</c:v>
                </c:pt>
                <c:pt idx="2">
                  <c:v>3076.8528900250658</c:v>
                </c:pt>
                <c:pt idx="3">
                  <c:v>3076.8528900250658</c:v>
                </c:pt>
                <c:pt idx="4">
                  <c:v>5223.4944412053446</c:v>
                </c:pt>
                <c:pt idx="5">
                  <c:v>5223.4944412053446</c:v>
                </c:pt>
                <c:pt idx="6">
                  <c:v>5964.5968814937742</c:v>
                </c:pt>
                <c:pt idx="7">
                  <c:v>5964.5968814937742</c:v>
                </c:pt>
                <c:pt idx="8">
                  <c:v>8065.2389708630471</c:v>
                </c:pt>
                <c:pt idx="9">
                  <c:v>8065.2389708630471</c:v>
                </c:pt>
                <c:pt idx="10">
                  <c:v>10462.32203634769</c:v>
                </c:pt>
                <c:pt idx="11">
                  <c:v>10462.32203634769</c:v>
                </c:pt>
                <c:pt idx="12">
                  <c:v>14586.940445401226</c:v>
                </c:pt>
                <c:pt idx="13">
                  <c:v>14586.940445401226</c:v>
                </c:pt>
                <c:pt idx="14">
                  <c:v>17326.463948812248</c:v>
                </c:pt>
                <c:pt idx="15">
                  <c:v>17326.463948812248</c:v>
                </c:pt>
                <c:pt idx="16">
                  <c:v>96885.088676603234</c:v>
                </c:pt>
                <c:pt idx="17">
                  <c:v>96885.088676603234</c:v>
                </c:pt>
                <c:pt idx="18">
                  <c:v>120717.92094601666</c:v>
                </c:pt>
                <c:pt idx="19">
                  <c:v>120717.92094601666</c:v>
                </c:pt>
                <c:pt idx="20">
                  <c:v>143380.32246490559</c:v>
                </c:pt>
                <c:pt idx="21">
                  <c:v>143380.32246490559</c:v>
                </c:pt>
                <c:pt idx="22">
                  <c:v>144775.63947317278</c:v>
                </c:pt>
                <c:pt idx="23">
                  <c:v>144775.63947317278</c:v>
                </c:pt>
                <c:pt idx="24">
                  <c:v>164785.40536096037</c:v>
                </c:pt>
                <c:pt idx="25">
                  <c:v>164785.40536096037</c:v>
                </c:pt>
                <c:pt idx="26">
                  <c:v>167407.3746841877</c:v>
                </c:pt>
                <c:pt idx="27">
                  <c:v>167407.3746841877</c:v>
                </c:pt>
                <c:pt idx="28">
                  <c:v>186481.81818181818</c:v>
                </c:pt>
                <c:pt idx="29">
                  <c:v>186481.81818181818</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Curve'!$Y$42:$Y$93</c:f>
              <c:numCache>
                <c:formatCode>General</c:formatCode>
                <c:ptCount val="52"/>
                <c:pt idx="47" formatCode="0.00">
                  <c:v>#N/A</c:v>
                </c:pt>
                <c:pt idx="48" formatCode="0.00">
                  <c:v>#N/A</c:v>
                </c:pt>
              </c:numCache>
            </c:numRef>
          </c:val>
          <c:extLst>
            <c:ext xmlns:c16="http://schemas.microsoft.com/office/drawing/2014/chart" uri="{C3380CC4-5D6E-409C-BE32-E72D297353CC}">
              <c16:uniqueId val="{00000017-492B-49FD-90E0-AB2E19DD36BE}"/>
            </c:ext>
          </c:extLst>
        </c:ser>
        <c:ser>
          <c:idx val="24"/>
          <c:order val="24"/>
          <c:tx>
            <c:strRef>
              <c:f>'Cost Curve'!$Z$41</c:f>
              <c:strCache>
                <c:ptCount val="1"/>
              </c:strCache>
            </c:strRef>
          </c:tx>
          <c:spPr>
            <a:solidFill>
              <a:schemeClr val="accent1">
                <a:lumMod val="60000"/>
                <a:lumOff val="40000"/>
              </a:schemeClr>
            </a:solidFill>
            <a:ln>
              <a:noFill/>
            </a:ln>
            <a:effectLst/>
          </c:spPr>
          <c:cat>
            <c:numRef>
              <c:f>'Cost Curve'!$A$42:$A$93</c:f>
              <c:numCache>
                <c:formatCode>0</c:formatCode>
                <c:ptCount val="52"/>
                <c:pt idx="0">
                  <c:v>0</c:v>
                </c:pt>
                <c:pt idx="1">
                  <c:v>0</c:v>
                </c:pt>
                <c:pt idx="2">
                  <c:v>3076.8528900250658</c:v>
                </c:pt>
                <c:pt idx="3">
                  <c:v>3076.8528900250658</c:v>
                </c:pt>
                <c:pt idx="4">
                  <c:v>5223.4944412053446</c:v>
                </c:pt>
                <c:pt idx="5">
                  <c:v>5223.4944412053446</c:v>
                </c:pt>
                <c:pt idx="6">
                  <c:v>5964.5968814937742</c:v>
                </c:pt>
                <c:pt idx="7">
                  <c:v>5964.5968814937742</c:v>
                </c:pt>
                <c:pt idx="8">
                  <c:v>8065.2389708630471</c:v>
                </c:pt>
                <c:pt idx="9">
                  <c:v>8065.2389708630471</c:v>
                </c:pt>
                <c:pt idx="10">
                  <c:v>10462.32203634769</c:v>
                </c:pt>
                <c:pt idx="11">
                  <c:v>10462.32203634769</c:v>
                </c:pt>
                <c:pt idx="12">
                  <c:v>14586.940445401226</c:v>
                </c:pt>
                <c:pt idx="13">
                  <c:v>14586.940445401226</c:v>
                </c:pt>
                <c:pt idx="14">
                  <c:v>17326.463948812248</c:v>
                </c:pt>
                <c:pt idx="15">
                  <c:v>17326.463948812248</c:v>
                </c:pt>
                <c:pt idx="16">
                  <c:v>96885.088676603234</c:v>
                </c:pt>
                <c:pt idx="17">
                  <c:v>96885.088676603234</c:v>
                </c:pt>
                <c:pt idx="18">
                  <c:v>120717.92094601666</c:v>
                </c:pt>
                <c:pt idx="19">
                  <c:v>120717.92094601666</c:v>
                </c:pt>
                <c:pt idx="20">
                  <c:v>143380.32246490559</c:v>
                </c:pt>
                <c:pt idx="21">
                  <c:v>143380.32246490559</c:v>
                </c:pt>
                <c:pt idx="22">
                  <c:v>144775.63947317278</c:v>
                </c:pt>
                <c:pt idx="23">
                  <c:v>144775.63947317278</c:v>
                </c:pt>
                <c:pt idx="24">
                  <c:v>164785.40536096037</c:v>
                </c:pt>
                <c:pt idx="25">
                  <c:v>164785.40536096037</c:v>
                </c:pt>
                <c:pt idx="26">
                  <c:v>167407.3746841877</c:v>
                </c:pt>
                <c:pt idx="27">
                  <c:v>167407.3746841877</c:v>
                </c:pt>
                <c:pt idx="28">
                  <c:v>186481.81818181818</c:v>
                </c:pt>
                <c:pt idx="29">
                  <c:v>186481.81818181818</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Curve'!$Z$42:$Z$93</c:f>
              <c:numCache>
                <c:formatCode>General</c:formatCode>
                <c:ptCount val="52"/>
                <c:pt idx="49" formatCode="0.00">
                  <c:v>#N/A</c:v>
                </c:pt>
                <c:pt idx="50" formatCode="0.00">
                  <c:v>#N/A</c:v>
                </c:pt>
              </c:numCache>
            </c:numRef>
          </c:val>
          <c:extLst>
            <c:ext xmlns:c16="http://schemas.microsoft.com/office/drawing/2014/chart" uri="{C3380CC4-5D6E-409C-BE32-E72D297353CC}">
              <c16:uniqueId val="{00000018-492B-49FD-90E0-AB2E19DD36BE}"/>
            </c:ext>
          </c:extLst>
        </c:ser>
        <c:dLbls>
          <c:showLegendKey val="0"/>
          <c:showVal val="0"/>
          <c:showCatName val="0"/>
          <c:showSerName val="0"/>
          <c:showPercent val="0"/>
          <c:showBubbleSize val="0"/>
        </c:dLbls>
        <c:axId val="68441600"/>
        <c:axId val="68443136"/>
      </c:areaChart>
      <c:dateAx>
        <c:axId val="68441600"/>
        <c:scaling>
          <c:orientation val="minMax"/>
        </c:scaling>
        <c:delete val="1"/>
        <c:axPos val="b"/>
        <c:numFmt formatCode="0" sourceLinked="1"/>
        <c:majorTickMark val="out"/>
        <c:minorTickMark val="none"/>
        <c:tickLblPos val="nextTo"/>
        <c:crossAx val="68443136"/>
        <c:crosses val="autoZero"/>
        <c:auto val="0"/>
        <c:lblOffset val="100"/>
        <c:baseTimeUnit val="days"/>
      </c:dateAx>
      <c:valAx>
        <c:axId val="6844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4160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152400</xdr:colOff>
      <xdr:row>2</xdr:row>
      <xdr:rowOff>1</xdr:rowOff>
    </xdr:from>
    <xdr:to>
      <xdr:col>17</xdr:col>
      <xdr:colOff>581025</xdr:colOff>
      <xdr:row>36</xdr:row>
      <xdr:rowOff>85726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topLeftCell="A13" workbookViewId="0"/>
  </sheetViews>
  <sheetFormatPr defaultRowHeight="14.25" x14ac:dyDescent="0.45"/>
  <cols>
    <col min="1" max="1" width="102.86328125" customWidth="1"/>
  </cols>
  <sheetData>
    <row r="1" spans="1:1" x14ac:dyDescent="0.45">
      <c r="A1" s="14" t="s">
        <v>45</v>
      </c>
    </row>
    <row r="3" spans="1:1" x14ac:dyDescent="0.45">
      <c r="A3" t="s">
        <v>46</v>
      </c>
    </row>
    <row r="4" spans="1:1" x14ac:dyDescent="0.45">
      <c r="A4" t="s">
        <v>47</v>
      </c>
    </row>
    <row r="5" spans="1:1" x14ac:dyDescent="0.45">
      <c r="A5" t="s">
        <v>48</v>
      </c>
    </row>
    <row r="7" spans="1:1" x14ac:dyDescent="0.45">
      <c r="A7" t="s">
        <v>58</v>
      </c>
    </row>
    <row r="8" spans="1:1" x14ac:dyDescent="0.45">
      <c r="A8" t="s">
        <v>59</v>
      </c>
    </row>
    <row r="9" spans="1:1" x14ac:dyDescent="0.45">
      <c r="A9" t="s">
        <v>60</v>
      </c>
    </row>
    <row r="12" spans="1:1" x14ac:dyDescent="0.45">
      <c r="A12" s="14" t="s">
        <v>62</v>
      </c>
    </row>
    <row r="14" spans="1:1" x14ac:dyDescent="0.45">
      <c r="A14" t="s">
        <v>61</v>
      </c>
    </row>
    <row r="15" spans="1:1" x14ac:dyDescent="0.45">
      <c r="A15" t="s">
        <v>49</v>
      </c>
    </row>
    <row r="16" spans="1:1" x14ac:dyDescent="0.45">
      <c r="A16" t="s">
        <v>50</v>
      </c>
    </row>
    <row r="18" spans="1:1" x14ac:dyDescent="0.45">
      <c r="A18" t="s">
        <v>51</v>
      </c>
    </row>
    <row r="19" spans="1:1" x14ac:dyDescent="0.45">
      <c r="A19" t="s">
        <v>52</v>
      </c>
    </row>
    <row r="21" spans="1:1" x14ac:dyDescent="0.45">
      <c r="A21" t="s">
        <v>53</v>
      </c>
    </row>
    <row r="22" spans="1:1" x14ac:dyDescent="0.45">
      <c r="A22" t="s">
        <v>54</v>
      </c>
    </row>
    <row r="23" spans="1:1" x14ac:dyDescent="0.45">
      <c r="A23" t="s">
        <v>55</v>
      </c>
    </row>
    <row r="25" spans="1:1" x14ac:dyDescent="0.45">
      <c r="A25" t="s">
        <v>56</v>
      </c>
    </row>
    <row r="26" spans="1:1" x14ac:dyDescent="0.45">
      <c r="A26" t="s">
        <v>57</v>
      </c>
    </row>
    <row r="29" spans="1:1" x14ac:dyDescent="0.45">
      <c r="A29" s="14" t="s">
        <v>63</v>
      </c>
    </row>
    <row r="31" spans="1:1" x14ac:dyDescent="0.45">
      <c r="A31" t="s">
        <v>64</v>
      </c>
    </row>
    <row r="32" spans="1:1" x14ac:dyDescent="0.45">
      <c r="A32" t="s">
        <v>65</v>
      </c>
    </row>
    <row r="34" spans="1:1" x14ac:dyDescent="0.45">
      <c r="A34" t="s">
        <v>66</v>
      </c>
    </row>
    <row r="35" spans="1:1" x14ac:dyDescent="0.45">
      <c r="A35" s="52" t="s">
        <v>3</v>
      </c>
    </row>
    <row r="36" spans="1:1" x14ac:dyDescent="0.45">
      <c r="A36" t="s">
        <v>67</v>
      </c>
    </row>
    <row r="37" spans="1:1" x14ac:dyDescent="0.45">
      <c r="A37" s="52" t="s">
        <v>28</v>
      </c>
    </row>
    <row r="38" spans="1:1" x14ac:dyDescent="0.45">
      <c r="A38" s="52" t="s">
        <v>21</v>
      </c>
    </row>
    <row r="40" spans="1:1" x14ac:dyDescent="0.45">
      <c r="A40" t="s">
        <v>68</v>
      </c>
    </row>
    <row r="41" spans="1:1" x14ac:dyDescent="0.45">
      <c r="A41" t="s">
        <v>75</v>
      </c>
    </row>
    <row r="42" spans="1:1" x14ac:dyDescent="0.45">
      <c r="A42" t="s">
        <v>69</v>
      </c>
    </row>
    <row r="44" spans="1:1" x14ac:dyDescent="0.45">
      <c r="A44" t="s">
        <v>70</v>
      </c>
    </row>
    <row r="46" spans="1:1" x14ac:dyDescent="0.45">
      <c r="A46" t="s">
        <v>71</v>
      </c>
    </row>
    <row r="47" spans="1:1" x14ac:dyDescent="0.45">
      <c r="A47" t="s">
        <v>72</v>
      </c>
    </row>
    <row r="49" spans="1:1" x14ac:dyDescent="0.45">
      <c r="A49" t="s">
        <v>73</v>
      </c>
    </row>
    <row r="50" spans="1:1" x14ac:dyDescent="0.45">
      <c r="A50" t="s">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N53"/>
  <sheetViews>
    <sheetView zoomScaleNormal="100" workbookViewId="0">
      <selection activeCell="F23" sqref="F23"/>
    </sheetView>
  </sheetViews>
  <sheetFormatPr defaultRowHeight="14.25" x14ac:dyDescent="0.45"/>
  <cols>
    <col min="1" max="1" width="31.265625" style="13" customWidth="1"/>
    <col min="2" max="2" width="6" style="9" customWidth="1"/>
    <col min="3" max="3" width="41.73046875" customWidth="1"/>
    <col min="4" max="4" width="28.86328125" customWidth="1"/>
    <col min="5" max="5" width="32.86328125" customWidth="1"/>
    <col min="6" max="6" width="32.86328125" style="15" customWidth="1"/>
    <col min="7" max="8" width="36.86328125" customWidth="1"/>
    <col min="9" max="9" width="6" style="9" customWidth="1"/>
    <col min="10" max="10" width="26.59765625" customWidth="1"/>
    <col min="11" max="11" width="31.73046875" customWidth="1"/>
    <col min="12" max="12" width="29.3984375" customWidth="1"/>
    <col min="13" max="13" width="31.3984375" customWidth="1"/>
    <col min="14" max="14" width="9.1328125" style="9"/>
  </cols>
  <sheetData>
    <row r="1" spans="1:14" x14ac:dyDescent="0.45">
      <c r="H1" s="51" t="s">
        <v>12</v>
      </c>
      <c r="M1" s="51" t="s">
        <v>15</v>
      </c>
    </row>
    <row r="2" spans="1:14" s="5" customFormat="1" ht="28.5" x14ac:dyDescent="0.45">
      <c r="A2" s="17" t="s">
        <v>24</v>
      </c>
      <c r="B2" s="7"/>
      <c r="C2" s="3" t="s">
        <v>11</v>
      </c>
      <c r="D2" s="4" t="s">
        <v>32</v>
      </c>
      <c r="E2" s="4" t="s">
        <v>29</v>
      </c>
      <c r="F2" s="4" t="s">
        <v>37</v>
      </c>
      <c r="G2" s="4" t="s">
        <v>30</v>
      </c>
      <c r="H2" s="4" t="s">
        <v>31</v>
      </c>
      <c r="I2" s="7"/>
      <c r="J2" s="4" t="s">
        <v>33</v>
      </c>
      <c r="K2" s="4" t="s">
        <v>34</v>
      </c>
      <c r="L2" s="4" t="s">
        <v>13</v>
      </c>
      <c r="M2" s="4" t="s">
        <v>14</v>
      </c>
      <c r="N2" s="12"/>
    </row>
    <row r="3" spans="1:14" x14ac:dyDescent="0.45">
      <c r="B3" s="8"/>
      <c r="C3" s="2" t="str">
        <f ca="1">IF(ISBLANK(INDIRECT("'" &amp; $A$5 &amp; "'!B2")),"",RIGHT(INDIRECT("'" &amp; $A$5 &amp; "'!B2"),LEN(INDIRECT("'" &amp; $A$5 &amp; "'!B2"))-20))</f>
        <v>None</v>
      </c>
      <c r="D3" s="15">
        <f ca="1">IF($C3="","",HLOOKUP($A$11,INDIRECT("'" &amp; $A$5 &amp; "'!$A:$AN"),2,FALSE))</f>
        <v>127114</v>
      </c>
      <c r="E3" s="15" t="str">
        <f ca="1">IF(OR(C3="All",C3="None",C3=""),"",D3-D$3)</f>
        <v/>
      </c>
      <c r="F3" s="15" t="str">
        <f t="shared" ref="F3:F5" ca="1" si="0">IF(E3&lt;$A$14*SUM(E:E),"exclude",E3)</f>
        <v/>
      </c>
      <c r="G3" s="25" t="str">
        <f t="shared" ref="G3:G27" ca="1" si="1">IF(F3="","",IF(F3="exclude","exclude",F3/SUM(F:F)*(VLOOKUP("All",C:D,2,FALSE)-D$3)))</f>
        <v/>
      </c>
      <c r="H3" s="25" t="str">
        <f t="shared" ref="H3:H27" ca="1" si="2">IF(G3="","",IF(G3="exclude","exclude",G3/$A$17))</f>
        <v/>
      </c>
      <c r="I3" s="26"/>
      <c r="J3" s="27">
        <f ca="1">IF(OR($C3="",$C3="All"),"",HLOOKUP($A$11,INDIRECT("'" &amp; $A$5 &amp; "'!$A:$AN"),3,FALSE))</f>
        <v>-334076000000</v>
      </c>
      <c r="K3" s="27" t="str">
        <f ca="1">IF(OR(C3="All",C3="None",C3=""),"",J3-J$3)</f>
        <v/>
      </c>
      <c r="L3" s="27" t="str">
        <f ca="1">IF(K3="","",-K3)</f>
        <v/>
      </c>
      <c r="M3" s="16" t="str">
        <f t="shared" ref="M3:M18" ca="1" si="3">IF(G3="","",IF(G3="exclude","exclude",L3/(G3*10^6)))</f>
        <v/>
      </c>
    </row>
    <row r="4" spans="1:14" ht="14.65" thickBot="1" x14ac:dyDescent="0.5">
      <c r="A4" s="18" t="s">
        <v>27</v>
      </c>
      <c r="B4" s="8"/>
      <c r="C4" s="2" t="str">
        <f ca="1">IF(ISBLANK(INDIRECT("'" &amp; $A$5 &amp; "'!B4")),"",RIGHT(INDIRECT("'" &amp; $A$5 &amp; "'!B4"),LEN(INDIRECT("'" &amp; $A$5 &amp; "'!B4"))-20))</f>
        <v>EV Sales Mandate</v>
      </c>
      <c r="D4" s="15">
        <f ca="1">IF($C4="","",HLOOKUP($A$11,INDIRECT("'" &amp; $A$5 &amp; "'!$A:$AN"),4,FALSE))</f>
        <v>131777</v>
      </c>
      <c r="E4" s="15">
        <f t="shared" ref="E4:E27" ca="1" si="4">IF(OR(C4="All",C4="None",C4=""),"",D4-D$3)</f>
        <v>4663</v>
      </c>
      <c r="F4" s="15">
        <f t="shared" ca="1" si="0"/>
        <v>4663</v>
      </c>
      <c r="G4" s="25">
        <f t="shared" ca="1" si="1"/>
        <v>7864.8346489064297</v>
      </c>
      <c r="H4" s="25">
        <f t="shared" ca="1" si="2"/>
        <v>238.32832269413424</v>
      </c>
      <c r="I4" s="26"/>
      <c r="J4" s="27">
        <f ca="1">IF(OR($C4="",$C4="All"),"",HLOOKUP($A$11,INDIRECT("'" &amp; $A$5 &amp; "'!$A:$AN"),5,FALSE))</f>
        <v>-270936000000</v>
      </c>
      <c r="K4" s="27">
        <f ca="1">IF(OR(C4="All",C4="None",C4=""),"",J4-J$3)</f>
        <v>63140000000</v>
      </c>
      <c r="L4" s="27">
        <f ca="1">IF(K4="","",-K4)</f>
        <v>-63140000000</v>
      </c>
      <c r="M4" s="16">
        <f t="shared" ca="1" si="3"/>
        <v>-8.0281408088826556</v>
      </c>
    </row>
    <row r="5" spans="1:14" ht="14.65" thickBot="1" x14ac:dyDescent="0.5">
      <c r="A5" s="19" t="s">
        <v>83</v>
      </c>
      <c r="B5" s="8"/>
      <c r="C5" s="2" t="str">
        <f ca="1">IF(ISBLANK(INDIRECT("'" &amp; $A$5 &amp; "'!B6")),"",RIGHT(INDIRECT("'" &amp; $A$5 &amp; "'!B6"),LEN(INDIRECT("'" &amp; $A$5 &amp; "'!B6"))-20))</f>
        <v>EV Subsidy</v>
      </c>
      <c r="D5" s="15">
        <f ca="1">IF($C5="","",HLOOKUP($A$11,INDIRECT("'" &amp; $A$5 &amp; "'!$A:$AN"),6,FALSE))</f>
        <v>127114</v>
      </c>
      <c r="E5" s="15">
        <f t="shared" ca="1" si="4"/>
        <v>0</v>
      </c>
      <c r="F5" s="15" t="str">
        <f t="shared" ca="1" si="0"/>
        <v>exclude</v>
      </c>
      <c r="G5" s="25" t="str">
        <f t="shared" ca="1" si="1"/>
        <v>exclude</v>
      </c>
      <c r="H5" s="25" t="str">
        <f t="shared" ca="1" si="2"/>
        <v>exclude</v>
      </c>
      <c r="I5" s="26"/>
      <c r="J5" s="27">
        <f ca="1">IF(OR($C5="",$C5="All"),"",HLOOKUP($A$11,INDIRECT("'" &amp; $A$5 &amp; "'!$A:$AN"),7,FALSE))</f>
        <v>1484870000000</v>
      </c>
      <c r="K5" s="27">
        <f t="shared" ref="K5:K27" ca="1" si="5">IF(OR(C5="All",C5="None",C5=""),"",J5-J$3)</f>
        <v>1818946000000</v>
      </c>
      <c r="L5" s="27">
        <f t="shared" ref="L5:L27" ca="1" si="6">IF(K5="","",-K5)</f>
        <v>-1818946000000</v>
      </c>
      <c r="M5" s="16" t="str">
        <f t="shared" ca="1" si="3"/>
        <v>exclude</v>
      </c>
    </row>
    <row r="6" spans="1:14" x14ac:dyDescent="0.45">
      <c r="B6" s="8"/>
      <c r="C6" s="2" t="str">
        <f ca="1">IF(ISBLANK(INDIRECT("'" &amp; $A$5 &amp; "'!B8")),"",RIGHT(INDIRECT("'" &amp; $A$5 &amp; "'!B8"),LEN(INDIRECT("'" &amp; $A$5 &amp; "'!B8"))-20))</f>
        <v>Vehicle Fuel Economy Standards</v>
      </c>
      <c r="D6" s="15">
        <f ca="1">IF($C6="","",HLOOKUP($A$11,INDIRECT("'" &amp; $A$5 &amp; "'!$A:$AN"),8,FALSE))</f>
        <v>127650</v>
      </c>
      <c r="E6" s="15">
        <f t="shared" ca="1" si="4"/>
        <v>536</v>
      </c>
      <c r="F6" s="15">
        <f ca="1">IF(E6&lt;$A$14*SUM(E:E),"exclude",E6)</f>
        <v>536</v>
      </c>
      <c r="G6" s="25">
        <f t="shared" ca="1" si="1"/>
        <v>904.04275612563731</v>
      </c>
      <c r="H6" s="25">
        <f t="shared" ca="1" si="2"/>
        <v>27.395235034110222</v>
      </c>
      <c r="I6" s="26"/>
      <c r="J6" s="27">
        <f ca="1">IF(OR($C6="",$C6="All"),"",HLOOKUP($A$11,INDIRECT("'" &amp; $A$5 &amp; "'!$A:$AN"),9,FALSE))</f>
        <v>-280268000000</v>
      </c>
      <c r="K6" s="27">
        <f t="shared" ca="1" si="5"/>
        <v>53808000000</v>
      </c>
      <c r="L6" s="27">
        <f t="shared" ca="1" si="6"/>
        <v>-53808000000</v>
      </c>
      <c r="M6" s="16">
        <f t="shared" ca="1" si="3"/>
        <v>-59.519308832913381</v>
      </c>
    </row>
    <row r="7" spans="1:14" ht="14.65" thickBot="1" x14ac:dyDescent="0.5">
      <c r="A7" s="18" t="s">
        <v>25</v>
      </c>
      <c r="B7" s="8"/>
      <c r="C7" s="2" t="str">
        <f ca="1">IF(ISBLANK(INDIRECT("'" &amp; $A$5 &amp; "'!B10")),"",RIGHT(INDIRECT("'" &amp; $A$5 &amp; "'!B10"),LEN(INDIRECT("'" &amp; $A$5 &amp; "'!B10"))-20))</f>
        <v>Transportation Demand Management</v>
      </c>
      <c r="D7" s="15">
        <f ca="1">IF($C7="","",HLOOKUP($A$11,INDIRECT("'" &amp; $A$5 &amp; "'!$A:$AN"),10,FALSE))</f>
        <v>127716</v>
      </c>
      <c r="E7" s="15">
        <f t="shared" ca="1" si="4"/>
        <v>602</v>
      </c>
      <c r="F7" s="15">
        <f t="shared" ref="F7:F27" ca="1" si="7">IF(E7&lt;$A$14*SUM(E:E),"exclude",E7)</f>
        <v>602</v>
      </c>
      <c r="G7" s="25">
        <f t="shared" ca="1" si="1"/>
        <v>1015.3614537082717</v>
      </c>
      <c r="H7" s="25">
        <f t="shared" ca="1" si="2"/>
        <v>30.768528900250658</v>
      </c>
      <c r="I7" s="26"/>
      <c r="J7" s="27">
        <f ca="1">IF(OR($C7="",$C7="All"),"",HLOOKUP($A$11,INDIRECT("'" &amp; $A$5 &amp; "'!$A:$AN"),11,FALSE))</f>
        <v>697459000000</v>
      </c>
      <c r="K7" s="27">
        <f t="shared" ca="1" si="5"/>
        <v>1031535000000</v>
      </c>
      <c r="L7" s="27">
        <f t="shared" ca="1" si="6"/>
        <v>-1031535000000</v>
      </c>
      <c r="M7" s="16">
        <f t="shared" ca="1" si="3"/>
        <v>-1015.9288559090555</v>
      </c>
    </row>
    <row r="8" spans="1:14" ht="14.65" thickBot="1" x14ac:dyDescent="0.5">
      <c r="A8" s="19">
        <v>2018</v>
      </c>
      <c r="B8" s="8"/>
      <c r="C8" s="2" t="str">
        <f ca="1">IF(ISBLANK(INDIRECT("'" &amp; $A$5 &amp; "'!B12")),"",RIGHT(INDIRECT("'" &amp; $A$5 &amp; "'!B12"),LEN(INDIRECT("'" &amp; $A$5 &amp; "'!B12"))-20))</f>
        <v>Building Component Electrification</v>
      </c>
      <c r="D8" s="15">
        <f ca="1">IF($C8="","",HLOOKUP($A$11,INDIRECT("'" &amp; $A$5 &amp; "'!$A:$AN"),12,FALSE))</f>
        <v>130846</v>
      </c>
      <c r="E8" s="15">
        <f t="shared" ca="1" si="4"/>
        <v>3732</v>
      </c>
      <c r="F8" s="15">
        <f t="shared" ca="1" si="7"/>
        <v>3732</v>
      </c>
      <c r="G8" s="25">
        <f t="shared" ca="1" si="1"/>
        <v>6294.5663542180564</v>
      </c>
      <c r="H8" s="25">
        <f t="shared" ca="1" si="2"/>
        <v>190.74443497630475</v>
      </c>
      <c r="I8" s="26"/>
      <c r="J8" s="27">
        <f ca="1">IF(OR($C8="",$C8="All"),"",HLOOKUP($A$11,INDIRECT("'" &amp; $A$5 &amp; "'!$A:$AN"),13,FALSE))</f>
        <v>-1542640000000</v>
      </c>
      <c r="K8" s="27">
        <f t="shared" ca="1" si="5"/>
        <v>-1208564000000</v>
      </c>
      <c r="L8" s="27">
        <f t="shared" ca="1" si="6"/>
        <v>1208564000000</v>
      </c>
      <c r="M8" s="16">
        <f t="shared" ca="1" si="3"/>
        <v>192.00115337415232</v>
      </c>
    </row>
    <row r="9" spans="1:14" x14ac:dyDescent="0.45">
      <c r="B9" s="8"/>
      <c r="C9" s="2" t="str">
        <f ca="1">IF(ISBLANK(INDIRECT("'" &amp; $A$5 &amp; "'!B14")),"",RIGHT(INDIRECT("'" &amp; $A$5 &amp; "'!B14"),LEN(INDIRECT("'" &amp; $A$5 &amp; "'!B14"))-20))</f>
        <v>Building Energy Efficiency Standards</v>
      </c>
      <c r="D9" s="15">
        <f ca="1">IF($C9="","",HLOOKUP($A$11,INDIRECT("'" &amp; $A$5 &amp; "'!$A:$AN"),14,FALSE))</f>
        <v>127534</v>
      </c>
      <c r="E9" s="15">
        <f t="shared" ca="1" si="4"/>
        <v>420</v>
      </c>
      <c r="F9" s="15">
        <f t="shared" ca="1" si="7"/>
        <v>420</v>
      </c>
      <c r="G9" s="25">
        <f t="shared" ca="1" si="1"/>
        <v>708.39171188949183</v>
      </c>
      <c r="H9" s="25">
        <f t="shared" ca="1" si="2"/>
        <v>21.466415511802783</v>
      </c>
      <c r="I9" s="26"/>
      <c r="J9" s="27">
        <f ca="1">IF(OR($C9="",$C9="All"),"",HLOOKUP($A$11,INDIRECT("'" &amp; $A$5 &amp; "'!$A:$AN"),15,FALSE))</f>
        <v>36858400000</v>
      </c>
      <c r="K9" s="27">
        <f t="shared" ca="1" si="5"/>
        <v>370934400000</v>
      </c>
      <c r="L9" s="27">
        <f t="shared" ca="1" si="6"/>
        <v>-370934400000</v>
      </c>
      <c r="M9" s="16">
        <f t="shared" ca="1" si="3"/>
        <v>-523.62893830393273</v>
      </c>
    </row>
    <row r="10" spans="1:14" ht="14.65" thickBot="1" x14ac:dyDescent="0.5">
      <c r="A10" s="18" t="s">
        <v>26</v>
      </c>
      <c r="B10" s="8"/>
      <c r="C10" s="2" t="str">
        <f ca="1">IF(ISBLANK(INDIRECT("'" &amp; $A$5 &amp; "'!B16")),"",RIGHT(INDIRECT("'" &amp; $A$5 &amp; "'!B16"),LEN(INDIRECT("'" &amp; $A$5 &amp; "'!B16"))-20))</f>
        <v>Contractor Training</v>
      </c>
      <c r="D10" s="15">
        <f ca="1">IF($C10="","",HLOOKUP($A$11,INDIRECT("'" &amp; $A$5 &amp; "'!$A:$AN"),16,FALSE))</f>
        <v>127259</v>
      </c>
      <c r="E10" s="15">
        <f t="shared" ca="1" si="4"/>
        <v>145</v>
      </c>
      <c r="F10" s="15">
        <f t="shared" ca="1" si="7"/>
        <v>145</v>
      </c>
      <c r="G10" s="25">
        <f t="shared" ca="1" si="1"/>
        <v>244.56380529518171</v>
      </c>
      <c r="H10" s="25">
        <f t="shared" ca="1" si="2"/>
        <v>7.4110244028842942</v>
      </c>
      <c r="I10" s="26"/>
      <c r="J10" s="27">
        <f ca="1">IF(OR($C10="",$C10="All"),"",HLOOKUP($A$11,INDIRECT("'" &amp; $A$5 &amp; "'!$A:$AN"),17,FALSE))</f>
        <v>-243607000000</v>
      </c>
      <c r="K10" s="27">
        <f t="shared" ca="1" si="5"/>
        <v>90469000000</v>
      </c>
      <c r="L10" s="27">
        <f t="shared" ca="1" si="6"/>
        <v>-90469000000</v>
      </c>
      <c r="M10" s="16">
        <f t="shared" ca="1" si="3"/>
        <v>-369.91982477049874</v>
      </c>
    </row>
    <row r="11" spans="1:14" ht="14.65" thickBot="1" x14ac:dyDescent="0.5">
      <c r="A11" s="19">
        <v>2050</v>
      </c>
      <c r="B11" s="8"/>
      <c r="C11" s="2" t="str">
        <f ca="1">IF(ISBLANK(INDIRECT("'" &amp; $A$5 &amp; "'!B18")),"",RIGHT(INDIRECT("'" &amp; $A$5 &amp; "'!B18"),LEN(INDIRECT("'" &amp; $A$5 &amp; "'!B18"))-20))</f>
        <v>Improved Labeling</v>
      </c>
      <c r="D11" s="15">
        <f ca="1">IF($C11="","",HLOOKUP($A$11,INDIRECT("'" &amp; $A$5 &amp; "'!$A:$AN"),18,FALSE))</f>
        <v>127525</v>
      </c>
      <c r="E11" s="15">
        <f t="shared" ca="1" si="4"/>
        <v>411</v>
      </c>
      <c r="F11" s="15">
        <f t="shared" ca="1" si="7"/>
        <v>411</v>
      </c>
      <c r="G11" s="25">
        <f t="shared" ca="1" si="1"/>
        <v>693.21188949185989</v>
      </c>
      <c r="H11" s="25">
        <f t="shared" ca="1" si="2"/>
        <v>21.006420893692724</v>
      </c>
      <c r="I11" s="26"/>
      <c r="J11" s="27">
        <f ca="1">IF(OR($C11="",$C11="All"),"",HLOOKUP($A$11,INDIRECT("'" &amp; $A$5 &amp; "'!$A:$AN"),19,FALSE))</f>
        <v>-187830000000</v>
      </c>
      <c r="K11" s="27">
        <f t="shared" ca="1" si="5"/>
        <v>146246000000</v>
      </c>
      <c r="L11" s="27">
        <f t="shared" ca="1" si="6"/>
        <v>-146246000000</v>
      </c>
      <c r="M11" s="16">
        <f t="shared" ca="1" si="3"/>
        <v>-210.96868391452668</v>
      </c>
    </row>
    <row r="12" spans="1:14" x14ac:dyDescent="0.45">
      <c r="B12" s="8"/>
      <c r="C12" s="2" t="str">
        <f ca="1">IF(ISBLANK(INDIRECT("'" &amp; $A$5 &amp; "'!B20")),"",RIGHT(INDIRECT("'" &amp; $A$5 &amp; "'!B20"),LEN(INDIRECT("'" &amp; $A$5 &amp; "'!B20"))-20))</f>
        <v>Increased Retrofitting</v>
      </c>
      <c r="D12" s="15">
        <f ca="1">IF($C12="","",HLOOKUP($A$11,INDIRECT("'" &amp; $A$5 &amp; "'!$A:$AN"),20,FALSE))</f>
        <v>127627</v>
      </c>
      <c r="E12" s="15">
        <f t="shared" ca="1" si="4"/>
        <v>513</v>
      </c>
      <c r="F12" s="15">
        <f t="shared" ca="1" si="7"/>
        <v>513</v>
      </c>
      <c r="G12" s="25">
        <f t="shared" ca="1" si="1"/>
        <v>865.24987666502227</v>
      </c>
      <c r="H12" s="25">
        <f t="shared" ca="1" si="2"/>
        <v>26.219693232273404</v>
      </c>
      <c r="I12" s="26"/>
      <c r="J12" s="27">
        <f ca="1">IF(OR($C12="",$C12="All"),"",HLOOKUP($A$11,INDIRECT("'" &amp; $A$5 &amp; "'!$A:$AN"),21,FALSE))</f>
        <v>-489354000000</v>
      </c>
      <c r="K12" s="27">
        <f t="shared" ca="1" si="5"/>
        <v>-155278000000</v>
      </c>
      <c r="L12" s="27">
        <f t="shared" ca="1" si="6"/>
        <v>155278000000</v>
      </c>
      <c r="M12" s="16">
        <f t="shared" ca="1" si="3"/>
        <v>179.46029717854003</v>
      </c>
    </row>
    <row r="13" spans="1:14" ht="14.65" thickBot="1" x14ac:dyDescent="0.5">
      <c r="A13" s="18" t="s">
        <v>36</v>
      </c>
      <c r="B13" s="8"/>
      <c r="C13" s="2" t="str">
        <f ca="1">IF(ISBLANK(INDIRECT("'" &amp; $A$5 &amp; "'!B22")),"",RIGHT(INDIRECT("'" &amp; $A$5 &amp; "'!B22"),LEN(INDIRECT("'" &amp; $A$5 &amp; "'!B22"))-20))</f>
        <v>Demand Response</v>
      </c>
      <c r="D13" s="15">
        <f ca="1">IF($C13="","",HLOOKUP($A$11,INDIRECT("'" &amp; $A$5 &amp; "'!$A:$AN"),22,FALSE))</f>
        <v>127136</v>
      </c>
      <c r="E13" s="15">
        <f t="shared" ca="1" si="4"/>
        <v>22</v>
      </c>
      <c r="F13" s="15" t="str">
        <f t="shared" ca="1" si="7"/>
        <v>exclude</v>
      </c>
      <c r="G13" s="25" t="str">
        <f t="shared" ca="1" si="1"/>
        <v>exclude</v>
      </c>
      <c r="H13" s="25" t="str">
        <f t="shared" ca="1" si="2"/>
        <v>exclude</v>
      </c>
      <c r="I13" s="26"/>
      <c r="J13" s="27">
        <f ca="1">IF(OR($C13="",$C13="All"),"",HLOOKUP($A$11,INDIRECT("'" &amp; $A$5 &amp; "'!$A:$AN"),23,FALSE))</f>
        <v>-368212000000</v>
      </c>
      <c r="K13" s="27">
        <f t="shared" ca="1" si="5"/>
        <v>-34136000000</v>
      </c>
      <c r="L13" s="27">
        <f t="shared" ca="1" si="6"/>
        <v>34136000000</v>
      </c>
      <c r="M13" s="16" t="str">
        <f t="shared" ca="1" si="3"/>
        <v>exclude</v>
      </c>
    </row>
    <row r="14" spans="1:14" ht="14.65" thickBot="1" x14ac:dyDescent="0.5">
      <c r="A14" s="41">
        <v>3.0000000000000001E-3</v>
      </c>
      <c r="B14" s="8"/>
      <c r="C14" s="2" t="str">
        <f ca="1">IF(ISBLANK(INDIRECT("'" &amp; $A$5 &amp; "'!B24")),"",RIGHT(INDIRECT("'" &amp; $A$5 &amp; "'!B24"),LEN(INDIRECT("'" &amp; $A$5 &amp; "'!B24"))-20))</f>
        <v>Grid-Scale Electricity Storage</v>
      </c>
      <c r="D14" s="15">
        <f ca="1">IF($C14="","",HLOOKUP($A$11,INDIRECT("'" &amp; $A$5 &amp; "'!$A:$AN"),24,FALSE))</f>
        <v>127116</v>
      </c>
      <c r="E14" s="15">
        <f t="shared" ca="1" si="4"/>
        <v>2</v>
      </c>
      <c r="F14" s="15" t="str">
        <f t="shared" ca="1" si="7"/>
        <v>exclude</v>
      </c>
      <c r="G14" s="25" t="str">
        <f t="shared" ca="1" si="1"/>
        <v>exclude</v>
      </c>
      <c r="H14" s="25" t="str">
        <f t="shared" ca="1" si="2"/>
        <v>exclude</v>
      </c>
      <c r="I14" s="26"/>
      <c r="J14" s="27">
        <f ca="1">IF(OR($C14="",$C14="All"),"",HLOOKUP($A$11,INDIRECT("'" &amp; $A$5 &amp; "'!$A:$AN"),25,FALSE))</f>
        <v>-335898000000</v>
      </c>
      <c r="K14" s="27">
        <f t="shared" ca="1" si="5"/>
        <v>-1822000000</v>
      </c>
      <c r="L14" s="27">
        <f t="shared" ca="1" si="6"/>
        <v>1822000000</v>
      </c>
      <c r="M14" s="16" t="str">
        <f t="shared" ca="1" si="3"/>
        <v>exclude</v>
      </c>
    </row>
    <row r="15" spans="1:14" x14ac:dyDescent="0.45">
      <c r="B15" s="8"/>
      <c r="C15" s="2" t="str">
        <f ca="1">IF(ISBLANK(INDIRECT("'" &amp; $A$5 &amp; "'!B26")),"",RIGHT(INDIRECT("'" &amp; $A$5 &amp; "'!B26"),LEN(INDIRECT("'" &amp; $A$5 &amp; "'!B26"))-20))</f>
        <v>Increase Transmission</v>
      </c>
      <c r="D15" s="15">
        <f ca="1">IF($C15="","",HLOOKUP($A$11,INDIRECT("'" &amp; $A$5 &amp; "'!$A:$AN"),26,FALSE))</f>
        <v>127387</v>
      </c>
      <c r="E15" s="15">
        <f t="shared" ca="1" si="4"/>
        <v>273</v>
      </c>
      <c r="F15" s="15">
        <f t="shared" ca="1" si="7"/>
        <v>273</v>
      </c>
      <c r="G15" s="25">
        <f t="shared" ca="1" si="1"/>
        <v>460.45461272816971</v>
      </c>
      <c r="H15" s="25">
        <f t="shared" ca="1" si="2"/>
        <v>13.953170082671809</v>
      </c>
      <c r="I15" s="26"/>
      <c r="J15" s="27">
        <f ca="1">IF(OR($C15="",$C15="All"),"",HLOOKUP($A$11,INDIRECT("'" &amp; $A$5 &amp; "'!$A:$AN"),27,FALSE))</f>
        <v>-375920000000</v>
      </c>
      <c r="K15" s="27">
        <f t="shared" ca="1" si="5"/>
        <v>-41844000000</v>
      </c>
      <c r="L15" s="27">
        <f t="shared" ca="1" si="6"/>
        <v>41844000000</v>
      </c>
      <c r="M15" s="16">
        <f t="shared" ca="1" si="3"/>
        <v>90.875406268766582</v>
      </c>
    </row>
    <row r="16" spans="1:14" x14ac:dyDescent="0.45">
      <c r="A16" s="18" t="s">
        <v>20</v>
      </c>
      <c r="B16" s="8"/>
      <c r="C16" s="2" t="str">
        <f ca="1">IF(ISBLANK(INDIRECT("'" &amp; $A$5 &amp; "'!B28")),"",RIGHT(INDIRECT("'" &amp; $A$5 &amp; "'!B28"),LEN(INDIRECT("'" &amp; $A$5 &amp; "'!B28"))-20))</f>
        <v>Renewable Portfolio Standard</v>
      </c>
      <c r="D16" s="15">
        <f ca="1">IF($C16="","",HLOOKUP($A$11,INDIRECT("'" &amp; $A$5 &amp; "'!$A:$AN"),28,FALSE))</f>
        <v>131548</v>
      </c>
      <c r="E16" s="15">
        <f t="shared" ca="1" si="4"/>
        <v>4434</v>
      </c>
      <c r="F16" s="15">
        <f t="shared" ca="1" si="7"/>
        <v>4434</v>
      </c>
      <c r="G16" s="25">
        <f t="shared" ca="1" si="1"/>
        <v>7478.59250123335</v>
      </c>
      <c r="H16" s="25">
        <f t="shared" ca="1" si="2"/>
        <v>226.62401518888939</v>
      </c>
      <c r="I16" s="26"/>
      <c r="J16" s="27">
        <f ca="1">IF(OR($C16="",$C16="All"),"",HLOOKUP($A$11,INDIRECT("'" &amp; $A$5 &amp; "'!$A:$AN"),29,FALSE))</f>
        <v>-351779000000</v>
      </c>
      <c r="K16" s="27">
        <f t="shared" ca="1" si="5"/>
        <v>-17703000000</v>
      </c>
      <c r="L16" s="27">
        <f t="shared" ca="1" si="6"/>
        <v>17703000000</v>
      </c>
      <c r="M16" s="16">
        <f t="shared" ca="1" si="3"/>
        <v>2.3671566537527573</v>
      </c>
    </row>
    <row r="17" spans="1:13" x14ac:dyDescent="0.45">
      <c r="A17" s="13">
        <f>A11-A8+1</f>
        <v>33</v>
      </c>
      <c r="B17" s="8"/>
      <c r="C17" s="2" t="str">
        <f ca="1">IF(ISBLANK(INDIRECT("'" &amp; $A$5 &amp; "'!B30")),"",RIGHT(INDIRECT("'" &amp; $A$5 &amp; "'!B30"),LEN(INDIRECT("'" &amp; $A$5 &amp; "'!B30"))-20))</f>
        <v>Subsidy for Electricity Production</v>
      </c>
      <c r="D17" s="15">
        <f ca="1">IF($C17="","",HLOOKUP($A$11,INDIRECT("'" &amp; $A$5 &amp; "'!$A:$AN"),30,FALSE))</f>
        <v>127134</v>
      </c>
      <c r="E17" s="15">
        <f t="shared" ca="1" si="4"/>
        <v>20</v>
      </c>
      <c r="F17" s="15" t="str">
        <f t="shared" ca="1" si="7"/>
        <v>exclude</v>
      </c>
      <c r="G17" s="25" t="str">
        <f t="shared" ca="1" si="1"/>
        <v>exclude</v>
      </c>
      <c r="H17" s="25" t="str">
        <f t="shared" ca="1" si="2"/>
        <v>exclude</v>
      </c>
      <c r="I17" s="26"/>
      <c r="J17" s="27">
        <f ca="1">IF(OR($C17="",$C17="All"),"",HLOOKUP($A$11,INDIRECT("'" &amp; $A$5 &amp; "'!$A:$AN"),31,FALSE))</f>
        <v>-362487000000</v>
      </c>
      <c r="K17" s="27">
        <f t="shared" ca="1" si="5"/>
        <v>-28411000000</v>
      </c>
      <c r="L17" s="27">
        <f t="shared" ca="1" si="6"/>
        <v>28411000000</v>
      </c>
      <c r="M17" s="16" t="str">
        <f t="shared" ca="1" si="3"/>
        <v>exclude</v>
      </c>
    </row>
    <row r="18" spans="1:13" x14ac:dyDescent="0.45">
      <c r="C18" s="2" t="str">
        <f ca="1">IF(ISBLANK(INDIRECT("'" &amp; $A$5 &amp; "'!B32")),"",RIGHT(INDIRECT("'" &amp; $A$5 &amp; "'!B32"),LEN(INDIRECT("'" &amp; $A$5 &amp; "'!B32"))-20))</f>
        <v>Cogeneration and Waste Heat Recovery</v>
      </c>
      <c r="D18" s="15">
        <f ca="1">IF($C18="","",HLOOKUP($A$11,INDIRECT("'" &amp; $A$5 &amp; "'!$A:$AN"),32,FALSE))</f>
        <v>127583</v>
      </c>
      <c r="E18" s="15">
        <f t="shared" ca="1" si="4"/>
        <v>469</v>
      </c>
      <c r="F18" s="15">
        <f t="shared" ca="1" si="7"/>
        <v>469</v>
      </c>
      <c r="G18" s="25">
        <f t="shared" ca="1" si="1"/>
        <v>791.03741160993252</v>
      </c>
      <c r="H18" s="25">
        <f t="shared" ca="1" si="2"/>
        <v>23.970830654846441</v>
      </c>
      <c r="I18" s="22"/>
      <c r="J18" s="27">
        <f ca="1">IF(OR($C18="",$C18="All"),"",HLOOKUP($A$11,INDIRECT("'" &amp; $A$5 &amp; "'!$A:$AN"),33,FALSE))</f>
        <v>-256180000000</v>
      </c>
      <c r="K18" s="27">
        <f t="shared" ca="1" si="5"/>
        <v>77896000000</v>
      </c>
      <c r="L18" s="27">
        <f t="shared" ca="1" si="6"/>
        <v>-77896000000</v>
      </c>
      <c r="M18" s="16">
        <f t="shared" ca="1" si="3"/>
        <v>-98.473218657844214</v>
      </c>
    </row>
    <row r="19" spans="1:13" x14ac:dyDescent="0.45">
      <c r="C19" s="2" t="str">
        <f ca="1">IF(ISBLANK(INDIRECT("'" &amp; $A$5 &amp; "'!B34")),"",RIGHT(INDIRECT("'" &amp; $A$5 &amp; "'!B34"),LEN(INDIRECT("'" &amp; $A$5 &amp; "'!B34"))-20))</f>
        <v>Industry Energy Efficiency Standards</v>
      </c>
      <c r="D19" s="15">
        <f ca="1">IF($C19="","",HLOOKUP($A$11,INDIRECT("'" &amp; $A$5 &amp; "'!$A:$AN"),34,FALSE))</f>
        <v>127921</v>
      </c>
      <c r="E19" s="15">
        <f t="shared" ca="1" si="4"/>
        <v>807</v>
      </c>
      <c r="F19" s="15">
        <f t="shared" ca="1" si="7"/>
        <v>807</v>
      </c>
      <c r="G19" s="25">
        <f t="shared" ca="1" si="1"/>
        <v>1361.1240749876665</v>
      </c>
      <c r="H19" s="25">
        <f t="shared" ca="1" si="2"/>
        <v>41.246184090535351</v>
      </c>
      <c r="I19" s="22"/>
      <c r="J19" s="27">
        <f ca="1">IF(OR($C19="",$C19="All"),"",HLOOKUP($A$11,INDIRECT("'" &amp; $A$5 &amp; "'!$A:$AN"),35,FALSE))</f>
        <v>-205769000000</v>
      </c>
      <c r="K19" s="27">
        <f t="shared" ca="1" si="5"/>
        <v>128307000000</v>
      </c>
      <c r="L19" s="27">
        <f t="shared" ca="1" si="6"/>
        <v>-128307000000</v>
      </c>
      <c r="M19" s="16">
        <f ca="1">IF(G19="","",IF(G19="exclude","exclude",L19/(G19*10^6)))</f>
        <v>-94.265469517290413</v>
      </c>
    </row>
    <row r="20" spans="1:13" x14ac:dyDescent="0.45">
      <c r="C20" s="2" t="str">
        <f ca="1">IF(ISBLANK(INDIRECT("'" &amp; $A$5 &amp; "'!B36")),"",RIGHT(INDIRECT("'" &amp; $A$5 &amp; "'!B36"),LEN(INDIRECT("'" &amp; $A$5 &amp; "'!B36"))-20))</f>
        <v>Methane Capture and Destruction</v>
      </c>
      <c r="D20" s="15">
        <f ca="1">IF($C20="","",HLOOKUP($A$11,INDIRECT("'" &amp; $A$5 &amp; "'!$A:$AN"),36,FALSE))</f>
        <v>131029</v>
      </c>
      <c r="E20" s="15">
        <f t="shared" ca="1" si="4"/>
        <v>3915</v>
      </c>
      <c r="F20" s="15">
        <f t="shared" ca="1" si="7"/>
        <v>3915</v>
      </c>
      <c r="G20" s="25">
        <f t="shared" ca="1" si="1"/>
        <v>6603.2227429699069</v>
      </c>
      <c r="H20" s="25">
        <f t="shared" ca="1" si="2"/>
        <v>200.09765887787597</v>
      </c>
      <c r="I20" s="22"/>
      <c r="J20" s="27">
        <f ca="1">IF(OR($C20="",$C20="All"),"",HLOOKUP($A$11,INDIRECT("'" &amp; $A$5 &amp; "'!$A:$AN"),37,FALSE))</f>
        <v>-1019470000000</v>
      </c>
      <c r="K20" s="27">
        <f t="shared" ca="1" si="5"/>
        <v>-685394000000</v>
      </c>
      <c r="L20" s="27">
        <f t="shared" ca="1" si="6"/>
        <v>685394000000</v>
      </c>
      <c r="M20" s="16">
        <f t="shared" ref="M20:M27" ca="1" si="8">IF(G20="","",IF(G20="exclude","exclude",L20/(G20*10^6)))</f>
        <v>103.79689231742211</v>
      </c>
    </row>
    <row r="21" spans="1:13" x14ac:dyDescent="0.45">
      <c r="C21" s="2" t="str">
        <f ca="1">IF(ISBLANK(INDIRECT("'" &amp; $A$5 &amp; "'!B38")),"",RIGHT(INDIRECT("'" &amp; $A$5 &amp; "'!B38"),LEN(INDIRECT("'" &amp; $A$5 &amp; "'!B38"))-20))</f>
        <v>Carbon Tax</v>
      </c>
      <c r="D21" s="15">
        <f ca="1">IF($C21="","",HLOOKUP($A$11,INDIRECT("'" &amp; $A$5 &amp; "'!$A:$AN"),38,FALSE))</f>
        <v>142680</v>
      </c>
      <c r="E21" s="15">
        <f t="shared" ca="1" si="4"/>
        <v>15566</v>
      </c>
      <c r="F21" s="15">
        <f t="shared" ca="1" si="7"/>
        <v>15566</v>
      </c>
      <c r="G21" s="25">
        <f t="shared" ca="1" si="1"/>
        <v>26254.346160171022</v>
      </c>
      <c r="H21" s="25">
        <f t="shared" ca="1" si="2"/>
        <v>795.58624727790982</v>
      </c>
      <c r="I21" s="22"/>
      <c r="J21" s="27">
        <f ca="1">IF(OR($C21="",$C21="All"),"",HLOOKUP($A$11,INDIRECT("'" &amp; $A$5 &amp; "'!$A:$AN"),39,FALSE))</f>
        <v>703254000000</v>
      </c>
      <c r="K21" s="27">
        <f t="shared" ca="1" si="5"/>
        <v>1037330000000</v>
      </c>
      <c r="L21" s="27">
        <f t="shared" ca="1" si="6"/>
        <v>-1037330000000</v>
      </c>
      <c r="M21" s="16">
        <f t="shared" ca="1" si="8"/>
        <v>-39.510791610330578</v>
      </c>
    </row>
    <row r="22" spans="1:13" x14ac:dyDescent="0.45">
      <c r="C22" s="2" t="str">
        <f ca="1">IF(ISBLANK(INDIRECT("'" &amp; $A$5 &amp; "'!B40")),"",RIGHT(INDIRECT("'" &amp; $A$5 &amp; "'!B40"),LEN(INDIRECT("'" &amp; $A$5 &amp; "'!B40"))-20))</f>
        <v>All</v>
      </c>
      <c r="D22" s="15">
        <f ca="1">IF($C22="","",HLOOKUP($A$11,INDIRECT("'" &amp; $A$5 &amp; "'!$A:$AN"),40,FALSE))</f>
        <v>188653</v>
      </c>
      <c r="E22" s="15" t="str">
        <f t="shared" ca="1" si="4"/>
        <v/>
      </c>
      <c r="F22" s="15" t="str">
        <f t="shared" ca="1" si="7"/>
        <v/>
      </c>
      <c r="G22" s="25" t="str">
        <f t="shared" ca="1" si="1"/>
        <v/>
      </c>
      <c r="H22" s="25" t="str">
        <f t="shared" ca="1" si="2"/>
        <v/>
      </c>
      <c r="I22" s="22"/>
      <c r="J22" s="27" t="str">
        <f ca="1">IF(OR($C22="",$C22="All"),"",HLOOKUP($A$11,INDIRECT("'" &amp; $A$5 &amp; "'!$A:$AN"),41,FALSE))</f>
        <v/>
      </c>
      <c r="K22" s="27" t="str">
        <f t="shared" ca="1" si="5"/>
        <v/>
      </c>
      <c r="L22" s="27" t="str">
        <f t="shared" ca="1" si="6"/>
        <v/>
      </c>
      <c r="M22" s="16" t="str">
        <f t="shared" ca="1" si="8"/>
        <v/>
      </c>
    </row>
    <row r="23" spans="1:13" x14ac:dyDescent="0.45">
      <c r="C23" s="2" t="str">
        <f ca="1">IF(ISBLANK(INDIRECT("'" &amp; $A$5 &amp; "'!B42")),"",RIGHT(INDIRECT("'" &amp; $A$5 &amp; "'!B42"),LEN(INDIRECT("'" &amp; $A$5 &amp; "'!B42"))-20))</f>
        <v/>
      </c>
      <c r="D23" s="15" t="str">
        <f ca="1">IF($C23="","",HLOOKUP($A$11,INDIRECT("'" &amp; $A$5 &amp; "'!$A:$AN"),42,FALSE))</f>
        <v/>
      </c>
      <c r="E23" s="15" t="str">
        <f t="shared" ca="1" si="4"/>
        <v/>
      </c>
      <c r="F23" s="15" t="str">
        <f t="shared" ca="1" si="7"/>
        <v/>
      </c>
      <c r="G23" s="25" t="str">
        <f t="shared" ca="1" si="1"/>
        <v/>
      </c>
      <c r="H23" s="25" t="str">
        <f t="shared" ca="1" si="2"/>
        <v/>
      </c>
      <c r="I23" s="22"/>
      <c r="J23" s="27" t="str">
        <f ca="1">IF(OR($C23="",$C23="All"),"",HLOOKUP($A$11,INDIRECT("'" &amp; $A$5 &amp; "'!$A:$AN"),43,FALSE))</f>
        <v/>
      </c>
      <c r="K23" s="27" t="str">
        <f t="shared" ca="1" si="5"/>
        <v/>
      </c>
      <c r="L23" s="27" t="str">
        <f t="shared" ca="1" si="6"/>
        <v/>
      </c>
      <c r="M23" s="16" t="str">
        <f t="shared" ca="1" si="8"/>
        <v/>
      </c>
    </row>
    <row r="24" spans="1:13" x14ac:dyDescent="0.45">
      <c r="C24" s="2" t="str">
        <f ca="1">IF(ISBLANK(INDIRECT("'" &amp; $A$5 &amp; "'!B44")),"",RIGHT(INDIRECT("'" &amp; $A$5 &amp; "'!B44"),LEN(INDIRECT("'" &amp; $A$5 &amp; "'!B44"))-20))</f>
        <v/>
      </c>
      <c r="D24" s="15" t="str">
        <f ca="1">IF($C24="","",HLOOKUP($A$11,INDIRECT("'" &amp; $A$5 &amp; "'!$A:$AN"),44,FALSE))</f>
        <v/>
      </c>
      <c r="E24" s="15" t="str">
        <f t="shared" ca="1" si="4"/>
        <v/>
      </c>
      <c r="F24" s="15" t="str">
        <f t="shared" ca="1" si="7"/>
        <v/>
      </c>
      <c r="G24" s="25" t="str">
        <f t="shared" ca="1" si="1"/>
        <v/>
      </c>
      <c r="H24" s="25" t="str">
        <f t="shared" ca="1" si="2"/>
        <v/>
      </c>
      <c r="I24" s="22"/>
      <c r="J24" s="27" t="str">
        <f ca="1">IF(OR($C24="",$C24="All"),"",HLOOKUP($A$11,INDIRECT("'" &amp; $A$5 &amp; "'!$A:$AN"),45,FALSE))</f>
        <v/>
      </c>
      <c r="K24" s="27" t="str">
        <f t="shared" ca="1" si="5"/>
        <v/>
      </c>
      <c r="L24" s="27" t="str">
        <f t="shared" ca="1" si="6"/>
        <v/>
      </c>
      <c r="M24" s="16" t="str">
        <f t="shared" ca="1" si="8"/>
        <v/>
      </c>
    </row>
    <row r="25" spans="1:13" x14ac:dyDescent="0.45">
      <c r="C25" s="2" t="str">
        <f ca="1">IF(ISBLANK(INDIRECT("'" &amp; $A$5 &amp; "'!B46")),"",RIGHT(INDIRECT("'" &amp; $A$5 &amp; "'!B46"),LEN(INDIRECT("'" &amp; $A$5 &amp; "'!B46"))-20))</f>
        <v/>
      </c>
      <c r="D25" s="15" t="str">
        <f ca="1">IF($C25="","",HLOOKUP($A$11,INDIRECT("'" &amp; $A$5 &amp; "'!$A:$AN"),46,FALSE))</f>
        <v/>
      </c>
      <c r="E25" s="15" t="str">
        <f t="shared" ca="1" si="4"/>
        <v/>
      </c>
      <c r="F25" s="15" t="str">
        <f t="shared" ca="1" si="7"/>
        <v/>
      </c>
      <c r="G25" s="25" t="str">
        <f t="shared" ca="1" si="1"/>
        <v/>
      </c>
      <c r="H25" s="25" t="str">
        <f t="shared" ca="1" si="2"/>
        <v/>
      </c>
      <c r="I25" s="22"/>
      <c r="J25" s="27" t="str">
        <f ca="1">IF(OR($C25="",$C25="All"),"",HLOOKUP($A$11,INDIRECT("'" &amp; $A$5 &amp; "'!$A:$AN"),47,FALSE))</f>
        <v/>
      </c>
      <c r="K25" s="27" t="str">
        <f t="shared" ca="1" si="5"/>
        <v/>
      </c>
      <c r="L25" s="27" t="str">
        <f t="shared" ca="1" si="6"/>
        <v/>
      </c>
      <c r="M25" s="16" t="str">
        <f t="shared" ca="1" si="8"/>
        <v/>
      </c>
    </row>
    <row r="26" spans="1:13" x14ac:dyDescent="0.45">
      <c r="C26" s="2" t="str">
        <f ca="1">IF(ISBLANK(INDIRECT("'" &amp; $A$5 &amp; "'!B48")),"",RIGHT(INDIRECT("'" &amp; $A$5 &amp; "'!B48"),LEN(INDIRECT("'" &amp; $A$5 &amp; "'!B48"))-20))</f>
        <v/>
      </c>
      <c r="D26" s="15" t="str">
        <f ca="1">IF($C26="","",HLOOKUP($A$11,INDIRECT("'" &amp; $A$5 &amp; "'!$A:$AN"),48,FALSE))</f>
        <v/>
      </c>
      <c r="E26" s="15" t="str">
        <f t="shared" ca="1" si="4"/>
        <v/>
      </c>
      <c r="F26" s="15" t="str">
        <f t="shared" ca="1" si="7"/>
        <v/>
      </c>
      <c r="G26" s="25" t="str">
        <f t="shared" ca="1" si="1"/>
        <v/>
      </c>
      <c r="H26" s="25" t="str">
        <f t="shared" ca="1" si="2"/>
        <v/>
      </c>
      <c r="I26" s="22"/>
      <c r="J26" s="27" t="str">
        <f ca="1">IF(OR($C26="",$C26="All"),"",HLOOKUP($A$11,INDIRECT("'" &amp; $A$5 &amp; "'!$A:$AN"),49,FALSE))</f>
        <v/>
      </c>
      <c r="K26" s="27" t="str">
        <f t="shared" ca="1" si="5"/>
        <v/>
      </c>
      <c r="L26" s="27" t="str">
        <f t="shared" ca="1" si="6"/>
        <v/>
      </c>
      <c r="M26" s="16" t="str">
        <f t="shared" ca="1" si="8"/>
        <v/>
      </c>
    </row>
    <row r="27" spans="1:13" x14ac:dyDescent="0.45">
      <c r="C27" s="2" t="str">
        <f ca="1">IF(ISBLANK(INDIRECT("'" &amp; $A$5 &amp; "'!B50")),"",RIGHT(INDIRECT("'" &amp; $A$5 &amp; "'!B50"),LEN(INDIRECT("'" &amp; $A$5 &amp; "'!B50"))-20))</f>
        <v/>
      </c>
      <c r="D27" s="15" t="str">
        <f ca="1">IF($C27="","",HLOOKUP($A$11,INDIRECT("'" &amp; $A$5 &amp; "'!$A:$AN"),50,FALSE))</f>
        <v/>
      </c>
      <c r="E27" s="15" t="str">
        <f t="shared" ca="1" si="4"/>
        <v/>
      </c>
      <c r="F27" s="15" t="str">
        <f t="shared" ca="1" si="7"/>
        <v/>
      </c>
      <c r="G27" s="25" t="str">
        <f t="shared" ca="1" si="1"/>
        <v/>
      </c>
      <c r="H27" s="25" t="str">
        <f t="shared" ca="1" si="2"/>
        <v/>
      </c>
      <c r="I27" s="22"/>
      <c r="J27" s="27" t="str">
        <f ca="1">IF(OR($C27="",$C27="All"),"",HLOOKUP($A$11,INDIRECT("'" &amp; $A$5 &amp; "'!$A:$AN"),51,FALSE))</f>
        <v/>
      </c>
      <c r="K27" s="27" t="str">
        <f t="shared" ca="1" si="5"/>
        <v/>
      </c>
      <c r="L27" s="27" t="str">
        <f t="shared" ca="1" si="6"/>
        <v/>
      </c>
      <c r="M27" s="16" t="str">
        <f t="shared" ca="1" si="8"/>
        <v/>
      </c>
    </row>
    <row r="28" spans="1:13" s="9" customFormat="1" x14ac:dyDescent="0.45">
      <c r="A28" s="21"/>
      <c r="F28" s="22"/>
      <c r="G28" s="8"/>
      <c r="H28" s="8"/>
      <c r="J28" s="23"/>
      <c r="M28" s="24"/>
    </row>
    <row r="29" spans="1:13" x14ac:dyDescent="0.45">
      <c r="A29" s="18"/>
      <c r="G29" s="6"/>
      <c r="H29" s="6"/>
      <c r="J29" s="1"/>
      <c r="K29" s="1"/>
      <c r="L29" s="1"/>
      <c r="M29" s="11"/>
    </row>
    <row r="30" spans="1:13" x14ac:dyDescent="0.45">
      <c r="G30" s="6"/>
      <c r="H30" s="6"/>
      <c r="J30" s="1"/>
      <c r="K30" s="1"/>
      <c r="L30" s="1"/>
      <c r="M30" s="11"/>
    </row>
    <row r="33" spans="1:12" x14ac:dyDescent="0.45">
      <c r="A33" s="18"/>
    </row>
    <row r="40" spans="1:12" x14ac:dyDescent="0.45">
      <c r="K40" s="10"/>
      <c r="L40" s="10"/>
    </row>
    <row r="49" spans="3:3" x14ac:dyDescent="0.45">
      <c r="C49" t="str">
        <f t="shared" ref="C49:C53" ca="1" si="9">C23</f>
        <v/>
      </c>
    </row>
    <row r="50" spans="3:3" x14ac:dyDescent="0.45">
      <c r="C50" t="str">
        <f t="shared" ca="1" si="9"/>
        <v/>
      </c>
    </row>
    <row r="51" spans="3:3" x14ac:dyDescent="0.45">
      <c r="C51" t="str">
        <f t="shared" ca="1" si="9"/>
        <v/>
      </c>
    </row>
    <row r="52" spans="3:3" x14ac:dyDescent="0.45">
      <c r="C52" t="str">
        <f t="shared" ca="1" si="9"/>
        <v/>
      </c>
    </row>
    <row r="53" spans="3:3" x14ac:dyDescent="0.45">
      <c r="C53" t="str">
        <f t="shared" ca="1" si="9"/>
        <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A114"/>
  <sheetViews>
    <sheetView tabSelected="1" workbookViewId="0">
      <selection activeCell="A18" sqref="A18"/>
    </sheetView>
  </sheetViews>
  <sheetFormatPr defaultRowHeight="14.25" x14ac:dyDescent="0.45"/>
  <cols>
    <col min="1" max="1" width="53.59765625" customWidth="1"/>
    <col min="2" max="2" width="15.59765625" customWidth="1"/>
    <col min="3" max="3" width="22.3984375" customWidth="1"/>
    <col min="4" max="4" width="9.1328125" customWidth="1"/>
    <col min="27" max="27" width="9.1328125" style="9"/>
  </cols>
  <sheetData>
    <row r="1" spans="1:10" ht="28.9" thickBot="1" x14ac:dyDescent="0.5">
      <c r="A1" s="30" t="s">
        <v>35</v>
      </c>
      <c r="B1" s="47" t="s">
        <v>39</v>
      </c>
      <c r="C1" s="48" t="s">
        <v>38</v>
      </c>
      <c r="D1" s="32" t="s">
        <v>42</v>
      </c>
      <c r="E1" s="36"/>
      <c r="F1" s="36"/>
      <c r="G1" s="36"/>
      <c r="H1" s="36"/>
      <c r="I1" s="36"/>
      <c r="J1" s="36"/>
    </row>
    <row r="2" spans="1:10" x14ac:dyDescent="0.45">
      <c r="A2" s="28" t="str">
        <f ca="1">Calculations!C7</f>
        <v>Transportation Demand Management</v>
      </c>
      <c r="B2" s="43">
        <f ca="1">Calculations!H7</f>
        <v>30.768528900250658</v>
      </c>
      <c r="C2" s="34">
        <f ca="1">Calculations!M7</f>
        <v>-1015.9288559090555</v>
      </c>
    </row>
    <row r="3" spans="1:10" x14ac:dyDescent="0.45">
      <c r="A3" s="28" t="str">
        <f ca="1">Calculations!C9</f>
        <v>Building Energy Efficiency Standards</v>
      </c>
      <c r="B3" s="43">
        <f ca="1">Calculations!H9</f>
        <v>21.466415511802783</v>
      </c>
      <c r="C3" s="34">
        <f ca="1">Calculations!M9</f>
        <v>-523.62893830393273</v>
      </c>
    </row>
    <row r="4" spans="1:10" x14ac:dyDescent="0.45">
      <c r="A4" s="28" t="str">
        <f ca="1">Calculations!C10</f>
        <v>Contractor Training</v>
      </c>
      <c r="B4" s="43">
        <f ca="1">Calculations!H10</f>
        <v>7.4110244028842942</v>
      </c>
      <c r="C4" s="34">
        <f ca="1">Calculations!M10</f>
        <v>-369.91982477049874</v>
      </c>
    </row>
    <row r="5" spans="1:10" x14ac:dyDescent="0.45">
      <c r="A5" s="28" t="str">
        <f ca="1">Calculations!C11</f>
        <v>Improved Labeling</v>
      </c>
      <c r="B5" s="43">
        <f ca="1">Calculations!H11</f>
        <v>21.006420893692724</v>
      </c>
      <c r="C5" s="34">
        <f ca="1">Calculations!M11</f>
        <v>-210.96868391452668</v>
      </c>
    </row>
    <row r="6" spans="1:10" x14ac:dyDescent="0.45">
      <c r="A6" s="28" t="str">
        <f ca="1">Calculations!C18</f>
        <v>Cogeneration and Waste Heat Recovery</v>
      </c>
      <c r="B6" s="43">
        <f ca="1">Calculations!H18</f>
        <v>23.970830654846441</v>
      </c>
      <c r="C6" s="34">
        <f ca="1">Calculations!M18</f>
        <v>-98.473218657844214</v>
      </c>
    </row>
    <row r="7" spans="1:10" x14ac:dyDescent="0.45">
      <c r="A7" s="28" t="str">
        <f ca="1">Calculations!C19</f>
        <v>Industry Energy Efficiency Standards</v>
      </c>
      <c r="B7" s="43">
        <f ca="1">Calculations!H19</f>
        <v>41.246184090535351</v>
      </c>
      <c r="C7" s="34">
        <f ca="1">Calculations!M19</f>
        <v>-94.265469517290413</v>
      </c>
    </row>
    <row r="8" spans="1:10" x14ac:dyDescent="0.45">
      <c r="A8" s="28" t="str">
        <f ca="1">Calculations!C6</f>
        <v>Vehicle Fuel Economy Standards</v>
      </c>
      <c r="B8" s="43">
        <f ca="1">Calculations!H6</f>
        <v>27.395235034110222</v>
      </c>
      <c r="C8" s="34">
        <f ca="1">Calculations!M6</f>
        <v>-59.519308832913381</v>
      </c>
    </row>
    <row r="9" spans="1:10" x14ac:dyDescent="0.45">
      <c r="A9" s="28" t="str">
        <f ca="1">Calculations!C21</f>
        <v>Carbon Tax</v>
      </c>
      <c r="B9" s="43">
        <f ca="1">Calculations!H21</f>
        <v>795.58624727790982</v>
      </c>
      <c r="C9" s="34">
        <f ca="1">Calculations!M21</f>
        <v>-39.510791610330578</v>
      </c>
    </row>
    <row r="10" spans="1:10" x14ac:dyDescent="0.45">
      <c r="A10" s="28" t="str">
        <f ca="1">Calculations!C4</f>
        <v>EV Sales Mandate</v>
      </c>
      <c r="B10" s="43">
        <f ca="1">Calculations!H4</f>
        <v>238.32832269413424</v>
      </c>
      <c r="C10" s="34">
        <f ca="1">Calculations!M4</f>
        <v>-8.0281408088826556</v>
      </c>
    </row>
    <row r="11" spans="1:10" x14ac:dyDescent="0.45">
      <c r="A11" s="28" t="str">
        <f ca="1">Calculations!C16</f>
        <v>Renewable Portfolio Standard</v>
      </c>
      <c r="B11" s="43">
        <f ca="1">Calculations!H16</f>
        <v>226.62401518888939</v>
      </c>
      <c r="C11" s="34">
        <f ca="1">Calculations!M16</f>
        <v>2.3671566537527573</v>
      </c>
    </row>
    <row r="12" spans="1:10" x14ac:dyDescent="0.45">
      <c r="A12" s="28" t="str">
        <f ca="1">Calculations!C15</f>
        <v>Increase Transmission</v>
      </c>
      <c r="B12" s="43">
        <f ca="1">Calculations!H15</f>
        <v>13.953170082671809</v>
      </c>
      <c r="C12" s="34">
        <f ca="1">Calculations!M15</f>
        <v>90.875406268766582</v>
      </c>
    </row>
    <row r="13" spans="1:10" x14ac:dyDescent="0.45">
      <c r="A13" s="28" t="str">
        <f ca="1">Calculations!C20</f>
        <v>Methane Capture and Destruction</v>
      </c>
      <c r="B13" s="43">
        <f ca="1">Calculations!H20</f>
        <v>200.09765887787597</v>
      </c>
      <c r="C13" s="34">
        <f ca="1">Calculations!M20</f>
        <v>103.79689231742211</v>
      </c>
    </row>
    <row r="14" spans="1:10" x14ac:dyDescent="0.45">
      <c r="A14" s="28" t="str">
        <f ca="1">Calculations!C12</f>
        <v>Increased Retrofitting</v>
      </c>
      <c r="B14" s="33">
        <f ca="1">Calculations!H12</f>
        <v>26.219693232273404</v>
      </c>
      <c r="C14" s="34">
        <f ca="1">Calculations!M12</f>
        <v>179.46029717854003</v>
      </c>
    </row>
    <row r="15" spans="1:10" x14ac:dyDescent="0.45">
      <c r="A15" s="28" t="str">
        <f ca="1">Calculations!C8</f>
        <v>Building Component Electrification</v>
      </c>
      <c r="B15" s="43">
        <f ca="1">Calculations!H8</f>
        <v>190.74443497630475</v>
      </c>
      <c r="C15" s="34">
        <f ca="1">Calculations!M8</f>
        <v>192.00115337415232</v>
      </c>
    </row>
    <row r="16" spans="1:10" x14ac:dyDescent="0.45">
      <c r="A16" s="28" t="str">
        <f ca="1">Calculations!C24</f>
        <v/>
      </c>
      <c r="B16" s="43" t="str">
        <f ca="1">Calculations!H24</f>
        <v/>
      </c>
      <c r="C16" s="34" t="str">
        <f ca="1">Calculations!M24</f>
        <v/>
      </c>
    </row>
    <row r="17" spans="1:3" x14ac:dyDescent="0.45">
      <c r="A17" s="28" t="str">
        <f ca="1">Calculations!C22</f>
        <v>All</v>
      </c>
      <c r="B17" s="43" t="str">
        <f ca="1">Calculations!H22</f>
        <v/>
      </c>
      <c r="C17" s="34" t="str">
        <f ca="1">Calculations!M22</f>
        <v/>
      </c>
    </row>
    <row r="18" spans="1:3" x14ac:dyDescent="0.45">
      <c r="A18" s="28" t="str">
        <f ca="1">Calculations!C3</f>
        <v>None</v>
      </c>
      <c r="B18" s="33" t="str">
        <f ca="1">Calculations!H3</f>
        <v/>
      </c>
      <c r="C18" s="35" t="str">
        <f ca="1">Calculations!M3</f>
        <v/>
      </c>
    </row>
    <row r="19" spans="1:3" x14ac:dyDescent="0.45">
      <c r="A19" s="28" t="str">
        <f ca="1">Calculations!C25</f>
        <v/>
      </c>
      <c r="B19" s="33" t="str">
        <f ca="1">Calculations!H25</f>
        <v/>
      </c>
      <c r="C19" s="35" t="str">
        <f ca="1">Calculations!M25</f>
        <v/>
      </c>
    </row>
    <row r="20" spans="1:3" x14ac:dyDescent="0.45">
      <c r="A20" s="28" t="str">
        <f ca="1">Calculations!C26</f>
        <v/>
      </c>
      <c r="B20" s="33" t="str">
        <f ca="1">Calculations!H26</f>
        <v/>
      </c>
      <c r="C20" s="35" t="str">
        <f ca="1">Calculations!M26</f>
        <v/>
      </c>
    </row>
    <row r="21" spans="1:3" x14ac:dyDescent="0.45">
      <c r="A21" s="28" t="str">
        <f ca="1">Calculations!C27</f>
        <v/>
      </c>
      <c r="B21" s="33" t="str">
        <f ca="1">Calculations!H27</f>
        <v/>
      </c>
      <c r="C21" s="35" t="str">
        <f ca="1">Calculations!M27</f>
        <v/>
      </c>
    </row>
    <row r="22" spans="1:3" x14ac:dyDescent="0.45">
      <c r="A22" s="28" t="str">
        <f ca="1">Calculations!C23</f>
        <v/>
      </c>
      <c r="B22" s="43" t="str">
        <f ca="1">Calculations!H23</f>
        <v/>
      </c>
      <c r="C22" s="34" t="str">
        <f ca="1">Calculations!M23</f>
        <v/>
      </c>
    </row>
    <row r="23" spans="1:3" x14ac:dyDescent="0.45">
      <c r="A23" s="28" t="str">
        <f ca="1">Calculations!C14</f>
        <v>Grid-Scale Electricity Storage</v>
      </c>
      <c r="B23" s="33" t="str">
        <f ca="1">Calculations!H14</f>
        <v>exclude</v>
      </c>
      <c r="C23" s="34" t="str">
        <f ca="1">Calculations!M14</f>
        <v>exclude</v>
      </c>
    </row>
    <row r="24" spans="1:3" x14ac:dyDescent="0.45">
      <c r="A24" s="28" t="str">
        <f ca="1">Calculations!C13</f>
        <v>Demand Response</v>
      </c>
      <c r="B24" s="33" t="str">
        <f ca="1">Calculations!H13</f>
        <v>exclude</v>
      </c>
      <c r="C24" s="34" t="str">
        <f ca="1">Calculations!M13</f>
        <v>exclude</v>
      </c>
    </row>
    <row r="25" spans="1:3" x14ac:dyDescent="0.45">
      <c r="A25" s="28" t="str">
        <f ca="1">Calculations!C5</f>
        <v>EV Subsidy</v>
      </c>
      <c r="B25" s="43" t="str">
        <f ca="1">Calculations!H5</f>
        <v>exclude</v>
      </c>
      <c r="C25" s="34" t="str">
        <f ca="1">Calculations!M5</f>
        <v>exclude</v>
      </c>
    </row>
    <row r="26" spans="1:3" ht="14.65" thickBot="1" x14ac:dyDescent="0.5">
      <c r="A26" s="29" t="str">
        <f ca="1">Calculations!C17</f>
        <v>Subsidy for Electricity Production</v>
      </c>
      <c r="B26" s="55" t="str">
        <f ca="1">Calculations!H17</f>
        <v>exclude</v>
      </c>
      <c r="C26" s="56" t="str">
        <f ca="1">Calculations!M17</f>
        <v>exclude</v>
      </c>
    </row>
    <row r="27" spans="1:3" x14ac:dyDescent="0.45">
      <c r="B27" s="6"/>
    </row>
    <row r="28" spans="1:3" x14ac:dyDescent="0.45">
      <c r="B28" s="6"/>
    </row>
    <row r="29" spans="1:3" x14ac:dyDescent="0.45">
      <c r="B29" s="6"/>
    </row>
    <row r="30" spans="1:3" x14ac:dyDescent="0.45">
      <c r="B30" s="6"/>
    </row>
    <row r="31" spans="1:3" x14ac:dyDescent="0.45">
      <c r="B31" s="6"/>
    </row>
    <row r="32" spans="1:3" x14ac:dyDescent="0.45">
      <c r="B32" s="6"/>
    </row>
    <row r="33" spans="1:27" x14ac:dyDescent="0.45">
      <c r="B33" s="6"/>
    </row>
    <row r="34" spans="1:27" x14ac:dyDescent="0.45">
      <c r="B34" s="6"/>
    </row>
    <row r="35" spans="1:27" x14ac:dyDescent="0.45">
      <c r="B35" s="6"/>
    </row>
    <row r="36" spans="1:27" x14ac:dyDescent="0.45">
      <c r="B36" s="6"/>
    </row>
    <row r="37" spans="1:27" ht="14.65" thickBot="1" x14ac:dyDescent="0.5">
      <c r="B37" s="6"/>
    </row>
    <row r="38" spans="1:27" x14ac:dyDescent="0.45">
      <c r="A38" s="45" t="s">
        <v>40</v>
      </c>
      <c r="B38" s="49" t="s">
        <v>43</v>
      </c>
    </row>
    <row r="39" spans="1:27" ht="14.65" thickBot="1" x14ac:dyDescent="0.5">
      <c r="A39" s="46">
        <v>100</v>
      </c>
      <c r="B39" s="50" t="s">
        <v>44</v>
      </c>
    </row>
    <row r="40" spans="1:27" s="9" customFormat="1" x14ac:dyDescent="0.45">
      <c r="B40" s="8"/>
      <c r="C40" s="31"/>
      <c r="D40" s="31"/>
      <c r="E40" s="31"/>
      <c r="F40" s="31"/>
      <c r="G40" s="31"/>
      <c r="H40" s="31"/>
      <c r="I40" s="31"/>
      <c r="J40" s="31"/>
      <c r="K40" s="31"/>
      <c r="L40" s="31"/>
      <c r="M40" s="31"/>
      <c r="N40" s="31"/>
      <c r="O40" s="31"/>
      <c r="P40" s="31"/>
      <c r="Q40" s="31"/>
      <c r="R40" s="31"/>
      <c r="S40" s="31"/>
      <c r="T40" s="31"/>
      <c r="U40" s="31"/>
      <c r="V40" s="31"/>
      <c r="W40" s="31"/>
      <c r="X40" s="31"/>
      <c r="Y40" s="31"/>
      <c r="Z40" s="31"/>
    </row>
    <row r="41" spans="1:27" s="2" customFormat="1" x14ac:dyDescent="0.45">
      <c r="A41" s="44" t="s">
        <v>41</v>
      </c>
      <c r="B41" s="37" t="str">
        <f ca="1">IF(ISNUMBER($B2),$A2,"")</f>
        <v>Transportation Demand Management</v>
      </c>
      <c r="C41" s="37" t="str">
        <f ca="1">IF(ISNUMBER($B3),$A3,"")</f>
        <v>Building Energy Efficiency Standards</v>
      </c>
      <c r="D41" s="37" t="str">
        <f ca="1">IF(ISNUMBER($B4),$A4,"")</f>
        <v>Contractor Training</v>
      </c>
      <c r="E41" s="37" t="str">
        <f ca="1">IF(ISNUMBER($B5),$A5,"")</f>
        <v>Improved Labeling</v>
      </c>
      <c r="F41" s="37" t="str">
        <f ca="1">IF(ISNUMBER($B6),$A6,"")</f>
        <v>Cogeneration and Waste Heat Recovery</v>
      </c>
      <c r="G41" s="37" t="str">
        <f ca="1">IF(ISNUMBER($B7),$A7,"")</f>
        <v>Industry Energy Efficiency Standards</v>
      </c>
      <c r="H41" s="37" t="str">
        <f ca="1">IF(ISNUMBER($B8),$A8,"")</f>
        <v>Vehicle Fuel Economy Standards</v>
      </c>
      <c r="I41" s="37" t="str">
        <f ca="1">IF(ISNUMBER($B9),$A9,"")</f>
        <v>Carbon Tax</v>
      </c>
      <c r="J41" s="37" t="str">
        <f ca="1">IF(ISNUMBER($B10),$A10,"")</f>
        <v>EV Sales Mandate</v>
      </c>
      <c r="K41" s="37" t="str">
        <f ca="1">IF(ISNUMBER($B11),$A11,"")</f>
        <v>Renewable Portfolio Standard</v>
      </c>
      <c r="L41" s="37" t="str">
        <f ca="1">IF(ISNUMBER($B12),$A12,"")</f>
        <v>Increase Transmission</v>
      </c>
      <c r="M41" s="37" t="str">
        <f ca="1">IF(ISNUMBER($B13),$A13,"")</f>
        <v>Methane Capture and Destruction</v>
      </c>
      <c r="N41" s="37" t="str">
        <f ca="1">IF(ISNUMBER($B14),$A14,"")</f>
        <v>Increased Retrofitting</v>
      </c>
      <c r="O41" s="37" t="str">
        <f ca="1">IF(ISNUMBER($B15),$A15,"")</f>
        <v>Building Component Electrification</v>
      </c>
      <c r="P41" s="37" t="str">
        <f ca="1">IF(ISNUMBER($B16),$A16,"")</f>
        <v/>
      </c>
      <c r="Q41" s="37" t="str">
        <f ca="1">IF(ISNUMBER($B17),$A17,"")</f>
        <v/>
      </c>
      <c r="R41" s="37" t="str">
        <f ca="1">IF(ISNUMBER($B18),$A18,"")</f>
        <v/>
      </c>
      <c r="S41" s="37" t="str">
        <f ca="1">IF(ISNUMBER($B19),$A19,"")</f>
        <v/>
      </c>
      <c r="T41" s="37" t="str">
        <f ca="1">IF(ISNUMBER($B20),$A20,"")</f>
        <v/>
      </c>
      <c r="U41" s="37" t="str">
        <f ca="1">IF(ISNUMBER($B21),$A21,"")</f>
        <v/>
      </c>
      <c r="V41" s="37" t="str">
        <f ca="1">IF(ISNUMBER($B22),$A22,"")</f>
        <v/>
      </c>
      <c r="W41" s="37" t="str">
        <f ca="1">IF(ISNUMBER($B23),$A23,"")</f>
        <v/>
      </c>
      <c r="X41" s="37" t="str">
        <f ca="1">IF(ISNUMBER($B24),$A24,"")</f>
        <v/>
      </c>
      <c r="Y41" s="37" t="str">
        <f ca="1">IF(ISNUMBER($B25),$A25,"")</f>
        <v/>
      </c>
      <c r="Z41" s="37" t="str">
        <f ca="1">IF(ISNUMBER($B26),$A26,"")</f>
        <v/>
      </c>
      <c r="AA41" s="14"/>
    </row>
    <row r="42" spans="1:27" s="2" customFormat="1" x14ac:dyDescent="0.45">
      <c r="A42" s="42">
        <v>0</v>
      </c>
      <c r="B42" s="40"/>
      <c r="C42" s="37"/>
      <c r="D42" s="37"/>
      <c r="E42" s="37"/>
      <c r="F42" s="37"/>
      <c r="G42" s="37"/>
      <c r="H42" s="37"/>
      <c r="I42" s="37"/>
      <c r="J42" s="37"/>
      <c r="K42" s="37"/>
      <c r="L42" s="37"/>
      <c r="M42" s="37"/>
      <c r="N42" s="37"/>
      <c r="O42" s="37"/>
      <c r="P42" s="37"/>
      <c r="Q42" s="37"/>
      <c r="R42" s="37"/>
      <c r="S42" s="37"/>
      <c r="T42" s="37"/>
      <c r="U42" s="37"/>
      <c r="V42" s="37"/>
      <c r="W42" s="37"/>
      <c r="X42" s="37"/>
      <c r="Y42" s="37"/>
      <c r="Z42" s="37"/>
      <c r="AA42" s="14"/>
    </row>
    <row r="43" spans="1:27" s="2" customFormat="1" x14ac:dyDescent="0.45">
      <c r="A43" s="20">
        <f>A42</f>
        <v>0</v>
      </c>
      <c r="B43" s="38">
        <f ca="1">IF(ISNUMBER($C2),$C2,NA())</f>
        <v>-1015.9288559090555</v>
      </c>
      <c r="C43"/>
      <c r="D43"/>
      <c r="E43"/>
      <c r="F43"/>
      <c r="G43"/>
      <c r="H43"/>
      <c r="I43"/>
      <c r="J43"/>
      <c r="K43"/>
      <c r="L43"/>
      <c r="M43"/>
      <c r="N43"/>
      <c r="O43"/>
      <c r="P43"/>
      <c r="Q43"/>
      <c r="R43"/>
      <c r="S43"/>
      <c r="T43"/>
      <c r="U43"/>
      <c r="V43"/>
      <c r="W43"/>
      <c r="X43"/>
      <c r="Y43"/>
      <c r="Z43"/>
      <c r="AA43" s="14"/>
    </row>
    <row r="44" spans="1:27" x14ac:dyDescent="0.45">
      <c r="A44" s="6">
        <f ca="1">IF(ISNUMBER(B2),B2*$A$39+A43,NA())</f>
        <v>3076.8528900250658</v>
      </c>
      <c r="B44" s="38">
        <f ca="1">IF(ISNUMBER($C2),$C2,NA())</f>
        <v>-1015.9288559090555</v>
      </c>
    </row>
    <row r="45" spans="1:27" x14ac:dyDescent="0.45">
      <c r="A45" s="20">
        <f ca="1">A44</f>
        <v>3076.8528900250658</v>
      </c>
      <c r="C45" s="38">
        <f ca="1">IF(ISNUMBER($C3),$C3,NA())</f>
        <v>-523.62893830393273</v>
      </c>
    </row>
    <row r="46" spans="1:27" x14ac:dyDescent="0.45">
      <c r="A46" s="6">
        <f ca="1">IF(ISNUMBER(B3),B3*$A$39+A45,NA())</f>
        <v>5223.4944412053446</v>
      </c>
      <c r="C46" s="38">
        <f ca="1">IF(ISNUMBER($C3),$C3,NA())</f>
        <v>-523.62893830393273</v>
      </c>
    </row>
    <row r="47" spans="1:27" x14ac:dyDescent="0.45">
      <c r="A47" s="20">
        <f ca="1">A46</f>
        <v>5223.4944412053446</v>
      </c>
      <c r="D47" s="38">
        <f ca="1">IF(ISNUMBER($C4),$C4,NA())</f>
        <v>-369.91982477049874</v>
      </c>
    </row>
    <row r="48" spans="1:27" x14ac:dyDescent="0.45">
      <c r="A48" s="6">
        <f ca="1">IF(ISNUMBER(B4),B4*$A$39+A47,NA())</f>
        <v>5964.5968814937742</v>
      </c>
      <c r="D48" s="38">
        <f ca="1">IF(ISNUMBER($C4),$C4,NA())</f>
        <v>-369.91982477049874</v>
      </c>
    </row>
    <row r="49" spans="1:12" x14ac:dyDescent="0.45">
      <c r="A49" s="20">
        <f ca="1">A48</f>
        <v>5964.5968814937742</v>
      </c>
      <c r="E49" s="38">
        <f ca="1">IF(ISNUMBER($C5),$C5,NA())</f>
        <v>-210.96868391452668</v>
      </c>
    </row>
    <row r="50" spans="1:12" x14ac:dyDescent="0.45">
      <c r="A50" s="6">
        <f ca="1">IF(ISNUMBER(B5),B5*$A$39+A49,NA())</f>
        <v>8065.2389708630471</v>
      </c>
      <c r="E50" s="38">
        <f ca="1">IF(ISNUMBER($C5),$C5,NA())</f>
        <v>-210.96868391452668</v>
      </c>
    </row>
    <row r="51" spans="1:12" x14ac:dyDescent="0.45">
      <c r="A51" s="20">
        <f ca="1">A50</f>
        <v>8065.2389708630471</v>
      </c>
      <c r="F51" s="38">
        <f ca="1">IF(ISNUMBER($C6),$C6,NA())</f>
        <v>-98.473218657844214</v>
      </c>
    </row>
    <row r="52" spans="1:12" x14ac:dyDescent="0.45">
      <c r="A52" s="6">
        <f ca="1">IF(ISNUMBER(B6),B6*$A$39+A51,NA())</f>
        <v>10462.32203634769</v>
      </c>
      <c r="F52" s="38">
        <f ca="1">IF(ISNUMBER($C6),$C6,NA())</f>
        <v>-98.473218657844214</v>
      </c>
    </row>
    <row r="53" spans="1:12" x14ac:dyDescent="0.45">
      <c r="A53" s="20">
        <f t="shared" ref="A53" ca="1" si="0">A52</f>
        <v>10462.32203634769</v>
      </c>
      <c r="G53" s="38">
        <f ca="1">IF(ISNUMBER($C7),$C7,NA())</f>
        <v>-94.265469517290413</v>
      </c>
    </row>
    <row r="54" spans="1:12" x14ac:dyDescent="0.45">
      <c r="A54" s="6">
        <f ca="1">IF(ISNUMBER(B7),B7*$A$39+A53,NA())</f>
        <v>14586.940445401226</v>
      </c>
      <c r="G54" s="38">
        <f ca="1">IF(ISNUMBER($C7),$C7,NA())</f>
        <v>-94.265469517290413</v>
      </c>
    </row>
    <row r="55" spans="1:12" x14ac:dyDescent="0.45">
      <c r="A55" s="20">
        <f t="shared" ref="A55:A93" ca="1" si="1">A54</f>
        <v>14586.940445401226</v>
      </c>
      <c r="H55" s="38">
        <f ca="1">IF(ISNUMBER($C8),$C8,NA())</f>
        <v>-59.519308832913381</v>
      </c>
    </row>
    <row r="56" spans="1:12" x14ac:dyDescent="0.45">
      <c r="A56" s="6">
        <f ca="1">IF(ISNUMBER(B8),B8*$A$39+A55,NA())</f>
        <v>17326.463948812248</v>
      </c>
      <c r="H56" s="38">
        <f ca="1">IF(ISNUMBER($C8),$C8,NA())</f>
        <v>-59.519308832913381</v>
      </c>
    </row>
    <row r="57" spans="1:12" x14ac:dyDescent="0.45">
      <c r="A57" s="20">
        <f t="shared" ca="1" si="1"/>
        <v>17326.463948812248</v>
      </c>
      <c r="I57" s="38">
        <f ca="1">IF(ISNUMBER($C9),$C9,NA())</f>
        <v>-39.510791610330578</v>
      </c>
    </row>
    <row r="58" spans="1:12" x14ac:dyDescent="0.45">
      <c r="A58" s="6">
        <f ca="1">IF(ISNUMBER(B9),B9*$A$39+A57,NA())</f>
        <v>96885.088676603234</v>
      </c>
      <c r="I58" s="38">
        <f ca="1">IF(ISNUMBER($C9),$C9,NA())</f>
        <v>-39.510791610330578</v>
      </c>
    </row>
    <row r="59" spans="1:12" x14ac:dyDescent="0.45">
      <c r="A59" s="20">
        <f t="shared" ca="1" si="1"/>
        <v>96885.088676603234</v>
      </c>
      <c r="J59" s="38">
        <f ca="1">IF(ISNUMBER($C10),$C10,NA())</f>
        <v>-8.0281408088826556</v>
      </c>
    </row>
    <row r="60" spans="1:12" x14ac:dyDescent="0.45">
      <c r="A60" s="6">
        <f ca="1">IF(ISNUMBER(B10),B10*$A$39+A59,NA())</f>
        <v>120717.92094601666</v>
      </c>
      <c r="J60" s="38">
        <f ca="1">IF(ISNUMBER($C10),$C10,NA())</f>
        <v>-8.0281408088826556</v>
      </c>
    </row>
    <row r="61" spans="1:12" x14ac:dyDescent="0.45">
      <c r="A61" s="20">
        <f t="shared" ca="1" si="1"/>
        <v>120717.92094601666</v>
      </c>
      <c r="K61" s="38">
        <f ca="1">IF(ISNUMBER($C11),$C11,NA())</f>
        <v>2.3671566537527573</v>
      </c>
    </row>
    <row r="62" spans="1:12" x14ac:dyDescent="0.45">
      <c r="A62" s="6">
        <f ca="1">IF(ISNUMBER(B11),B11*$A$39+A61,NA())</f>
        <v>143380.32246490559</v>
      </c>
      <c r="K62" s="38">
        <f ca="1">IF(ISNUMBER($C11),$C11,NA())</f>
        <v>2.3671566537527573</v>
      </c>
    </row>
    <row r="63" spans="1:12" x14ac:dyDescent="0.45">
      <c r="A63" s="20">
        <f t="shared" ca="1" si="1"/>
        <v>143380.32246490559</v>
      </c>
      <c r="L63" s="38">
        <f ca="1">IF(ISNUMBER($C12),$C12,NA())</f>
        <v>90.875406268766582</v>
      </c>
    </row>
    <row r="64" spans="1:12" x14ac:dyDescent="0.45">
      <c r="A64" s="6">
        <f ca="1">IF(ISNUMBER(B12),B12*$A$39+A63,NA())</f>
        <v>144775.63947317278</v>
      </c>
      <c r="L64" s="38">
        <f ca="1">IF(ISNUMBER($C12),$C12,NA())</f>
        <v>90.875406268766582</v>
      </c>
    </row>
    <row r="65" spans="1:20" x14ac:dyDescent="0.45">
      <c r="A65" s="20">
        <f t="shared" ca="1" si="1"/>
        <v>144775.63947317278</v>
      </c>
      <c r="M65" s="38">
        <f ca="1">IF(ISNUMBER($C13),$C13,NA())</f>
        <v>103.79689231742211</v>
      </c>
    </row>
    <row r="66" spans="1:20" x14ac:dyDescent="0.45">
      <c r="A66" s="6">
        <f ca="1">IF(ISNUMBER(B13),B13*$A$39+A65,NA())</f>
        <v>164785.40536096037</v>
      </c>
      <c r="M66" s="38">
        <f ca="1">IF(ISNUMBER($C13),$C13,NA())</f>
        <v>103.79689231742211</v>
      </c>
    </row>
    <row r="67" spans="1:20" x14ac:dyDescent="0.45">
      <c r="A67" s="20">
        <f t="shared" ca="1" si="1"/>
        <v>164785.40536096037</v>
      </c>
      <c r="N67" s="38">
        <f ca="1">IF(ISNUMBER($C14),$C14,NA())</f>
        <v>179.46029717854003</v>
      </c>
    </row>
    <row r="68" spans="1:20" x14ac:dyDescent="0.45">
      <c r="A68" s="6">
        <f ca="1">IF(ISNUMBER(B14),B14*$A$39+A67,NA())</f>
        <v>167407.3746841877</v>
      </c>
      <c r="N68" s="38">
        <f ca="1">IF(ISNUMBER($C14),$C14,NA())</f>
        <v>179.46029717854003</v>
      </c>
    </row>
    <row r="69" spans="1:20" x14ac:dyDescent="0.45">
      <c r="A69" s="20">
        <f t="shared" ca="1" si="1"/>
        <v>167407.3746841877</v>
      </c>
      <c r="O69" s="38">
        <f ca="1">IF(ISNUMBER($C15),$C15,NA())</f>
        <v>192.00115337415232</v>
      </c>
    </row>
    <row r="70" spans="1:20" x14ac:dyDescent="0.45">
      <c r="A70" s="6">
        <f ca="1">IF(ISNUMBER(B15),B15*$A$39+A69,NA())</f>
        <v>186481.81818181818</v>
      </c>
      <c r="O70" s="38">
        <f ca="1">IF(ISNUMBER($C15),$C15,NA())</f>
        <v>192.00115337415232</v>
      </c>
    </row>
    <row r="71" spans="1:20" x14ac:dyDescent="0.45">
      <c r="A71" s="20">
        <f t="shared" ca="1" si="1"/>
        <v>186481.81818181818</v>
      </c>
      <c r="P71" s="38" t="e">
        <f ca="1">IF(ISNUMBER($C16),$C16,NA())</f>
        <v>#N/A</v>
      </c>
    </row>
    <row r="72" spans="1:20" x14ac:dyDescent="0.45">
      <c r="A72" s="6" t="e">
        <f ca="1">IF(ISNUMBER(B16),B16*$A$39+A71,NA())</f>
        <v>#N/A</v>
      </c>
      <c r="P72" s="38" t="e">
        <f ca="1">IF(ISNUMBER($C16),$C16,NA())</f>
        <v>#N/A</v>
      </c>
    </row>
    <row r="73" spans="1:20" x14ac:dyDescent="0.45">
      <c r="A73" s="20" t="e">
        <f t="shared" ca="1" si="1"/>
        <v>#N/A</v>
      </c>
      <c r="Q73" s="38" t="e">
        <f ca="1">IF(ISNUMBER($C17),$C17,NA())</f>
        <v>#N/A</v>
      </c>
    </row>
    <row r="74" spans="1:20" x14ac:dyDescent="0.45">
      <c r="A74" s="6" t="e">
        <f ca="1">IF(ISNUMBER(B17),B17*$A$39+A73,NA())</f>
        <v>#N/A</v>
      </c>
      <c r="Q74" s="38" t="e">
        <f ca="1">IF(ISNUMBER($C17),$C17,NA())</f>
        <v>#N/A</v>
      </c>
    </row>
    <row r="75" spans="1:20" x14ac:dyDescent="0.45">
      <c r="A75" s="20" t="e">
        <f t="shared" ca="1" si="1"/>
        <v>#N/A</v>
      </c>
      <c r="R75" s="39" t="e">
        <f ca="1">IF(ISNUMBER($C18),$C18,NA())</f>
        <v>#N/A</v>
      </c>
    </row>
    <row r="76" spans="1:20" x14ac:dyDescent="0.45">
      <c r="A76" s="6" t="e">
        <f ca="1">IF(ISNUMBER(B18),B18*$A$39+A75,NA())</f>
        <v>#N/A</v>
      </c>
      <c r="R76" s="39" t="e">
        <f ca="1">IF(ISNUMBER($C18),$C18,NA())</f>
        <v>#N/A</v>
      </c>
    </row>
    <row r="77" spans="1:20" x14ac:dyDescent="0.45">
      <c r="A77" s="20" t="e">
        <f t="shared" ca="1" si="1"/>
        <v>#N/A</v>
      </c>
      <c r="S77" s="39" t="e">
        <f ca="1">IF(ISNUMBER($C19),$C19,NA())</f>
        <v>#N/A</v>
      </c>
    </row>
    <row r="78" spans="1:20" x14ac:dyDescent="0.45">
      <c r="A78" s="6" t="e">
        <f ca="1">IF(ISNUMBER(B19),B19*$A$39+A77,NA())</f>
        <v>#N/A</v>
      </c>
      <c r="S78" s="39" t="e">
        <f ca="1">IF(ISNUMBER($C19),$C19,NA())</f>
        <v>#N/A</v>
      </c>
    </row>
    <row r="79" spans="1:20" x14ac:dyDescent="0.45">
      <c r="A79" s="20" t="e">
        <f t="shared" ca="1" si="1"/>
        <v>#N/A</v>
      </c>
      <c r="T79" s="39" t="e">
        <f ca="1">IF(ISNUMBER($C20),$C20,NA())</f>
        <v>#N/A</v>
      </c>
    </row>
    <row r="80" spans="1:20" x14ac:dyDescent="0.45">
      <c r="A80" s="6" t="e">
        <f ca="1">IF(ISNUMBER(B20),B20*$A$39+A79,NA())</f>
        <v>#N/A</v>
      </c>
      <c r="T80" s="39" t="e">
        <f ca="1">IF(ISNUMBER($C20),$C20,NA())</f>
        <v>#N/A</v>
      </c>
    </row>
    <row r="81" spans="1:26" x14ac:dyDescent="0.45">
      <c r="A81" s="20" t="e">
        <f t="shared" ca="1" si="1"/>
        <v>#N/A</v>
      </c>
      <c r="U81" s="39" t="e">
        <f ca="1">IF(ISNUMBER($C21),$C21,NA())</f>
        <v>#N/A</v>
      </c>
    </row>
    <row r="82" spans="1:26" x14ac:dyDescent="0.45">
      <c r="A82" s="6" t="e">
        <f ca="1">IF(ISNUMBER(B21),B21*$A$39+A81,NA())</f>
        <v>#N/A</v>
      </c>
      <c r="U82" s="39" t="e">
        <f ca="1">IF(ISNUMBER($C21),$C21,NA())</f>
        <v>#N/A</v>
      </c>
    </row>
    <row r="83" spans="1:26" x14ac:dyDescent="0.45">
      <c r="A83" s="20" t="e">
        <f t="shared" ca="1" si="1"/>
        <v>#N/A</v>
      </c>
      <c r="V83" s="38" t="e">
        <f ca="1">IF(ISNUMBER($C22),$C22,NA())</f>
        <v>#N/A</v>
      </c>
    </row>
    <row r="84" spans="1:26" x14ac:dyDescent="0.45">
      <c r="A84" s="6" t="e">
        <f ca="1">IF(ISNUMBER(B22),B22*$A$39+A83,NA())</f>
        <v>#N/A</v>
      </c>
      <c r="V84" s="38" t="e">
        <f ca="1">IF(ISNUMBER($C22),$C22,NA())</f>
        <v>#N/A</v>
      </c>
    </row>
    <row r="85" spans="1:26" x14ac:dyDescent="0.45">
      <c r="A85" s="20" t="e">
        <f t="shared" ca="1" si="1"/>
        <v>#N/A</v>
      </c>
      <c r="W85" s="38" t="e">
        <f ca="1">IF(ISNUMBER($C23),$C23,NA())</f>
        <v>#N/A</v>
      </c>
    </row>
    <row r="86" spans="1:26" x14ac:dyDescent="0.45">
      <c r="A86" s="6" t="e">
        <f ca="1">IF(ISNUMBER(B23),B23*$A$39+A85,NA())</f>
        <v>#N/A</v>
      </c>
      <c r="W86" s="38" t="e">
        <f ca="1">IF(ISNUMBER($C23),$C23,NA())</f>
        <v>#N/A</v>
      </c>
    </row>
    <row r="87" spans="1:26" x14ac:dyDescent="0.45">
      <c r="A87" s="20" t="e">
        <f t="shared" ca="1" si="1"/>
        <v>#N/A</v>
      </c>
      <c r="X87" s="38" t="e">
        <f ca="1">IF(ISNUMBER($C24),$C24,NA())</f>
        <v>#N/A</v>
      </c>
    </row>
    <row r="88" spans="1:26" x14ac:dyDescent="0.45">
      <c r="A88" s="6" t="e">
        <f ca="1">IF(ISNUMBER(B24),B24*$A$39+A87,NA())</f>
        <v>#N/A</v>
      </c>
      <c r="X88" s="38" t="e">
        <f ca="1">IF(ISNUMBER($C24),$C24,NA())</f>
        <v>#N/A</v>
      </c>
    </row>
    <row r="89" spans="1:26" x14ac:dyDescent="0.45">
      <c r="A89" s="20" t="e">
        <f t="shared" ca="1" si="1"/>
        <v>#N/A</v>
      </c>
      <c r="Y89" s="38" t="e">
        <f ca="1">IF(ISNUMBER($C25),$C25,NA())</f>
        <v>#N/A</v>
      </c>
    </row>
    <row r="90" spans="1:26" x14ac:dyDescent="0.45">
      <c r="A90" s="6" t="e">
        <f ca="1">IF(ISNUMBER(B25),B25*$A$39+A89,NA())</f>
        <v>#N/A</v>
      </c>
      <c r="Y90" s="38" t="e">
        <f ca="1">IF(ISNUMBER($C25),$C25,NA())</f>
        <v>#N/A</v>
      </c>
    </row>
    <row r="91" spans="1:26" x14ac:dyDescent="0.45">
      <c r="A91" s="20" t="e">
        <f t="shared" ca="1" si="1"/>
        <v>#N/A</v>
      </c>
      <c r="Z91" s="38" t="e">
        <f ca="1">IF(ISNUMBER($C26),$C26,NA())</f>
        <v>#N/A</v>
      </c>
    </row>
    <row r="92" spans="1:26" x14ac:dyDescent="0.45">
      <c r="A92" s="6" t="e">
        <f ca="1">IF(ISNUMBER(B26),B26*$A$39+A91,NA())</f>
        <v>#N/A</v>
      </c>
      <c r="Z92" s="38" t="e">
        <f ca="1">IF(ISNUMBER($C26),$C26,NA())</f>
        <v>#N/A</v>
      </c>
    </row>
    <row r="93" spans="1:26" x14ac:dyDescent="0.45">
      <c r="A93" s="20" t="e">
        <f t="shared" ca="1" si="1"/>
        <v>#N/A</v>
      </c>
    </row>
    <row r="94" spans="1:26" s="9" customFormat="1" x14ac:dyDescent="0.45"/>
    <row r="96" spans="1:26" x14ac:dyDescent="0.45">
      <c r="C96" s="37" t="str">
        <f ca="1">IF(ISNUMBER($B23),$A23,"")</f>
        <v/>
      </c>
    </row>
    <row r="97" spans="3:3" x14ac:dyDescent="0.45">
      <c r="C97" s="37" t="str">
        <f ca="1">IF(ISNUMBER($B24),$A24,"")</f>
        <v/>
      </c>
    </row>
    <row r="98" spans="3:3" x14ac:dyDescent="0.45">
      <c r="C98" s="37" t="str">
        <f ca="1">IF(ISNUMBER($B25),$A25,"")</f>
        <v/>
      </c>
    </row>
    <row r="99" spans="3:3" x14ac:dyDescent="0.45">
      <c r="C99" s="37" t="str">
        <f ca="1">IF(ISNUMBER($B26),$A26,"")</f>
        <v/>
      </c>
    </row>
    <row r="100" spans="3:3" x14ac:dyDescent="0.45">
      <c r="C100" s="37"/>
    </row>
    <row r="101" spans="3:3" x14ac:dyDescent="0.45">
      <c r="C101" s="37"/>
    </row>
    <row r="102" spans="3:3" x14ac:dyDescent="0.45">
      <c r="C102" s="37"/>
    </row>
    <row r="103" spans="3:3" x14ac:dyDescent="0.45">
      <c r="C103" s="37"/>
    </row>
    <row r="104" spans="3:3" x14ac:dyDescent="0.45">
      <c r="C104" s="37"/>
    </row>
    <row r="105" spans="3:3" x14ac:dyDescent="0.45">
      <c r="C105" s="37"/>
    </row>
    <row r="106" spans="3:3" x14ac:dyDescent="0.45">
      <c r="C106" s="37"/>
    </row>
    <row r="107" spans="3:3" x14ac:dyDescent="0.45">
      <c r="C107" s="37"/>
    </row>
    <row r="108" spans="3:3" x14ac:dyDescent="0.45">
      <c r="C108" s="37"/>
    </row>
    <row r="109" spans="3:3" x14ac:dyDescent="0.45">
      <c r="C109" s="37"/>
    </row>
    <row r="110" spans="3:3" x14ac:dyDescent="0.45">
      <c r="C110" s="37"/>
    </row>
    <row r="111" spans="3:3" x14ac:dyDescent="0.45">
      <c r="C111" s="37"/>
    </row>
    <row r="112" spans="3:3" x14ac:dyDescent="0.45">
      <c r="C112" s="37"/>
    </row>
    <row r="113" spans="3:3" x14ac:dyDescent="0.45">
      <c r="C113" s="37"/>
    </row>
    <row r="114" spans="3:3" x14ac:dyDescent="0.45">
      <c r="C114" s="37"/>
    </row>
  </sheetData>
  <autoFilter ref="A1:C26">
    <sortState ref="A2:C26">
      <sortCondition ref="C1:C26"/>
    </sortState>
  </autoFilter>
  <pageMargins left="0.7" right="0.7" top="0.75" bottom="0.75" header="0.3" footer="0.3"/>
  <pageSetup orientation="portrait" r:id="rId1"/>
  <ignoredErrors>
    <ignoredError sqref="A93" evalError="1"/>
    <ignoredError sqref="A80:A92" evalError="1" formula="1"/>
    <ignoredError sqref="A44:A79"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7"/>
  <sheetViews>
    <sheetView workbookViewId="0">
      <selection sqref="A1:AJ41"/>
    </sheetView>
  </sheetViews>
  <sheetFormatPr defaultRowHeight="14.25" x14ac:dyDescent="0.45"/>
  <sheetData>
    <row r="1" spans="1:36" x14ac:dyDescent="0.45">
      <c r="A1" s="53" t="s">
        <v>0</v>
      </c>
      <c r="B1" s="53" t="s">
        <v>1</v>
      </c>
      <c r="C1" s="53" t="s">
        <v>2</v>
      </c>
      <c r="D1" s="53">
        <v>2018</v>
      </c>
      <c r="E1" s="53">
        <v>2019</v>
      </c>
      <c r="F1" s="53">
        <v>2020</v>
      </c>
      <c r="G1" s="53">
        <v>2021</v>
      </c>
      <c r="H1" s="53">
        <v>2022</v>
      </c>
      <c r="I1" s="53">
        <v>2023</v>
      </c>
      <c r="J1" s="53">
        <v>2024</v>
      </c>
      <c r="K1" s="53">
        <v>2025</v>
      </c>
      <c r="L1" s="53">
        <v>2026</v>
      </c>
      <c r="M1" s="53">
        <v>2027</v>
      </c>
      <c r="N1" s="53">
        <v>2028</v>
      </c>
      <c r="O1" s="53">
        <v>2029</v>
      </c>
      <c r="P1" s="53">
        <v>2030</v>
      </c>
      <c r="Q1" s="53">
        <v>2031</v>
      </c>
      <c r="R1" s="53">
        <v>2032</v>
      </c>
      <c r="S1" s="53">
        <v>2033</v>
      </c>
      <c r="T1" s="53">
        <v>2034</v>
      </c>
      <c r="U1" s="53">
        <v>2035</v>
      </c>
      <c r="V1" s="53">
        <v>2036</v>
      </c>
      <c r="W1" s="53">
        <v>2037</v>
      </c>
      <c r="X1" s="53">
        <v>2038</v>
      </c>
      <c r="Y1" s="53">
        <v>2039</v>
      </c>
      <c r="Z1" s="53">
        <v>2040</v>
      </c>
      <c r="AA1" s="53">
        <v>2041</v>
      </c>
      <c r="AB1" s="53">
        <v>2042</v>
      </c>
      <c r="AC1" s="53">
        <v>2043</v>
      </c>
      <c r="AD1" s="53">
        <v>2044</v>
      </c>
      <c r="AE1" s="53">
        <v>2045</v>
      </c>
      <c r="AF1" s="53">
        <v>2046</v>
      </c>
      <c r="AG1" s="53">
        <v>2047</v>
      </c>
      <c r="AH1" s="53">
        <v>2048</v>
      </c>
      <c r="AI1" s="53">
        <v>2049</v>
      </c>
      <c r="AJ1" s="53">
        <v>2050</v>
      </c>
    </row>
    <row r="2" spans="1:36" x14ac:dyDescent="0.45">
      <c r="A2" s="53" t="s">
        <v>3</v>
      </c>
      <c r="B2" s="53" t="s">
        <v>1</v>
      </c>
      <c r="C2" s="53" t="s">
        <v>2</v>
      </c>
      <c r="D2" s="53">
        <v>5853.96</v>
      </c>
      <c r="E2" s="53">
        <v>11562</v>
      </c>
      <c r="F2" s="53">
        <v>17084</v>
      </c>
      <c r="G2" s="53">
        <v>22430.3</v>
      </c>
      <c r="H2" s="53">
        <v>27656.7</v>
      </c>
      <c r="I2" s="53">
        <v>32771.800000000003</v>
      </c>
      <c r="J2" s="53">
        <v>37759.800000000003</v>
      </c>
      <c r="K2" s="53">
        <v>42620</v>
      </c>
      <c r="L2" s="53">
        <v>47353.9</v>
      </c>
      <c r="M2" s="53">
        <v>51951.6</v>
      </c>
      <c r="N2" s="53">
        <v>56428.6</v>
      </c>
      <c r="O2" s="53">
        <v>60782.7</v>
      </c>
      <c r="P2" s="53">
        <v>65008.6</v>
      </c>
      <c r="Q2" s="53">
        <v>69100.800000000003</v>
      </c>
      <c r="R2" s="53">
        <v>73052.5</v>
      </c>
      <c r="S2" s="53">
        <v>76875.199999999997</v>
      </c>
      <c r="T2" s="53">
        <v>80566.100000000006</v>
      </c>
      <c r="U2" s="53">
        <v>84131.1</v>
      </c>
      <c r="V2" s="53">
        <v>87575.2</v>
      </c>
      <c r="W2" s="53">
        <v>90905.2</v>
      </c>
      <c r="X2" s="53">
        <v>94126.7</v>
      </c>
      <c r="Y2" s="53">
        <v>97246.1</v>
      </c>
      <c r="Z2" s="53">
        <v>100269</v>
      </c>
      <c r="AA2" s="53">
        <v>103195</v>
      </c>
      <c r="AB2" s="53">
        <v>106031</v>
      </c>
      <c r="AC2" s="53">
        <v>108769</v>
      </c>
      <c r="AD2" s="53">
        <v>111447</v>
      </c>
      <c r="AE2" s="53">
        <v>114099</v>
      </c>
      <c r="AF2" s="53">
        <v>116729</v>
      </c>
      <c r="AG2" s="53">
        <v>119346</v>
      </c>
      <c r="AH2" s="53">
        <v>121953</v>
      </c>
      <c r="AI2" s="53">
        <v>124547</v>
      </c>
      <c r="AJ2" s="53">
        <v>127114</v>
      </c>
    </row>
    <row r="3" spans="1:36" x14ac:dyDescent="0.45">
      <c r="A3" s="53" t="s">
        <v>21</v>
      </c>
      <c r="B3" s="53" t="s">
        <v>1</v>
      </c>
      <c r="C3" s="53" t="s">
        <v>2</v>
      </c>
      <c r="D3" s="53">
        <v>0</v>
      </c>
      <c r="E3" s="53">
        <v>0</v>
      </c>
      <c r="F3" s="54">
        <v>23511600000</v>
      </c>
      <c r="G3" s="54">
        <v>63125100000</v>
      </c>
      <c r="H3" s="54">
        <v>105749000000</v>
      </c>
      <c r="I3" s="54">
        <v>145828000000</v>
      </c>
      <c r="J3" s="54">
        <v>183037000000</v>
      </c>
      <c r="K3" s="54">
        <v>215003000000</v>
      </c>
      <c r="L3" s="54">
        <v>244554000000</v>
      </c>
      <c r="M3" s="54">
        <v>275447000000</v>
      </c>
      <c r="N3" s="54">
        <v>313120000000</v>
      </c>
      <c r="O3" s="54">
        <v>355892000000</v>
      </c>
      <c r="P3" s="54">
        <v>403114000000</v>
      </c>
      <c r="Q3" s="54">
        <v>437442000000</v>
      </c>
      <c r="R3" s="54">
        <v>459281000000</v>
      </c>
      <c r="S3" s="54">
        <v>468990000000</v>
      </c>
      <c r="T3" s="54">
        <v>468550000000</v>
      </c>
      <c r="U3" s="54">
        <v>457369000000</v>
      </c>
      <c r="V3" s="54">
        <v>438081000000</v>
      </c>
      <c r="W3" s="54">
        <v>415416000000</v>
      </c>
      <c r="X3" s="54">
        <v>385972000000</v>
      </c>
      <c r="Y3" s="54">
        <v>350115000000</v>
      </c>
      <c r="Z3" s="54">
        <v>308673000000</v>
      </c>
      <c r="AA3" s="54">
        <v>261950000000</v>
      </c>
      <c r="AB3" s="54">
        <v>209642000000</v>
      </c>
      <c r="AC3" s="54">
        <v>153086000000</v>
      </c>
      <c r="AD3" s="54">
        <v>93704500000</v>
      </c>
      <c r="AE3" s="54">
        <v>32837200000</v>
      </c>
      <c r="AF3" s="54">
        <v>-28403200000</v>
      </c>
      <c r="AG3" s="54">
        <v>-94884400000</v>
      </c>
      <c r="AH3" s="54">
        <v>-169549000000</v>
      </c>
      <c r="AI3" s="54">
        <v>-249940000000</v>
      </c>
      <c r="AJ3" s="54">
        <v>-334076000000</v>
      </c>
    </row>
    <row r="4" spans="1:36" x14ac:dyDescent="0.45">
      <c r="A4" s="53" t="s">
        <v>3</v>
      </c>
      <c r="B4" s="53" t="s">
        <v>84</v>
      </c>
      <c r="C4" s="53" t="s">
        <v>85</v>
      </c>
      <c r="D4" s="53">
        <v>5853.96</v>
      </c>
      <c r="E4" s="53">
        <v>11562</v>
      </c>
      <c r="F4" s="53">
        <v>17081.599999999999</v>
      </c>
      <c r="G4" s="53">
        <v>22421.4</v>
      </c>
      <c r="H4" s="53">
        <v>27635.8</v>
      </c>
      <c r="I4" s="53">
        <v>32740.5</v>
      </c>
      <c r="J4" s="53">
        <v>37737.800000000003</v>
      </c>
      <c r="K4" s="53">
        <v>42636.3</v>
      </c>
      <c r="L4" s="53">
        <v>47432</v>
      </c>
      <c r="M4" s="53">
        <v>52121.2</v>
      </c>
      <c r="N4" s="53">
        <v>56713.1</v>
      </c>
      <c r="O4" s="53">
        <v>61193.7</v>
      </c>
      <c r="P4" s="53">
        <v>65555.8</v>
      </c>
      <c r="Q4" s="53">
        <v>69797.100000000006</v>
      </c>
      <c r="R4" s="53">
        <v>73916.3</v>
      </c>
      <c r="S4" s="53">
        <v>77914</v>
      </c>
      <c r="T4" s="53">
        <v>81787.199999999997</v>
      </c>
      <c r="U4" s="53">
        <v>85550.399999999994</v>
      </c>
      <c r="V4" s="53">
        <v>89204.7</v>
      </c>
      <c r="W4" s="53">
        <v>92756.2</v>
      </c>
      <c r="X4" s="53">
        <v>96205.9</v>
      </c>
      <c r="Y4" s="53">
        <v>99555.9</v>
      </c>
      <c r="Z4" s="53">
        <v>102808</v>
      </c>
      <c r="AA4" s="53">
        <v>105966</v>
      </c>
      <c r="AB4" s="53">
        <v>109031</v>
      </c>
      <c r="AC4" s="53">
        <v>111998</v>
      </c>
      <c r="AD4" s="53">
        <v>114906</v>
      </c>
      <c r="AE4" s="53">
        <v>117779</v>
      </c>
      <c r="AF4" s="53">
        <v>120623</v>
      </c>
      <c r="AG4" s="53">
        <v>123444</v>
      </c>
      <c r="AH4" s="53">
        <v>126246</v>
      </c>
      <c r="AI4" s="53">
        <v>129028</v>
      </c>
      <c r="AJ4" s="53">
        <v>131777</v>
      </c>
    </row>
    <row r="5" spans="1:36" x14ac:dyDescent="0.45">
      <c r="A5" s="53" t="s">
        <v>21</v>
      </c>
      <c r="B5" s="53" t="s">
        <v>84</v>
      </c>
      <c r="C5" s="53" t="s">
        <v>85</v>
      </c>
      <c r="D5" s="53">
        <v>0</v>
      </c>
      <c r="E5" s="53">
        <v>0</v>
      </c>
      <c r="F5" s="54">
        <v>14497400000</v>
      </c>
      <c r="G5" s="54">
        <v>38996700000</v>
      </c>
      <c r="H5" s="54">
        <v>63909500000</v>
      </c>
      <c r="I5" s="54">
        <v>85333300000</v>
      </c>
      <c r="J5" s="54">
        <v>101825000000</v>
      </c>
      <c r="K5" s="54">
        <v>113833000000</v>
      </c>
      <c r="L5" s="54">
        <v>124364000000</v>
      </c>
      <c r="M5" s="54">
        <v>138315000000</v>
      </c>
      <c r="N5" s="54">
        <v>162935000000</v>
      </c>
      <c r="O5" s="54">
        <v>196052000000</v>
      </c>
      <c r="P5" s="54">
        <v>237740000000</v>
      </c>
      <c r="Q5" s="54">
        <v>271351000000</v>
      </c>
      <c r="R5" s="54">
        <v>296752000000</v>
      </c>
      <c r="S5" s="54">
        <v>312397000000</v>
      </c>
      <c r="T5" s="54">
        <v>319604000000</v>
      </c>
      <c r="U5" s="54">
        <v>318991000000</v>
      </c>
      <c r="V5" s="54">
        <v>310602000000</v>
      </c>
      <c r="W5" s="54">
        <v>296903000000</v>
      </c>
      <c r="X5" s="54">
        <v>276885000000</v>
      </c>
      <c r="Y5" s="54">
        <v>251695000000</v>
      </c>
      <c r="Z5" s="54">
        <v>222068000000</v>
      </c>
      <c r="AA5" s="54">
        <v>187756000000</v>
      </c>
      <c r="AB5" s="54">
        <v>148186000000</v>
      </c>
      <c r="AC5" s="54">
        <v>104652000000</v>
      </c>
      <c r="AD5" s="54">
        <v>59219000000</v>
      </c>
      <c r="AE5" s="54">
        <v>13003300000</v>
      </c>
      <c r="AF5" s="54">
        <v>-33239100000</v>
      </c>
      <c r="AG5" s="54">
        <v>-83965500000</v>
      </c>
      <c r="AH5" s="54">
        <v>-141860000000</v>
      </c>
      <c r="AI5" s="54">
        <v>-204760000000</v>
      </c>
      <c r="AJ5" s="54">
        <v>-270936000000</v>
      </c>
    </row>
    <row r="6" spans="1:36" x14ac:dyDescent="0.45">
      <c r="A6" s="53" t="s">
        <v>3</v>
      </c>
      <c r="B6" s="53" t="s">
        <v>86</v>
      </c>
      <c r="C6" s="53" t="s">
        <v>87</v>
      </c>
      <c r="D6" s="53">
        <v>5853.96</v>
      </c>
      <c r="E6" s="53">
        <v>11562</v>
      </c>
      <c r="F6" s="53">
        <v>17084</v>
      </c>
      <c r="G6" s="53">
        <v>22430.3</v>
      </c>
      <c r="H6" s="53">
        <v>27656.7</v>
      </c>
      <c r="I6" s="53">
        <v>32771.800000000003</v>
      </c>
      <c r="J6" s="53">
        <v>37759.800000000003</v>
      </c>
      <c r="K6" s="53">
        <v>42619.9</v>
      </c>
      <c r="L6" s="53">
        <v>47353.9</v>
      </c>
      <c r="M6" s="53">
        <v>51951.6</v>
      </c>
      <c r="N6" s="53">
        <v>56428.6</v>
      </c>
      <c r="O6" s="53">
        <v>60782.6</v>
      </c>
      <c r="P6" s="53">
        <v>65008.5</v>
      </c>
      <c r="Q6" s="53">
        <v>69100.7</v>
      </c>
      <c r="R6" s="53">
        <v>73052.399999999994</v>
      </c>
      <c r="S6" s="53">
        <v>76875.199999999997</v>
      </c>
      <c r="T6" s="53">
        <v>80566.100000000006</v>
      </c>
      <c r="U6" s="53">
        <v>84131.1</v>
      </c>
      <c r="V6" s="53">
        <v>87575.2</v>
      </c>
      <c r="W6" s="53">
        <v>90905.2</v>
      </c>
      <c r="X6" s="53">
        <v>94126.7</v>
      </c>
      <c r="Y6" s="53">
        <v>97246</v>
      </c>
      <c r="Z6" s="53">
        <v>100269</v>
      </c>
      <c r="AA6" s="53">
        <v>103195</v>
      </c>
      <c r="AB6" s="53">
        <v>106031</v>
      </c>
      <c r="AC6" s="53">
        <v>108769</v>
      </c>
      <c r="AD6" s="53">
        <v>111447</v>
      </c>
      <c r="AE6" s="53">
        <v>114099</v>
      </c>
      <c r="AF6" s="53">
        <v>116729</v>
      </c>
      <c r="AG6" s="53">
        <v>119346</v>
      </c>
      <c r="AH6" s="53">
        <v>121953</v>
      </c>
      <c r="AI6" s="53">
        <v>124547</v>
      </c>
      <c r="AJ6" s="53">
        <v>127114</v>
      </c>
    </row>
    <row r="7" spans="1:36" x14ac:dyDescent="0.45">
      <c r="A7" s="53" t="s">
        <v>21</v>
      </c>
      <c r="B7" s="53" t="s">
        <v>86</v>
      </c>
      <c r="C7" s="53" t="s">
        <v>87</v>
      </c>
      <c r="D7" s="53">
        <v>0</v>
      </c>
      <c r="E7" s="53">
        <v>0</v>
      </c>
      <c r="F7" s="54">
        <v>27452200000</v>
      </c>
      <c r="G7" s="54">
        <v>76376400000</v>
      </c>
      <c r="H7" s="54">
        <v>134852000000</v>
      </c>
      <c r="I7" s="54">
        <v>198298000000</v>
      </c>
      <c r="J7" s="54">
        <v>267242000000</v>
      </c>
      <c r="K7" s="54">
        <v>340077000000</v>
      </c>
      <c r="L7" s="54">
        <v>420496000000</v>
      </c>
      <c r="M7" s="54">
        <v>507325000000</v>
      </c>
      <c r="N7" s="54">
        <v>605633000000</v>
      </c>
      <c r="O7" s="54">
        <v>713291000000</v>
      </c>
      <c r="P7" s="54">
        <v>829319000000</v>
      </c>
      <c r="Q7" s="54">
        <v>936055000000</v>
      </c>
      <c r="R7" s="54">
        <v>1033610000000</v>
      </c>
      <c r="S7" s="54">
        <v>1122080000000</v>
      </c>
      <c r="T7" s="54">
        <v>1203170000000</v>
      </c>
      <c r="U7" s="54">
        <v>1276020000000</v>
      </c>
      <c r="V7" s="54">
        <v>1338110000000</v>
      </c>
      <c r="W7" s="54">
        <v>1394350000000</v>
      </c>
      <c r="X7" s="54">
        <v>1441450000000</v>
      </c>
      <c r="Y7" s="54">
        <v>1479880000000</v>
      </c>
      <c r="Z7" s="54">
        <v>1510570000000</v>
      </c>
      <c r="AA7" s="54">
        <v>1533880000000</v>
      </c>
      <c r="AB7" s="54">
        <v>1549600000000</v>
      </c>
      <c r="AC7" s="54">
        <v>1559140000000</v>
      </c>
      <c r="AD7" s="54">
        <v>1563980000000</v>
      </c>
      <c r="AE7" s="54">
        <v>1565510000000</v>
      </c>
      <c r="AF7" s="54">
        <v>1564920000000</v>
      </c>
      <c r="AG7" s="54">
        <v>1557360000000</v>
      </c>
      <c r="AH7" s="54">
        <v>1539920000000</v>
      </c>
      <c r="AI7" s="54">
        <v>1515080000000</v>
      </c>
      <c r="AJ7" s="54">
        <v>1484870000000</v>
      </c>
    </row>
    <row r="8" spans="1:36" x14ac:dyDescent="0.45">
      <c r="A8" s="53" t="s">
        <v>3</v>
      </c>
      <c r="B8" s="53" t="s">
        <v>4</v>
      </c>
      <c r="C8" s="53" t="s">
        <v>101</v>
      </c>
      <c r="D8" s="53">
        <v>5853.96</v>
      </c>
      <c r="E8" s="53">
        <v>11562</v>
      </c>
      <c r="F8" s="53">
        <v>17084</v>
      </c>
      <c r="G8" s="53">
        <v>22430.3</v>
      </c>
      <c r="H8" s="53">
        <v>27656.7</v>
      </c>
      <c r="I8" s="53">
        <v>32771.800000000003</v>
      </c>
      <c r="J8" s="53">
        <v>37759.800000000003</v>
      </c>
      <c r="K8" s="53">
        <v>42620</v>
      </c>
      <c r="L8" s="53">
        <v>47357.1</v>
      </c>
      <c r="M8" s="53">
        <v>51963</v>
      </c>
      <c r="N8" s="53">
        <v>56453.9</v>
      </c>
      <c r="O8" s="53">
        <v>60827.7</v>
      </c>
      <c r="P8" s="53">
        <v>65079</v>
      </c>
      <c r="Q8" s="53">
        <v>69201</v>
      </c>
      <c r="R8" s="53">
        <v>73186.2</v>
      </c>
      <c r="S8" s="53">
        <v>77044.100000000006</v>
      </c>
      <c r="T8" s="53">
        <v>80770.600000000006</v>
      </c>
      <c r="U8" s="53">
        <v>84370.2</v>
      </c>
      <c r="V8" s="53">
        <v>87848.1</v>
      </c>
      <c r="W8" s="53">
        <v>91211.199999999997</v>
      </c>
      <c r="X8" s="53">
        <v>94465.5</v>
      </c>
      <c r="Y8" s="53">
        <v>97619.9</v>
      </c>
      <c r="Z8" s="53">
        <v>100669</v>
      </c>
      <c r="AA8" s="53">
        <v>103624</v>
      </c>
      <c r="AB8" s="53">
        <v>106477</v>
      </c>
      <c r="AC8" s="53">
        <v>109233</v>
      </c>
      <c r="AD8" s="53">
        <v>111925</v>
      </c>
      <c r="AE8" s="53">
        <v>114587</v>
      </c>
      <c r="AF8" s="53">
        <v>117227</v>
      </c>
      <c r="AG8" s="53">
        <v>119853</v>
      </c>
      <c r="AH8" s="53">
        <v>122469</v>
      </c>
      <c r="AI8" s="53">
        <v>125073</v>
      </c>
      <c r="AJ8" s="53">
        <v>127650</v>
      </c>
    </row>
    <row r="9" spans="1:36" x14ac:dyDescent="0.45">
      <c r="A9" s="53" t="s">
        <v>21</v>
      </c>
      <c r="B9" s="53" t="s">
        <v>4</v>
      </c>
      <c r="C9" s="53" t="s">
        <v>101</v>
      </c>
      <c r="D9" s="53">
        <v>0</v>
      </c>
      <c r="E9" s="53">
        <v>0</v>
      </c>
      <c r="F9" s="54">
        <v>23511600000</v>
      </c>
      <c r="G9" s="54">
        <v>63125100000</v>
      </c>
      <c r="H9" s="54">
        <v>105749000000</v>
      </c>
      <c r="I9" s="54">
        <v>145828000000</v>
      </c>
      <c r="J9" s="54">
        <v>183037000000</v>
      </c>
      <c r="K9" s="54">
        <v>215003000000</v>
      </c>
      <c r="L9" s="54">
        <v>242589000000</v>
      </c>
      <c r="M9" s="54">
        <v>270782000000</v>
      </c>
      <c r="N9" s="54">
        <v>305851000000</v>
      </c>
      <c r="O9" s="54">
        <v>346858000000</v>
      </c>
      <c r="P9" s="54">
        <v>393430000000</v>
      </c>
      <c r="Q9" s="54">
        <v>428482000000</v>
      </c>
      <c r="R9" s="54">
        <v>452520000000</v>
      </c>
      <c r="S9" s="54">
        <v>465894000000</v>
      </c>
      <c r="T9" s="54">
        <v>470680000000</v>
      </c>
      <c r="U9" s="54">
        <v>466356000000</v>
      </c>
      <c r="V9" s="54">
        <v>453538000000</v>
      </c>
      <c r="W9" s="54">
        <v>436881000000</v>
      </c>
      <c r="X9" s="54">
        <v>413124000000</v>
      </c>
      <c r="Y9" s="54">
        <v>382386000000</v>
      </c>
      <c r="Z9" s="54">
        <v>344694000000</v>
      </c>
      <c r="AA9" s="54">
        <v>301277000000</v>
      </c>
      <c r="AB9" s="54">
        <v>251702000000</v>
      </c>
      <c r="AC9" s="54">
        <v>197221000000</v>
      </c>
      <c r="AD9" s="54">
        <v>139937000000</v>
      </c>
      <c r="AE9" s="54">
        <v>80570500000</v>
      </c>
      <c r="AF9" s="54">
        <v>20527500000</v>
      </c>
      <c r="AG9" s="54">
        <v>-44728400000</v>
      </c>
      <c r="AH9" s="54">
        <v>-118132000000</v>
      </c>
      <c r="AI9" s="54">
        <v>-197301000000</v>
      </c>
      <c r="AJ9" s="54">
        <v>-280268000000</v>
      </c>
    </row>
    <row r="10" spans="1:36" x14ac:dyDescent="0.45">
      <c r="A10" s="53" t="s">
        <v>3</v>
      </c>
      <c r="B10" s="53" t="s">
        <v>5</v>
      </c>
      <c r="C10" s="53" t="s">
        <v>88</v>
      </c>
      <c r="D10" s="53">
        <v>5853.96</v>
      </c>
      <c r="E10" s="53">
        <v>11562</v>
      </c>
      <c r="F10" s="53">
        <v>17088.099999999999</v>
      </c>
      <c r="G10" s="53">
        <v>22442.2</v>
      </c>
      <c r="H10" s="53">
        <v>27680.2</v>
      </c>
      <c r="I10" s="53">
        <v>32809.9</v>
      </c>
      <c r="J10" s="53">
        <v>37815.300000000003</v>
      </c>
      <c r="K10" s="53">
        <v>42695.1</v>
      </c>
      <c r="L10" s="53">
        <v>47449.9</v>
      </c>
      <c r="M10" s="53">
        <v>52070.1</v>
      </c>
      <c r="N10" s="53">
        <v>56570.400000000001</v>
      </c>
      <c r="O10" s="53">
        <v>60948.4</v>
      </c>
      <c r="P10" s="53">
        <v>65198.6</v>
      </c>
      <c r="Q10" s="53">
        <v>69314.600000000006</v>
      </c>
      <c r="R10" s="53">
        <v>73290.399999999994</v>
      </c>
      <c r="S10" s="53">
        <v>77136</v>
      </c>
      <c r="T10" s="53">
        <v>80850.100000000006</v>
      </c>
      <c r="U10" s="53">
        <v>84439.3</v>
      </c>
      <c r="V10" s="53">
        <v>87908.5</v>
      </c>
      <c r="W10" s="53">
        <v>91263.5</v>
      </c>
      <c r="X10" s="53">
        <v>94509.7</v>
      </c>
      <c r="Y10" s="53">
        <v>97652.4</v>
      </c>
      <c r="Z10" s="53">
        <v>100693</v>
      </c>
      <c r="AA10" s="53">
        <v>103638</v>
      </c>
      <c r="AB10" s="53">
        <v>106492</v>
      </c>
      <c r="AC10" s="53">
        <v>109249</v>
      </c>
      <c r="AD10" s="53">
        <v>111943</v>
      </c>
      <c r="AE10" s="53">
        <v>114610</v>
      </c>
      <c r="AF10" s="53">
        <v>117257</v>
      </c>
      <c r="AG10" s="53">
        <v>119891</v>
      </c>
      <c r="AH10" s="53">
        <v>122516</v>
      </c>
      <c r="AI10" s="53">
        <v>125129</v>
      </c>
      <c r="AJ10" s="53">
        <v>127716</v>
      </c>
    </row>
    <row r="11" spans="1:36" x14ac:dyDescent="0.45">
      <c r="A11" s="53" t="s">
        <v>21</v>
      </c>
      <c r="B11" s="53" t="s">
        <v>5</v>
      </c>
      <c r="C11" s="53" t="s">
        <v>88</v>
      </c>
      <c r="D11" s="53">
        <v>0</v>
      </c>
      <c r="E11" s="53">
        <v>0</v>
      </c>
      <c r="F11" s="54">
        <v>27119900000</v>
      </c>
      <c r="G11" s="54">
        <v>73884600000</v>
      </c>
      <c r="H11" s="54">
        <v>126824000000</v>
      </c>
      <c r="I11" s="54">
        <v>180299000000</v>
      </c>
      <c r="J11" s="54">
        <v>233794000000</v>
      </c>
      <c r="K11" s="54">
        <v>284690000000</v>
      </c>
      <c r="L11" s="54">
        <v>335715000000</v>
      </c>
      <c r="M11" s="54">
        <v>390509000000</v>
      </c>
      <c r="N11" s="54">
        <v>454331000000</v>
      </c>
      <c r="O11" s="54">
        <v>525257000000</v>
      </c>
      <c r="P11" s="54">
        <v>602400000000</v>
      </c>
      <c r="Q11" s="54">
        <v>668384000000</v>
      </c>
      <c r="R11" s="54">
        <v>723461000000</v>
      </c>
      <c r="S11" s="54">
        <v>767819000000</v>
      </c>
      <c r="T11" s="54">
        <v>803278000000</v>
      </c>
      <c r="U11" s="54">
        <v>829196000000</v>
      </c>
      <c r="V11" s="54">
        <v>848165000000</v>
      </c>
      <c r="W11" s="54">
        <v>864787000000</v>
      </c>
      <c r="X11" s="54">
        <v>875576000000</v>
      </c>
      <c r="Y11" s="54">
        <v>880956000000</v>
      </c>
      <c r="Z11" s="54">
        <v>881728000000</v>
      </c>
      <c r="AA11" s="54">
        <v>878692000000</v>
      </c>
      <c r="AB11" s="54">
        <v>871132000000</v>
      </c>
      <c r="AC11" s="54">
        <v>859545000000</v>
      </c>
      <c r="AD11" s="54">
        <v>845501000000</v>
      </c>
      <c r="AE11" s="54">
        <v>830825000000</v>
      </c>
      <c r="AF11" s="54">
        <v>816310000000</v>
      </c>
      <c r="AG11" s="54">
        <v>796464000000</v>
      </c>
      <c r="AH11" s="54">
        <v>768484000000</v>
      </c>
      <c r="AI11" s="54">
        <v>734836000000</v>
      </c>
      <c r="AJ11" s="54">
        <v>697459000000</v>
      </c>
    </row>
    <row r="12" spans="1:36" x14ac:dyDescent="0.45">
      <c r="A12" s="53" t="s">
        <v>3</v>
      </c>
      <c r="B12" s="53" t="s">
        <v>89</v>
      </c>
      <c r="C12" s="53" t="s">
        <v>90</v>
      </c>
      <c r="D12" s="53">
        <v>5853.96</v>
      </c>
      <c r="E12" s="53">
        <v>11562</v>
      </c>
      <c r="F12" s="53">
        <v>17083.2</v>
      </c>
      <c r="G12" s="53">
        <v>22428.799999999999</v>
      </c>
      <c r="H12" s="53">
        <v>27655</v>
      </c>
      <c r="I12" s="53">
        <v>32771.599999999999</v>
      </c>
      <c r="J12" s="53">
        <v>37764.5</v>
      </c>
      <c r="K12" s="53">
        <v>42639.5</v>
      </c>
      <c r="L12" s="53">
        <v>47392</v>
      </c>
      <c r="M12" s="53">
        <v>52015.5</v>
      </c>
      <c r="N12" s="53">
        <v>56525.8</v>
      </c>
      <c r="O12" s="53">
        <v>60921.2</v>
      </c>
      <c r="P12" s="53">
        <v>65188.5</v>
      </c>
      <c r="Q12" s="53">
        <v>69325.100000000006</v>
      </c>
      <c r="R12" s="53">
        <v>73330.399999999994</v>
      </c>
      <c r="S12" s="53">
        <v>77207.399999999994</v>
      </c>
      <c r="T12" s="53">
        <v>80960.3</v>
      </c>
      <c r="U12" s="53">
        <v>84600.8</v>
      </c>
      <c r="V12" s="53">
        <v>88139.7</v>
      </c>
      <c r="W12" s="53">
        <v>91579.6</v>
      </c>
      <c r="X12" s="53">
        <v>94930.9</v>
      </c>
      <c r="Y12" s="53">
        <v>98198.3</v>
      </c>
      <c r="Z12" s="53">
        <v>101386</v>
      </c>
      <c r="AA12" s="53">
        <v>104499</v>
      </c>
      <c r="AB12" s="53">
        <v>107537</v>
      </c>
      <c r="AC12" s="53">
        <v>110503</v>
      </c>
      <c r="AD12" s="53">
        <v>113439</v>
      </c>
      <c r="AE12" s="53">
        <v>116364</v>
      </c>
      <c r="AF12" s="53">
        <v>119275</v>
      </c>
      <c r="AG12" s="53">
        <v>122178</v>
      </c>
      <c r="AH12" s="53">
        <v>125079</v>
      </c>
      <c r="AI12" s="53">
        <v>127973</v>
      </c>
      <c r="AJ12" s="53">
        <v>130846</v>
      </c>
    </row>
    <row r="13" spans="1:36" x14ac:dyDescent="0.45">
      <c r="A13" s="53" t="s">
        <v>21</v>
      </c>
      <c r="B13" s="53" t="s">
        <v>89</v>
      </c>
      <c r="C13" s="53" t="s">
        <v>90</v>
      </c>
      <c r="D13" s="53">
        <v>0</v>
      </c>
      <c r="E13" s="53">
        <v>0</v>
      </c>
      <c r="F13" s="54">
        <v>22742500000</v>
      </c>
      <c r="G13" s="54">
        <v>60461800000</v>
      </c>
      <c r="H13" s="54">
        <v>99584300000</v>
      </c>
      <c r="I13" s="54">
        <v>134156000000</v>
      </c>
      <c r="J13" s="54">
        <v>163539000000</v>
      </c>
      <c r="K13" s="54">
        <v>185038000000</v>
      </c>
      <c r="L13" s="54">
        <v>200196000000</v>
      </c>
      <c r="M13" s="54">
        <v>213289000000</v>
      </c>
      <c r="N13" s="54">
        <v>230622000000</v>
      </c>
      <c r="O13" s="54">
        <v>250325000000</v>
      </c>
      <c r="P13" s="54">
        <v>271146000000</v>
      </c>
      <c r="Q13" s="54">
        <v>276392000000</v>
      </c>
      <c r="R13" s="54">
        <v>266845000000</v>
      </c>
      <c r="S13" s="54">
        <v>241406000000</v>
      </c>
      <c r="T13" s="54">
        <v>202461000000</v>
      </c>
      <c r="U13" s="54">
        <v>150572000000</v>
      </c>
      <c r="V13" s="54">
        <v>87236200000</v>
      </c>
      <c r="W13" s="54">
        <v>14762600000</v>
      </c>
      <c r="X13" s="54">
        <v>-68404500000</v>
      </c>
      <c r="Y13" s="54">
        <v>-160894000000</v>
      </c>
      <c r="Z13" s="54">
        <v>-261732000000</v>
      </c>
      <c r="AA13" s="54">
        <v>-369681000000</v>
      </c>
      <c r="AB13" s="54">
        <v>-484604000000</v>
      </c>
      <c r="AC13" s="54">
        <v>-605040000000</v>
      </c>
      <c r="AD13" s="54">
        <v>-728835000000</v>
      </c>
      <c r="AE13" s="54">
        <v>-854454000000</v>
      </c>
      <c r="AF13" s="54">
        <v>-981747000000</v>
      </c>
      <c r="AG13" s="54">
        <v>-1113760000000</v>
      </c>
      <c r="AH13" s="54">
        <v>-1252500000000</v>
      </c>
      <c r="AI13" s="54">
        <v>-1396050000000</v>
      </c>
      <c r="AJ13" s="54">
        <v>-1542640000000</v>
      </c>
    </row>
    <row r="14" spans="1:36" x14ac:dyDescent="0.45">
      <c r="A14" s="53" t="s">
        <v>3</v>
      </c>
      <c r="B14" s="53" t="s">
        <v>6</v>
      </c>
      <c r="C14" s="53" t="s">
        <v>76</v>
      </c>
      <c r="D14" s="53">
        <v>5853.96</v>
      </c>
      <c r="E14" s="53">
        <v>11562</v>
      </c>
      <c r="F14" s="53">
        <v>17084.5</v>
      </c>
      <c r="G14" s="53">
        <v>22431.8</v>
      </c>
      <c r="H14" s="53">
        <v>27660</v>
      </c>
      <c r="I14" s="53">
        <v>32777.300000000003</v>
      </c>
      <c r="J14" s="53">
        <v>37768.1</v>
      </c>
      <c r="K14" s="53">
        <v>42632.7</v>
      </c>
      <c r="L14" s="53">
        <v>47371.5</v>
      </c>
      <c r="M14" s="53">
        <v>51975.4</v>
      </c>
      <c r="N14" s="53">
        <v>56459.7</v>
      </c>
      <c r="O14" s="53">
        <v>60821.599999999999</v>
      </c>
      <c r="P14" s="53">
        <v>65057</v>
      </c>
      <c r="Q14" s="53">
        <v>69159.600000000006</v>
      </c>
      <c r="R14" s="53">
        <v>73124.2</v>
      </c>
      <c r="S14" s="53">
        <v>76960.2</v>
      </c>
      <c r="T14" s="53">
        <v>80666.3</v>
      </c>
      <c r="U14" s="53">
        <v>84253.1</v>
      </c>
      <c r="V14" s="53">
        <v>87723.4</v>
      </c>
      <c r="W14" s="53">
        <v>91078</v>
      </c>
      <c r="X14" s="53">
        <v>94327.8</v>
      </c>
      <c r="Y14" s="53">
        <v>97475.9</v>
      </c>
      <c r="Z14" s="53">
        <v>100525</v>
      </c>
      <c r="AA14" s="53">
        <v>103478</v>
      </c>
      <c r="AB14" s="53">
        <v>106338</v>
      </c>
      <c r="AC14" s="53">
        <v>109099</v>
      </c>
      <c r="AD14" s="53">
        <v>111796</v>
      </c>
      <c r="AE14" s="53">
        <v>114467</v>
      </c>
      <c r="AF14" s="53">
        <v>117109</v>
      </c>
      <c r="AG14" s="53">
        <v>119737</v>
      </c>
      <c r="AH14" s="53">
        <v>122354</v>
      </c>
      <c r="AI14" s="53">
        <v>124958</v>
      </c>
      <c r="AJ14" s="53">
        <v>127534</v>
      </c>
    </row>
    <row r="15" spans="1:36" x14ac:dyDescent="0.45">
      <c r="A15" s="53" t="s">
        <v>21</v>
      </c>
      <c r="B15" s="53" t="s">
        <v>6</v>
      </c>
      <c r="C15" s="53" t="s">
        <v>76</v>
      </c>
      <c r="D15" s="53">
        <v>0</v>
      </c>
      <c r="E15" s="53">
        <v>0</v>
      </c>
      <c r="F15" s="54">
        <v>23339700000</v>
      </c>
      <c r="G15" s="54">
        <v>62759000000</v>
      </c>
      <c r="H15" s="54">
        <v>105304000000</v>
      </c>
      <c r="I15" s="54">
        <v>145543000000</v>
      </c>
      <c r="J15" s="54">
        <v>183363000000</v>
      </c>
      <c r="K15" s="54">
        <v>216561000000</v>
      </c>
      <c r="L15" s="54">
        <v>247913000000</v>
      </c>
      <c r="M15" s="54">
        <v>281303000000</v>
      </c>
      <c r="N15" s="54">
        <v>322312000000</v>
      </c>
      <c r="O15" s="54">
        <v>369271000000</v>
      </c>
      <c r="P15" s="54">
        <v>421669000000</v>
      </c>
      <c r="Q15" s="54">
        <v>462251000000</v>
      </c>
      <c r="R15" s="54">
        <v>491505000000</v>
      </c>
      <c r="S15" s="54">
        <v>509804000000</v>
      </c>
      <c r="T15" s="54">
        <v>519201000000</v>
      </c>
      <c r="U15" s="54">
        <v>519379000000</v>
      </c>
      <c r="V15" s="54">
        <v>512621000000</v>
      </c>
      <c r="W15" s="54">
        <v>503490000000</v>
      </c>
      <c r="X15" s="54">
        <v>489200000000</v>
      </c>
      <c r="Y15" s="54">
        <v>470077000000</v>
      </c>
      <c r="Z15" s="54">
        <v>446295000000</v>
      </c>
      <c r="AA15" s="54">
        <v>419013000000</v>
      </c>
      <c r="AB15" s="54">
        <v>387491000000</v>
      </c>
      <c r="AC15" s="54">
        <v>352854000000</v>
      </c>
      <c r="AD15" s="54">
        <v>316814000000</v>
      </c>
      <c r="AE15" s="54">
        <v>280292000000</v>
      </c>
      <c r="AF15" s="54">
        <v>243399000000</v>
      </c>
      <c r="AG15" s="54">
        <v>201470000000</v>
      </c>
      <c r="AH15" s="54">
        <v>151369000000</v>
      </c>
      <c r="AI15" s="54">
        <v>95806800000</v>
      </c>
      <c r="AJ15" s="54">
        <v>36858400000</v>
      </c>
    </row>
    <row r="16" spans="1:36" x14ac:dyDescent="0.45">
      <c r="A16" s="53" t="s">
        <v>3</v>
      </c>
      <c r="B16" s="53" t="s">
        <v>91</v>
      </c>
      <c r="C16" s="53" t="s">
        <v>92</v>
      </c>
      <c r="D16" s="53">
        <v>5853.96</v>
      </c>
      <c r="E16" s="53">
        <v>11562</v>
      </c>
      <c r="F16" s="53">
        <v>17085.099999999999</v>
      </c>
      <c r="G16" s="53">
        <v>22433.3</v>
      </c>
      <c r="H16" s="53">
        <v>27662</v>
      </c>
      <c r="I16" s="53">
        <v>32779.4</v>
      </c>
      <c r="J16" s="53">
        <v>37770.300000000003</v>
      </c>
      <c r="K16" s="53">
        <v>42633.9</v>
      </c>
      <c r="L16" s="53">
        <v>47371</v>
      </c>
      <c r="M16" s="53">
        <v>51972.4</v>
      </c>
      <c r="N16" s="53">
        <v>56453.4</v>
      </c>
      <c r="O16" s="53">
        <v>60811.8</v>
      </c>
      <c r="P16" s="53">
        <v>65042.5</v>
      </c>
      <c r="Q16" s="53">
        <v>69139.8</v>
      </c>
      <c r="R16" s="53">
        <v>73096.899999999994</v>
      </c>
      <c r="S16" s="53">
        <v>76925.2</v>
      </c>
      <c r="T16" s="53">
        <v>80622.899999999994</v>
      </c>
      <c r="U16" s="53">
        <v>84195.9</v>
      </c>
      <c r="V16" s="53">
        <v>87648.6</v>
      </c>
      <c r="W16" s="53">
        <v>90987.5</v>
      </c>
      <c r="X16" s="53">
        <v>94218.3</v>
      </c>
      <c r="Y16" s="53">
        <v>97346.2</v>
      </c>
      <c r="Z16" s="53">
        <v>100377</v>
      </c>
      <c r="AA16" s="53">
        <v>103310</v>
      </c>
      <c r="AB16" s="53">
        <v>106153</v>
      </c>
      <c r="AC16" s="53">
        <v>108898</v>
      </c>
      <c r="AD16" s="53">
        <v>111581</v>
      </c>
      <c r="AE16" s="53">
        <v>114236</v>
      </c>
      <c r="AF16" s="53">
        <v>116869</v>
      </c>
      <c r="AG16" s="53">
        <v>119487</v>
      </c>
      <c r="AH16" s="53">
        <v>122096</v>
      </c>
      <c r="AI16" s="53">
        <v>124691</v>
      </c>
      <c r="AJ16" s="53">
        <v>127259</v>
      </c>
    </row>
    <row r="17" spans="1:36" x14ac:dyDescent="0.45">
      <c r="A17" s="53" t="s">
        <v>21</v>
      </c>
      <c r="B17" s="53" t="s">
        <v>91</v>
      </c>
      <c r="C17" s="53" t="s">
        <v>92</v>
      </c>
      <c r="D17" s="53">
        <v>0</v>
      </c>
      <c r="E17" s="53">
        <v>0</v>
      </c>
      <c r="F17" s="54">
        <v>23768200000</v>
      </c>
      <c r="G17" s="54">
        <v>63919700000</v>
      </c>
      <c r="H17" s="54">
        <v>107377000000</v>
      </c>
      <c r="I17" s="54">
        <v>148590000000</v>
      </c>
      <c r="J17" s="54">
        <v>187316000000</v>
      </c>
      <c r="K17" s="54">
        <v>221128000000</v>
      </c>
      <c r="L17" s="54">
        <v>252731000000</v>
      </c>
      <c r="M17" s="54">
        <v>285965000000</v>
      </c>
      <c r="N17" s="54">
        <v>326245000000</v>
      </c>
      <c r="O17" s="54">
        <v>371818000000</v>
      </c>
      <c r="P17" s="54">
        <v>422034000000</v>
      </c>
      <c r="Q17" s="54">
        <v>459550000000</v>
      </c>
      <c r="R17" s="54">
        <v>484779000000</v>
      </c>
      <c r="S17" s="54">
        <v>498072000000</v>
      </c>
      <c r="T17" s="54">
        <v>501423000000</v>
      </c>
      <c r="U17" s="54">
        <v>494208000000</v>
      </c>
      <c r="V17" s="54">
        <v>478915000000</v>
      </c>
      <c r="W17" s="54">
        <v>460291000000</v>
      </c>
      <c r="X17" s="54">
        <v>434876000000</v>
      </c>
      <c r="Y17" s="54">
        <v>402976000000</v>
      </c>
      <c r="Z17" s="54">
        <v>365448000000</v>
      </c>
      <c r="AA17" s="54">
        <v>322614000000</v>
      </c>
      <c r="AB17" s="54">
        <v>274145000000</v>
      </c>
      <c r="AC17" s="54">
        <v>221387000000</v>
      </c>
      <c r="AD17" s="54">
        <v>165696000000</v>
      </c>
      <c r="AE17" s="54">
        <v>108360000000</v>
      </c>
      <c r="AF17" s="54">
        <v>50283600000</v>
      </c>
      <c r="AG17" s="54">
        <v>-13101200000</v>
      </c>
      <c r="AH17" s="54">
        <v>-84766300000</v>
      </c>
      <c r="AI17" s="54">
        <v>-162265000000</v>
      </c>
      <c r="AJ17" s="54">
        <v>-243607000000</v>
      </c>
    </row>
    <row r="18" spans="1:36" x14ac:dyDescent="0.45">
      <c r="A18" s="53" t="s">
        <v>3</v>
      </c>
      <c r="B18" s="53" t="s">
        <v>22</v>
      </c>
      <c r="C18" s="53" t="s">
        <v>77</v>
      </c>
      <c r="D18" s="53">
        <v>5853.96</v>
      </c>
      <c r="E18" s="53">
        <v>11562</v>
      </c>
      <c r="F18" s="53">
        <v>17087.8</v>
      </c>
      <c r="G18" s="53">
        <v>22440.400000000001</v>
      </c>
      <c r="H18" s="53">
        <v>27674.799999999999</v>
      </c>
      <c r="I18" s="53">
        <v>32798.800000000003</v>
      </c>
      <c r="J18" s="53">
        <v>37796.400000000001</v>
      </c>
      <c r="K18" s="53">
        <v>42667.8</v>
      </c>
      <c r="L18" s="53">
        <v>47413</v>
      </c>
      <c r="M18" s="53">
        <v>52023</v>
      </c>
      <c r="N18" s="53">
        <v>56512.800000000003</v>
      </c>
      <c r="O18" s="53">
        <v>60879.9</v>
      </c>
      <c r="P18" s="53">
        <v>65120</v>
      </c>
      <c r="Q18" s="53">
        <v>69226.8</v>
      </c>
      <c r="R18" s="53">
        <v>73194.600000000006</v>
      </c>
      <c r="S18" s="53">
        <v>77033.399999999994</v>
      </c>
      <c r="T18" s="53">
        <v>80740.800000000003</v>
      </c>
      <c r="U18" s="53">
        <v>84329</v>
      </c>
      <c r="V18" s="53">
        <v>87797.2</v>
      </c>
      <c r="W18" s="53">
        <v>91152.1</v>
      </c>
      <c r="X18" s="53">
        <v>94398.6</v>
      </c>
      <c r="Y18" s="53">
        <v>97540.9</v>
      </c>
      <c r="Z18" s="53">
        <v>100581</v>
      </c>
      <c r="AA18" s="53">
        <v>103528</v>
      </c>
      <c r="AB18" s="53">
        <v>106381</v>
      </c>
      <c r="AC18" s="53">
        <v>109133</v>
      </c>
      <c r="AD18" s="53">
        <v>111824</v>
      </c>
      <c r="AE18" s="53">
        <v>114487</v>
      </c>
      <c r="AF18" s="53">
        <v>117123</v>
      </c>
      <c r="AG18" s="53">
        <v>119745</v>
      </c>
      <c r="AH18" s="53">
        <v>122356</v>
      </c>
      <c r="AI18" s="53">
        <v>124955</v>
      </c>
      <c r="AJ18" s="53">
        <v>127525</v>
      </c>
    </row>
    <row r="19" spans="1:36" x14ac:dyDescent="0.45">
      <c r="A19" s="53" t="s">
        <v>21</v>
      </c>
      <c r="B19" s="53" t="s">
        <v>22</v>
      </c>
      <c r="C19" s="53" t="s">
        <v>77</v>
      </c>
      <c r="D19" s="53">
        <v>0</v>
      </c>
      <c r="E19" s="53">
        <v>0</v>
      </c>
      <c r="F19" s="54">
        <v>17332800000</v>
      </c>
      <c r="G19" s="54">
        <v>52092600000</v>
      </c>
      <c r="H19" s="54">
        <v>91192700000</v>
      </c>
      <c r="I19" s="54">
        <v>129062000000</v>
      </c>
      <c r="J19" s="54">
        <v>165405000000</v>
      </c>
      <c r="K19" s="54">
        <v>197802000000</v>
      </c>
      <c r="L19" s="54">
        <v>228824000000</v>
      </c>
      <c r="M19" s="54">
        <v>262192000000</v>
      </c>
      <c r="N19" s="54">
        <v>303347000000</v>
      </c>
      <c r="O19" s="54">
        <v>350455000000</v>
      </c>
      <c r="P19" s="54">
        <v>402857000000</v>
      </c>
      <c r="Q19" s="54">
        <v>443202000000</v>
      </c>
      <c r="R19" s="54">
        <v>471842000000</v>
      </c>
      <c r="S19" s="54">
        <v>489052000000</v>
      </c>
      <c r="T19" s="54">
        <v>496496000000</v>
      </c>
      <c r="U19" s="54">
        <v>493761000000</v>
      </c>
      <c r="V19" s="54">
        <v>482749000000</v>
      </c>
      <c r="W19" s="54">
        <v>468108000000</v>
      </c>
      <c r="X19" s="54">
        <v>446600000000</v>
      </c>
      <c r="Y19" s="54">
        <v>418567000000</v>
      </c>
      <c r="Z19" s="54">
        <v>384873000000</v>
      </c>
      <c r="AA19" s="54">
        <v>346499000000</v>
      </c>
      <c r="AB19" s="54">
        <v>302231000000</v>
      </c>
      <c r="AC19" s="54">
        <v>252860000000</v>
      </c>
      <c r="AD19" s="54">
        <v>201181000000</v>
      </c>
      <c r="AE19" s="54">
        <v>148160000000</v>
      </c>
      <c r="AF19" s="54">
        <v>93591900000</v>
      </c>
      <c r="AG19" s="54">
        <v>33477900000</v>
      </c>
      <c r="AH19" s="54">
        <v>-35036900000</v>
      </c>
      <c r="AI19" s="54">
        <v>-109473000000</v>
      </c>
      <c r="AJ19" s="54">
        <v>-187830000000</v>
      </c>
    </row>
    <row r="20" spans="1:36" x14ac:dyDescent="0.45">
      <c r="A20" s="53" t="s">
        <v>3</v>
      </c>
      <c r="B20" s="53" t="s">
        <v>93</v>
      </c>
      <c r="C20" s="53" t="s">
        <v>94</v>
      </c>
      <c r="D20" s="53">
        <v>5853.96</v>
      </c>
      <c r="E20" s="53">
        <v>11562</v>
      </c>
      <c r="F20" s="53">
        <v>17084.2</v>
      </c>
      <c r="G20" s="53">
        <v>22430.7</v>
      </c>
      <c r="H20" s="53">
        <v>27657.599999999999</v>
      </c>
      <c r="I20" s="53">
        <v>32773.599999999999</v>
      </c>
      <c r="J20" s="53">
        <v>37762.800000000003</v>
      </c>
      <c r="K20" s="53">
        <v>42624.7</v>
      </c>
      <c r="L20" s="53">
        <v>47360.9</v>
      </c>
      <c r="M20" s="53">
        <v>51961.599999999999</v>
      </c>
      <c r="N20" s="53">
        <v>56442.3</v>
      </c>
      <c r="O20" s="53">
        <v>60801.2</v>
      </c>
      <c r="P20" s="53">
        <v>65033.1</v>
      </c>
      <c r="Q20" s="53">
        <v>69132.600000000006</v>
      </c>
      <c r="R20" s="53">
        <v>73093.3</v>
      </c>
      <c r="S20" s="53">
        <v>76926.2</v>
      </c>
      <c r="T20" s="53">
        <v>80628.5</v>
      </c>
      <c r="U20" s="53">
        <v>84206.5</v>
      </c>
      <c r="V20" s="53">
        <v>87665.1</v>
      </c>
      <c r="W20" s="53">
        <v>91011.5</v>
      </c>
      <c r="X20" s="53">
        <v>94251.5</v>
      </c>
      <c r="Y20" s="53">
        <v>97396</v>
      </c>
      <c r="Z20" s="53">
        <v>100441</v>
      </c>
      <c r="AA20" s="53">
        <v>103398</v>
      </c>
      <c r="AB20" s="53">
        <v>106260</v>
      </c>
      <c r="AC20" s="53">
        <v>109032</v>
      </c>
      <c r="AD20" s="53">
        <v>111749</v>
      </c>
      <c r="AE20" s="53">
        <v>114444</v>
      </c>
      <c r="AF20" s="53">
        <v>117114</v>
      </c>
      <c r="AG20" s="53">
        <v>119767</v>
      </c>
      <c r="AH20" s="53">
        <v>122408</v>
      </c>
      <c r="AI20" s="53">
        <v>125032</v>
      </c>
      <c r="AJ20" s="53">
        <v>127627</v>
      </c>
    </row>
    <row r="21" spans="1:36" x14ac:dyDescent="0.45">
      <c r="A21" s="53" t="s">
        <v>21</v>
      </c>
      <c r="B21" s="53" t="s">
        <v>93</v>
      </c>
      <c r="C21" s="53" t="s">
        <v>94</v>
      </c>
      <c r="D21" s="53">
        <v>0</v>
      </c>
      <c r="E21" s="53">
        <v>0</v>
      </c>
      <c r="F21" s="54">
        <v>22175200000</v>
      </c>
      <c r="G21" s="54">
        <v>59255800000</v>
      </c>
      <c r="H21" s="54">
        <v>98301500000</v>
      </c>
      <c r="I21" s="54">
        <v>133910000000</v>
      </c>
      <c r="J21" s="54">
        <v>165891000000</v>
      </c>
      <c r="K21" s="54">
        <v>191961000000</v>
      </c>
      <c r="L21" s="54">
        <v>215038000000</v>
      </c>
      <c r="M21" s="54">
        <v>238970000000</v>
      </c>
      <c r="N21" s="54">
        <v>269260000000</v>
      </c>
      <c r="O21" s="54">
        <v>304285000000</v>
      </c>
      <c r="P21" s="54">
        <v>343440000000</v>
      </c>
      <c r="Q21" s="54">
        <v>369979000000</v>
      </c>
      <c r="R21" s="54">
        <v>384254000000</v>
      </c>
      <c r="S21" s="54">
        <v>386585000000</v>
      </c>
      <c r="T21" s="54">
        <v>378949000000</v>
      </c>
      <c r="U21" s="54">
        <v>360802000000</v>
      </c>
      <c r="V21" s="54">
        <v>334759000000</v>
      </c>
      <c r="W21" s="54">
        <v>305601000000</v>
      </c>
      <c r="X21" s="54">
        <v>270025000000</v>
      </c>
      <c r="Y21" s="54">
        <v>228535000000</v>
      </c>
      <c r="Z21" s="54">
        <v>181365000000</v>
      </c>
      <c r="AA21" s="54">
        <v>129734000000</v>
      </c>
      <c r="AB21" s="54">
        <v>73267000000</v>
      </c>
      <c r="AC21" s="54">
        <v>13196500000</v>
      </c>
      <c r="AD21" s="54">
        <v>-48454600000</v>
      </c>
      <c r="AE21" s="54">
        <v>-111085000000</v>
      </c>
      <c r="AF21" s="54">
        <v>-174385000000</v>
      </c>
      <c r="AG21" s="54">
        <v>-243063000000</v>
      </c>
      <c r="AH21" s="54">
        <v>-320003000000</v>
      </c>
      <c r="AI21" s="54">
        <v>-402761000000</v>
      </c>
      <c r="AJ21" s="54">
        <v>-489354000000</v>
      </c>
    </row>
    <row r="22" spans="1:36" x14ac:dyDescent="0.45">
      <c r="A22" s="53" t="s">
        <v>3</v>
      </c>
      <c r="B22" s="53" t="s">
        <v>16</v>
      </c>
      <c r="C22" s="53" t="s">
        <v>78</v>
      </c>
      <c r="D22" s="53">
        <v>5853.96</v>
      </c>
      <c r="E22" s="53">
        <v>11562</v>
      </c>
      <c r="F22" s="53">
        <v>17084</v>
      </c>
      <c r="G22" s="53">
        <v>22430.3</v>
      </c>
      <c r="H22" s="53">
        <v>27656.9</v>
      </c>
      <c r="I22" s="53">
        <v>32772.199999999997</v>
      </c>
      <c r="J22" s="53">
        <v>37760.5</v>
      </c>
      <c r="K22" s="53">
        <v>42621</v>
      </c>
      <c r="L22" s="53">
        <v>47355.3</v>
      </c>
      <c r="M22" s="53">
        <v>51953.3</v>
      </c>
      <c r="N22" s="53">
        <v>56430.7</v>
      </c>
      <c r="O22" s="53">
        <v>60783.6</v>
      </c>
      <c r="P22" s="53">
        <v>65010.9</v>
      </c>
      <c r="Q22" s="53">
        <v>69103.3</v>
      </c>
      <c r="R22" s="53">
        <v>73055.5</v>
      </c>
      <c r="S22" s="53">
        <v>76879.3</v>
      </c>
      <c r="T22" s="53">
        <v>80571.100000000006</v>
      </c>
      <c r="U22" s="53">
        <v>84135</v>
      </c>
      <c r="V22" s="53">
        <v>87582.3</v>
      </c>
      <c r="W22" s="53">
        <v>90916.7</v>
      </c>
      <c r="X22" s="53">
        <v>94137.7</v>
      </c>
      <c r="Y22" s="53">
        <v>97264.1</v>
      </c>
      <c r="Z22" s="53">
        <v>100290</v>
      </c>
      <c r="AA22" s="53">
        <v>103218</v>
      </c>
      <c r="AB22" s="53">
        <v>106055</v>
      </c>
      <c r="AC22" s="53">
        <v>108788</v>
      </c>
      <c r="AD22" s="53">
        <v>111466</v>
      </c>
      <c r="AE22" s="53">
        <v>114118</v>
      </c>
      <c r="AF22" s="53">
        <v>116749</v>
      </c>
      <c r="AG22" s="53">
        <v>119366</v>
      </c>
      <c r="AH22" s="53">
        <v>121974</v>
      </c>
      <c r="AI22" s="53">
        <v>124568</v>
      </c>
      <c r="AJ22" s="53">
        <v>127136</v>
      </c>
    </row>
    <row r="23" spans="1:36" x14ac:dyDescent="0.45">
      <c r="A23" s="53" t="s">
        <v>21</v>
      </c>
      <c r="B23" s="53" t="s">
        <v>16</v>
      </c>
      <c r="C23" s="53" t="s">
        <v>78</v>
      </c>
      <c r="D23" s="53">
        <v>0</v>
      </c>
      <c r="E23" s="53">
        <v>0</v>
      </c>
      <c r="F23" s="54">
        <v>23511600000</v>
      </c>
      <c r="G23" s="54">
        <v>63125900000</v>
      </c>
      <c r="H23" s="54">
        <v>105679000000</v>
      </c>
      <c r="I23" s="54">
        <v>145623000000</v>
      </c>
      <c r="J23" s="54">
        <v>182641000000</v>
      </c>
      <c r="K23" s="54">
        <v>214363000000</v>
      </c>
      <c r="L23" s="54">
        <v>243615000000</v>
      </c>
      <c r="M23" s="54">
        <v>274154000000</v>
      </c>
      <c r="N23" s="54">
        <v>311420000000</v>
      </c>
      <c r="O23" s="54">
        <v>353660000000</v>
      </c>
      <c r="P23" s="54">
        <v>400297000000</v>
      </c>
      <c r="Q23" s="54">
        <v>433966000000</v>
      </c>
      <c r="R23" s="54">
        <v>455024000000</v>
      </c>
      <c r="S23" s="54">
        <v>463951000000</v>
      </c>
      <c r="T23" s="54">
        <v>462692000000</v>
      </c>
      <c r="U23" s="54">
        <v>450551000000</v>
      </c>
      <c r="V23" s="54">
        <v>430195000000</v>
      </c>
      <c r="W23" s="54">
        <v>405780000000</v>
      </c>
      <c r="X23" s="54">
        <v>374016000000</v>
      </c>
      <c r="Y23" s="54">
        <v>336248000000</v>
      </c>
      <c r="Z23" s="54">
        <v>292720000000</v>
      </c>
      <c r="AA23" s="54">
        <v>244305000000</v>
      </c>
      <c r="AB23" s="54">
        <v>191159000000</v>
      </c>
      <c r="AC23" s="54">
        <v>133415000000</v>
      </c>
      <c r="AD23" s="54">
        <v>72436500000</v>
      </c>
      <c r="AE23" s="54">
        <v>9661440000</v>
      </c>
      <c r="AF23" s="54">
        <v>-53885700000</v>
      </c>
      <c r="AG23" s="54">
        <v>-122599000000</v>
      </c>
      <c r="AH23" s="54">
        <v>-199379000000</v>
      </c>
      <c r="AI23" s="54">
        <v>-281854000000</v>
      </c>
      <c r="AJ23" s="54">
        <v>-368212000000</v>
      </c>
    </row>
    <row r="24" spans="1:36" x14ac:dyDescent="0.45">
      <c r="A24" s="53" t="s">
        <v>3</v>
      </c>
      <c r="B24" s="53" t="s">
        <v>95</v>
      </c>
      <c r="C24" s="53" t="s">
        <v>96</v>
      </c>
      <c r="D24" s="53">
        <v>5853.96</v>
      </c>
      <c r="E24" s="53">
        <v>11562</v>
      </c>
      <c r="F24" s="53">
        <v>17084</v>
      </c>
      <c r="G24" s="53">
        <v>22430.3</v>
      </c>
      <c r="H24" s="53">
        <v>27656.7</v>
      </c>
      <c r="I24" s="53">
        <v>32771.800000000003</v>
      </c>
      <c r="J24" s="53">
        <v>37759.9</v>
      </c>
      <c r="K24" s="53">
        <v>42620.1</v>
      </c>
      <c r="L24" s="53">
        <v>47354</v>
      </c>
      <c r="M24" s="53">
        <v>51951.8</v>
      </c>
      <c r="N24" s="53">
        <v>56428.800000000003</v>
      </c>
      <c r="O24" s="53">
        <v>60782.9</v>
      </c>
      <c r="P24" s="53">
        <v>65008.9</v>
      </c>
      <c r="Q24" s="53">
        <v>69101.100000000006</v>
      </c>
      <c r="R24" s="53">
        <v>73052.899999999994</v>
      </c>
      <c r="S24" s="53">
        <v>76875.7</v>
      </c>
      <c r="T24" s="53">
        <v>80566.600000000006</v>
      </c>
      <c r="U24" s="53">
        <v>84131.7</v>
      </c>
      <c r="V24" s="53">
        <v>87575.9</v>
      </c>
      <c r="W24" s="53">
        <v>90906.1</v>
      </c>
      <c r="X24" s="53">
        <v>94127.8</v>
      </c>
      <c r="Y24" s="53">
        <v>97247.3</v>
      </c>
      <c r="Z24" s="53">
        <v>100271</v>
      </c>
      <c r="AA24" s="53">
        <v>103197</v>
      </c>
      <c r="AB24" s="53">
        <v>106033</v>
      </c>
      <c r="AC24" s="53">
        <v>108772</v>
      </c>
      <c r="AD24" s="53">
        <v>111450</v>
      </c>
      <c r="AE24" s="53">
        <v>114101</v>
      </c>
      <c r="AF24" s="53">
        <v>116732</v>
      </c>
      <c r="AG24" s="53">
        <v>119348</v>
      </c>
      <c r="AH24" s="53">
        <v>121955</v>
      </c>
      <c r="AI24" s="53">
        <v>124549</v>
      </c>
      <c r="AJ24" s="53">
        <v>127116</v>
      </c>
    </row>
    <row r="25" spans="1:36" x14ac:dyDescent="0.45">
      <c r="A25" s="53" t="s">
        <v>21</v>
      </c>
      <c r="B25" s="53" t="s">
        <v>95</v>
      </c>
      <c r="C25" s="53" t="s">
        <v>96</v>
      </c>
      <c r="D25" s="53">
        <v>0</v>
      </c>
      <c r="E25" s="53">
        <v>0</v>
      </c>
      <c r="F25" s="54">
        <v>23511600000</v>
      </c>
      <c r="G25" s="54">
        <v>63100800000</v>
      </c>
      <c r="H25" s="54">
        <v>105679000000</v>
      </c>
      <c r="I25" s="54">
        <v>145711000000</v>
      </c>
      <c r="J25" s="54">
        <v>182873000000</v>
      </c>
      <c r="K25" s="54">
        <v>214790000000</v>
      </c>
      <c r="L25" s="54">
        <v>244295000000</v>
      </c>
      <c r="M25" s="54">
        <v>275145000000</v>
      </c>
      <c r="N25" s="54">
        <v>312779000000</v>
      </c>
      <c r="O25" s="54">
        <v>355517000000</v>
      </c>
      <c r="P25" s="54">
        <v>402708000000</v>
      </c>
      <c r="Q25" s="54">
        <v>437006000000</v>
      </c>
      <c r="R25" s="54">
        <v>458795000000</v>
      </c>
      <c r="S25" s="54">
        <v>468432000000</v>
      </c>
      <c r="T25" s="54">
        <v>467924000000</v>
      </c>
      <c r="U25" s="54">
        <v>456682000000</v>
      </c>
      <c r="V25" s="54">
        <v>437333000000</v>
      </c>
      <c r="W25" s="54">
        <v>414604000000</v>
      </c>
      <c r="X25" s="54">
        <v>385096000000</v>
      </c>
      <c r="Y25" s="54">
        <v>349170000000</v>
      </c>
      <c r="Z25" s="54">
        <v>307659000000</v>
      </c>
      <c r="AA25" s="54">
        <v>260867000000</v>
      </c>
      <c r="AB25" s="54">
        <v>208483000000</v>
      </c>
      <c r="AC25" s="54">
        <v>151858000000</v>
      </c>
      <c r="AD25" s="54">
        <v>92407200000</v>
      </c>
      <c r="AE25" s="54">
        <v>31460000000</v>
      </c>
      <c r="AF25" s="54">
        <v>-29849900000</v>
      </c>
      <c r="AG25" s="54">
        <v>-96393400000</v>
      </c>
      <c r="AH25" s="54">
        <v>-171137000000</v>
      </c>
      <c r="AI25" s="54">
        <v>-251634000000</v>
      </c>
      <c r="AJ25" s="54">
        <v>-335898000000</v>
      </c>
    </row>
    <row r="26" spans="1:36" x14ac:dyDescent="0.45">
      <c r="A26" s="53" t="s">
        <v>3</v>
      </c>
      <c r="B26" s="53" t="s">
        <v>17</v>
      </c>
      <c r="C26" s="53" t="s">
        <v>79</v>
      </c>
      <c r="D26" s="53">
        <v>5853.96</v>
      </c>
      <c r="E26" s="53">
        <v>11562</v>
      </c>
      <c r="F26" s="53">
        <v>17085.900000000001</v>
      </c>
      <c r="G26" s="53">
        <v>22443.200000000001</v>
      </c>
      <c r="H26" s="53">
        <v>27680.2</v>
      </c>
      <c r="I26" s="53">
        <v>32798.699999999997</v>
      </c>
      <c r="J26" s="53">
        <v>37794.699999999997</v>
      </c>
      <c r="K26" s="53">
        <v>42666.3</v>
      </c>
      <c r="L26" s="53">
        <v>47408.4</v>
      </c>
      <c r="M26" s="53">
        <v>52019.5</v>
      </c>
      <c r="N26" s="53">
        <v>56504.3</v>
      </c>
      <c r="O26" s="53">
        <v>60870.1</v>
      </c>
      <c r="P26" s="53">
        <v>65104.9</v>
      </c>
      <c r="Q26" s="53">
        <v>69202</v>
      </c>
      <c r="R26" s="53">
        <v>73158.5</v>
      </c>
      <c r="S26" s="53">
        <v>76984.399999999994</v>
      </c>
      <c r="T26" s="53">
        <v>80676.2</v>
      </c>
      <c r="U26" s="53">
        <v>84238.399999999994</v>
      </c>
      <c r="V26" s="53">
        <v>87686.7</v>
      </c>
      <c r="W26" s="53">
        <v>91026.9</v>
      </c>
      <c r="X26" s="53">
        <v>94254.2</v>
      </c>
      <c r="Y26" s="53">
        <v>97384.2</v>
      </c>
      <c r="Z26" s="53">
        <v>100412</v>
      </c>
      <c r="AA26" s="53">
        <v>103347</v>
      </c>
      <c r="AB26" s="53">
        <v>106191</v>
      </c>
      <c r="AC26" s="53">
        <v>108938</v>
      </c>
      <c r="AD26" s="53">
        <v>111631</v>
      </c>
      <c r="AE26" s="53">
        <v>114297</v>
      </c>
      <c r="AF26" s="53">
        <v>116943</v>
      </c>
      <c r="AG26" s="53">
        <v>119574</v>
      </c>
      <c r="AH26" s="53">
        <v>122196</v>
      </c>
      <c r="AI26" s="53">
        <v>124805</v>
      </c>
      <c r="AJ26" s="53">
        <v>127387</v>
      </c>
    </row>
    <row r="27" spans="1:36" x14ac:dyDescent="0.45">
      <c r="A27" s="53" t="s">
        <v>21</v>
      </c>
      <c r="B27" s="53" t="s">
        <v>17</v>
      </c>
      <c r="C27" s="53" t="s">
        <v>79</v>
      </c>
      <c r="D27" s="53">
        <v>0</v>
      </c>
      <c r="E27" s="53">
        <v>0</v>
      </c>
      <c r="F27" s="54">
        <v>10427700000</v>
      </c>
      <c r="G27" s="54">
        <v>28061500000</v>
      </c>
      <c r="H27" s="54">
        <v>51937000000</v>
      </c>
      <c r="I27" s="54">
        <v>75600000000</v>
      </c>
      <c r="J27" s="54">
        <v>98420600000</v>
      </c>
      <c r="K27" s="54">
        <v>117565000000</v>
      </c>
      <c r="L27" s="54">
        <v>134816000000</v>
      </c>
      <c r="M27" s="54">
        <v>155536000000</v>
      </c>
      <c r="N27" s="54">
        <v>184859000000</v>
      </c>
      <c r="O27" s="54">
        <v>221119000000</v>
      </c>
      <c r="P27" s="54">
        <v>263502000000</v>
      </c>
      <c r="Q27" s="54">
        <v>294493000000</v>
      </c>
      <c r="R27" s="54">
        <v>315194000000</v>
      </c>
      <c r="S27" s="54">
        <v>325433000000</v>
      </c>
      <c r="T27" s="54">
        <v>327245000000</v>
      </c>
      <c r="U27" s="54">
        <v>320836000000</v>
      </c>
      <c r="V27" s="54">
        <v>307919000000</v>
      </c>
      <c r="W27" s="54">
        <v>291476000000</v>
      </c>
      <c r="X27" s="54">
        <v>266549000000</v>
      </c>
      <c r="Y27" s="54">
        <v>236224000000</v>
      </c>
      <c r="Z27" s="54">
        <v>201144000000</v>
      </c>
      <c r="AA27" s="54">
        <v>160863000000</v>
      </c>
      <c r="AB27" s="54">
        <v>115087000000</v>
      </c>
      <c r="AC27" s="54">
        <v>65023700000</v>
      </c>
      <c r="AD27" s="54">
        <v>12933600000</v>
      </c>
      <c r="AE27" s="54">
        <v>-39906700000</v>
      </c>
      <c r="AF27" s="54">
        <v>-92955400000</v>
      </c>
      <c r="AG27" s="54">
        <v>-151869000000</v>
      </c>
      <c r="AH27" s="54">
        <v>-220045000000</v>
      </c>
      <c r="AI27" s="54">
        <v>-295386000000</v>
      </c>
      <c r="AJ27" s="54">
        <v>-375920000000</v>
      </c>
    </row>
    <row r="28" spans="1:36" x14ac:dyDescent="0.45">
      <c r="A28" s="53" t="s">
        <v>3</v>
      </c>
      <c r="B28" s="53" t="s">
        <v>7</v>
      </c>
      <c r="C28" s="53" t="s">
        <v>80</v>
      </c>
      <c r="D28" s="53">
        <v>5853.96</v>
      </c>
      <c r="E28" s="53">
        <v>11562</v>
      </c>
      <c r="F28" s="53">
        <v>17128.5</v>
      </c>
      <c r="G28" s="53">
        <v>22521.1</v>
      </c>
      <c r="H28" s="53">
        <v>27804.7</v>
      </c>
      <c r="I28" s="53">
        <v>32976.9</v>
      </c>
      <c r="J28" s="53">
        <v>38028.5</v>
      </c>
      <c r="K28" s="53">
        <v>42958.400000000001</v>
      </c>
      <c r="L28" s="53">
        <v>47769.4</v>
      </c>
      <c r="M28" s="53">
        <v>52452.4</v>
      </c>
      <c r="N28" s="53">
        <v>57019.7</v>
      </c>
      <c r="O28" s="53">
        <v>61466.400000000001</v>
      </c>
      <c r="P28" s="53">
        <v>65784.600000000006</v>
      </c>
      <c r="Q28" s="53">
        <v>69966</v>
      </c>
      <c r="R28" s="53">
        <v>74005.2</v>
      </c>
      <c r="S28" s="53">
        <v>77917.100000000006</v>
      </c>
      <c r="T28" s="53">
        <v>81698.399999999994</v>
      </c>
      <c r="U28" s="53">
        <v>85360.6</v>
      </c>
      <c r="V28" s="53">
        <v>88926.5</v>
      </c>
      <c r="W28" s="53">
        <v>92388.2</v>
      </c>
      <c r="X28" s="53">
        <v>95759.6</v>
      </c>
      <c r="Y28" s="53">
        <v>99045.3</v>
      </c>
      <c r="Z28" s="53">
        <v>102254</v>
      </c>
      <c r="AA28" s="53">
        <v>105381</v>
      </c>
      <c r="AB28" s="53">
        <v>108447</v>
      </c>
      <c r="AC28" s="53">
        <v>111456</v>
      </c>
      <c r="AD28" s="53">
        <v>114419</v>
      </c>
      <c r="AE28" s="53">
        <v>117344</v>
      </c>
      <c r="AF28" s="53">
        <v>120237</v>
      </c>
      <c r="AG28" s="53">
        <v>123102</v>
      </c>
      <c r="AH28" s="53">
        <v>125947</v>
      </c>
      <c r="AI28" s="53">
        <v>128766</v>
      </c>
      <c r="AJ28" s="53">
        <v>131548</v>
      </c>
    </row>
    <row r="29" spans="1:36" x14ac:dyDescent="0.45">
      <c r="A29" s="53" t="s">
        <v>21</v>
      </c>
      <c r="B29" s="53" t="s">
        <v>7</v>
      </c>
      <c r="C29" s="53" t="s">
        <v>80</v>
      </c>
      <c r="D29" s="53">
        <v>0</v>
      </c>
      <c r="E29" s="53">
        <v>0</v>
      </c>
      <c r="F29" s="54">
        <v>24521400000</v>
      </c>
      <c r="G29" s="54">
        <v>61563400000</v>
      </c>
      <c r="H29" s="54">
        <v>99074400000</v>
      </c>
      <c r="I29" s="54">
        <v>135186000000</v>
      </c>
      <c r="J29" s="54">
        <v>169957000000</v>
      </c>
      <c r="K29" s="54">
        <v>200811000000</v>
      </c>
      <c r="L29" s="54">
        <v>229323000000</v>
      </c>
      <c r="M29" s="54">
        <v>259283000000</v>
      </c>
      <c r="N29" s="54">
        <v>296562000000</v>
      </c>
      <c r="O29" s="54">
        <v>339531000000</v>
      </c>
      <c r="P29" s="54">
        <v>387715000000</v>
      </c>
      <c r="Q29" s="54">
        <v>423856000000</v>
      </c>
      <c r="R29" s="54">
        <v>448589000000</v>
      </c>
      <c r="S29" s="54">
        <v>462255000000</v>
      </c>
      <c r="T29" s="54">
        <v>466221000000</v>
      </c>
      <c r="U29" s="54">
        <v>459606000000</v>
      </c>
      <c r="V29" s="54">
        <v>444997000000</v>
      </c>
      <c r="W29" s="54">
        <v>424152000000</v>
      </c>
      <c r="X29" s="54">
        <v>394564000000</v>
      </c>
      <c r="Y29" s="54">
        <v>358325000000</v>
      </c>
      <c r="Z29" s="54">
        <v>315873000000</v>
      </c>
      <c r="AA29" s="54">
        <v>267635000000</v>
      </c>
      <c r="AB29" s="54">
        <v>214074000000</v>
      </c>
      <c r="AC29" s="54">
        <v>156139000000</v>
      </c>
      <c r="AD29" s="54">
        <v>93243400000</v>
      </c>
      <c r="AE29" s="54">
        <v>25465400000</v>
      </c>
      <c r="AF29" s="54">
        <v>-45454700000</v>
      </c>
      <c r="AG29" s="54">
        <v>-118802000000</v>
      </c>
      <c r="AH29" s="54">
        <v>-194681000000</v>
      </c>
      <c r="AI29" s="54">
        <v>-272515000000</v>
      </c>
      <c r="AJ29" s="54">
        <v>-351779000000</v>
      </c>
    </row>
    <row r="30" spans="1:36" x14ac:dyDescent="0.45">
      <c r="A30" s="53" t="s">
        <v>3</v>
      </c>
      <c r="B30" s="53" t="s">
        <v>97</v>
      </c>
      <c r="C30" s="53" t="s">
        <v>98</v>
      </c>
      <c r="D30" s="53">
        <v>5853.96</v>
      </c>
      <c r="E30" s="53">
        <v>11562</v>
      </c>
      <c r="F30" s="53">
        <v>17084.3</v>
      </c>
      <c r="G30" s="53">
        <v>22431</v>
      </c>
      <c r="H30" s="53">
        <v>27657.9</v>
      </c>
      <c r="I30" s="53">
        <v>32773.199999999997</v>
      </c>
      <c r="J30" s="53">
        <v>37761.9</v>
      </c>
      <c r="K30" s="53">
        <v>42623.1</v>
      </c>
      <c r="L30" s="53">
        <v>47357.9</v>
      </c>
      <c r="M30" s="53">
        <v>51956.800000000003</v>
      </c>
      <c r="N30" s="53">
        <v>56435.4</v>
      </c>
      <c r="O30" s="53">
        <v>60790.9</v>
      </c>
      <c r="P30" s="53">
        <v>65019.4</v>
      </c>
      <c r="Q30" s="53">
        <v>69115.3</v>
      </c>
      <c r="R30" s="53">
        <v>73070.7</v>
      </c>
      <c r="S30" s="53">
        <v>76895.100000000006</v>
      </c>
      <c r="T30" s="53">
        <v>80583.899999999994</v>
      </c>
      <c r="U30" s="53">
        <v>84145.8</v>
      </c>
      <c r="V30" s="53">
        <v>87591.2</v>
      </c>
      <c r="W30" s="53">
        <v>90919.5</v>
      </c>
      <c r="X30" s="53">
        <v>94141.3</v>
      </c>
      <c r="Y30" s="53">
        <v>97264.6</v>
      </c>
      <c r="Z30" s="53">
        <v>100288</v>
      </c>
      <c r="AA30" s="53">
        <v>103217</v>
      </c>
      <c r="AB30" s="53">
        <v>106051</v>
      </c>
      <c r="AC30" s="53">
        <v>108790</v>
      </c>
      <c r="AD30" s="53">
        <v>111468</v>
      </c>
      <c r="AE30" s="53">
        <v>114119</v>
      </c>
      <c r="AF30" s="53">
        <v>116750</v>
      </c>
      <c r="AG30" s="53">
        <v>119366</v>
      </c>
      <c r="AH30" s="53">
        <v>121973</v>
      </c>
      <c r="AI30" s="53">
        <v>124567</v>
      </c>
      <c r="AJ30" s="53">
        <v>127134</v>
      </c>
    </row>
    <row r="31" spans="1:36" x14ac:dyDescent="0.45">
      <c r="A31" s="53" t="s">
        <v>21</v>
      </c>
      <c r="B31" s="53" t="s">
        <v>97</v>
      </c>
      <c r="C31" s="53" t="s">
        <v>98</v>
      </c>
      <c r="D31" s="53">
        <v>0</v>
      </c>
      <c r="E31" s="53">
        <v>0</v>
      </c>
      <c r="F31" s="54">
        <v>23511100000</v>
      </c>
      <c r="G31" s="54">
        <v>62988100000</v>
      </c>
      <c r="H31" s="54">
        <v>105264000000</v>
      </c>
      <c r="I31" s="54">
        <v>144855000000</v>
      </c>
      <c r="J31" s="54">
        <v>181546000000</v>
      </c>
      <c r="K31" s="54">
        <v>212930000000</v>
      </c>
      <c r="L31" s="54">
        <v>241680000000</v>
      </c>
      <c r="M31" s="54">
        <v>271635000000</v>
      </c>
      <c r="N31" s="54">
        <v>308261000000</v>
      </c>
      <c r="O31" s="54">
        <v>349770000000</v>
      </c>
      <c r="P31" s="54">
        <v>395562000000</v>
      </c>
      <c r="Q31" s="54">
        <v>428204000000</v>
      </c>
      <c r="R31" s="54">
        <v>447925000000</v>
      </c>
      <c r="S31" s="54">
        <v>455336000000</v>
      </c>
      <c r="T31" s="54">
        <v>452741000000</v>
      </c>
      <c r="U31" s="54">
        <v>439999000000</v>
      </c>
      <c r="V31" s="54">
        <v>419781000000</v>
      </c>
      <c r="W31" s="54">
        <v>393929000000</v>
      </c>
      <c r="X31" s="54">
        <v>362095000000</v>
      </c>
      <c r="Y31" s="54">
        <v>325022000000</v>
      </c>
      <c r="Z31" s="54">
        <v>281842000000</v>
      </c>
      <c r="AA31" s="54">
        <v>233682000000</v>
      </c>
      <c r="AB31" s="54">
        <v>180528000000</v>
      </c>
      <c r="AC31" s="54">
        <v>123618000000</v>
      </c>
      <c r="AD31" s="54">
        <v>64435700000</v>
      </c>
      <c r="AE31" s="54">
        <v>3483470000</v>
      </c>
      <c r="AF31" s="54">
        <v>-57570600000</v>
      </c>
      <c r="AG31" s="54">
        <v>-123647000000</v>
      </c>
      <c r="AH31" s="54">
        <v>-198102000000</v>
      </c>
      <c r="AI31" s="54">
        <v>-278394000000</v>
      </c>
      <c r="AJ31" s="54">
        <v>-362487000000</v>
      </c>
    </row>
    <row r="32" spans="1:36" x14ac:dyDescent="0.45">
      <c r="A32" s="53" t="s">
        <v>3</v>
      </c>
      <c r="B32" s="53" t="s">
        <v>9</v>
      </c>
      <c r="C32" s="53" t="s">
        <v>81</v>
      </c>
      <c r="D32" s="53">
        <v>5853.96</v>
      </c>
      <c r="E32" s="53">
        <v>11562</v>
      </c>
      <c r="F32" s="53">
        <v>17085.599999999999</v>
      </c>
      <c r="G32" s="53">
        <v>22434.6</v>
      </c>
      <c r="H32" s="53">
        <v>27664.799999999999</v>
      </c>
      <c r="I32" s="53">
        <v>32784.1</v>
      </c>
      <c r="J32" s="53">
        <v>37777.4</v>
      </c>
      <c r="K32" s="53">
        <v>42643.9</v>
      </c>
      <c r="L32" s="53">
        <v>47385.1</v>
      </c>
      <c r="M32" s="53">
        <v>51990.8</v>
      </c>
      <c r="N32" s="53">
        <v>56476.7</v>
      </c>
      <c r="O32" s="53">
        <v>60840.4</v>
      </c>
      <c r="P32" s="53">
        <v>65076.9</v>
      </c>
      <c r="Q32" s="53">
        <v>69180.399999999994</v>
      </c>
      <c r="R32" s="53">
        <v>73144.399999999994</v>
      </c>
      <c r="S32" s="53">
        <v>76980.100000000006</v>
      </c>
      <c r="T32" s="53">
        <v>80685.600000000006</v>
      </c>
      <c r="U32" s="53">
        <v>84266.8</v>
      </c>
      <c r="V32" s="53">
        <v>87728.3</v>
      </c>
      <c r="W32" s="53">
        <v>91076.7</v>
      </c>
      <c r="X32" s="53">
        <v>94317.5</v>
      </c>
      <c r="Y32" s="53">
        <v>97456.7</v>
      </c>
      <c r="Z32" s="53">
        <v>100500</v>
      </c>
      <c r="AA32" s="53">
        <v>103447</v>
      </c>
      <c r="AB32" s="53">
        <v>106305</v>
      </c>
      <c r="AC32" s="53">
        <v>109065</v>
      </c>
      <c r="AD32" s="53">
        <v>111765</v>
      </c>
      <c r="AE32" s="53">
        <v>114440</v>
      </c>
      <c r="AF32" s="53">
        <v>117094</v>
      </c>
      <c r="AG32" s="53">
        <v>119735</v>
      </c>
      <c r="AH32" s="53">
        <v>122368</v>
      </c>
      <c r="AI32" s="53">
        <v>124989</v>
      </c>
      <c r="AJ32" s="53">
        <v>127583</v>
      </c>
    </row>
    <row r="33" spans="1:36" x14ac:dyDescent="0.45">
      <c r="A33" s="53" t="s">
        <v>21</v>
      </c>
      <c r="B33" s="53" t="s">
        <v>9</v>
      </c>
      <c r="C33" s="53" t="s">
        <v>81</v>
      </c>
      <c r="D33" s="53">
        <v>0</v>
      </c>
      <c r="E33" s="53">
        <v>0</v>
      </c>
      <c r="F33" s="54">
        <v>23159000000</v>
      </c>
      <c r="G33" s="54">
        <v>62688700000</v>
      </c>
      <c r="H33" s="54">
        <v>105519000000</v>
      </c>
      <c r="I33" s="54">
        <v>146095000000</v>
      </c>
      <c r="J33" s="54">
        <v>184170000000</v>
      </c>
      <c r="K33" s="54">
        <v>217342000000</v>
      </c>
      <c r="L33" s="54">
        <v>248306000000</v>
      </c>
      <c r="M33" s="54">
        <v>280836000000</v>
      </c>
      <c r="N33" s="54">
        <v>320355000000</v>
      </c>
      <c r="O33" s="54">
        <v>365191000000</v>
      </c>
      <c r="P33" s="54">
        <v>414627000000</v>
      </c>
      <c r="Q33" s="54">
        <v>451323000000</v>
      </c>
      <c r="R33" s="54">
        <v>475694000000</v>
      </c>
      <c r="S33" s="54">
        <v>488087000000</v>
      </c>
      <c r="T33" s="54">
        <v>490472000000</v>
      </c>
      <c r="U33" s="54">
        <v>482204000000</v>
      </c>
      <c r="V33" s="54">
        <v>465888000000</v>
      </c>
      <c r="W33" s="54">
        <v>446309000000</v>
      </c>
      <c r="X33" s="54">
        <v>420018000000</v>
      </c>
      <c r="Y33" s="54">
        <v>387441000000</v>
      </c>
      <c r="Z33" s="54">
        <v>349402000000</v>
      </c>
      <c r="AA33" s="54">
        <v>306202000000</v>
      </c>
      <c r="AB33" s="54">
        <v>257518000000</v>
      </c>
      <c r="AC33" s="54">
        <v>204678000000</v>
      </c>
      <c r="AD33" s="54">
        <v>149021000000</v>
      </c>
      <c r="AE33" s="54">
        <v>91857800000</v>
      </c>
      <c r="AF33" s="54">
        <v>34382500000</v>
      </c>
      <c r="AG33" s="54">
        <v>-28300400000</v>
      </c>
      <c r="AH33" s="54">
        <v>-99171700000</v>
      </c>
      <c r="AI33" s="54">
        <v>-175786000000</v>
      </c>
      <c r="AJ33" s="54">
        <v>-256180000000</v>
      </c>
    </row>
    <row r="34" spans="1:36" x14ac:dyDescent="0.45">
      <c r="A34" s="53" t="s">
        <v>3</v>
      </c>
      <c r="B34" s="53" t="s">
        <v>10</v>
      </c>
      <c r="C34" s="53" t="s">
        <v>99</v>
      </c>
      <c r="D34" s="53">
        <v>5853.96</v>
      </c>
      <c r="E34" s="53">
        <v>11562</v>
      </c>
      <c r="F34" s="53">
        <v>17084</v>
      </c>
      <c r="G34" s="53">
        <v>22430.3</v>
      </c>
      <c r="H34" s="53">
        <v>27658.1</v>
      </c>
      <c r="I34" s="53">
        <v>32776.199999999997</v>
      </c>
      <c r="J34" s="53">
        <v>37768.199999999997</v>
      </c>
      <c r="K34" s="53">
        <v>42635.1</v>
      </c>
      <c r="L34" s="53">
        <v>47378</v>
      </c>
      <c r="M34" s="53">
        <v>51987</v>
      </c>
      <c r="N34" s="53">
        <v>56477.2</v>
      </c>
      <c r="O34" s="53">
        <v>60846.5</v>
      </c>
      <c r="P34" s="53">
        <v>65090.3</v>
      </c>
      <c r="Q34" s="53">
        <v>69202.5</v>
      </c>
      <c r="R34" s="53">
        <v>73177</v>
      </c>
      <c r="S34" s="53">
        <v>77024</v>
      </c>
      <c r="T34" s="53">
        <v>80742.5</v>
      </c>
      <c r="U34" s="53">
        <v>84338.2</v>
      </c>
      <c r="V34" s="53">
        <v>87815.4</v>
      </c>
      <c r="W34" s="53">
        <v>91180.2</v>
      </c>
      <c r="X34" s="53">
        <v>94437.8</v>
      </c>
      <c r="Y34" s="53">
        <v>97594.2</v>
      </c>
      <c r="Z34" s="53">
        <v>100655</v>
      </c>
      <c r="AA34" s="53">
        <v>103620</v>
      </c>
      <c r="AB34" s="53">
        <v>106495</v>
      </c>
      <c r="AC34" s="53">
        <v>109273</v>
      </c>
      <c r="AD34" s="53">
        <v>111992</v>
      </c>
      <c r="AE34" s="53">
        <v>114684</v>
      </c>
      <c r="AF34" s="53">
        <v>117357</v>
      </c>
      <c r="AG34" s="53">
        <v>120017</v>
      </c>
      <c r="AH34" s="53">
        <v>122668</v>
      </c>
      <c r="AI34" s="53">
        <v>125307</v>
      </c>
      <c r="AJ34" s="53">
        <v>127921</v>
      </c>
    </row>
    <row r="35" spans="1:36" x14ac:dyDescent="0.45">
      <c r="A35" s="53" t="s">
        <v>21</v>
      </c>
      <c r="B35" s="53" t="s">
        <v>10</v>
      </c>
      <c r="C35" s="53" t="s">
        <v>99</v>
      </c>
      <c r="D35" s="53">
        <v>0</v>
      </c>
      <c r="E35" s="53">
        <v>0</v>
      </c>
      <c r="F35" s="54">
        <v>23511600000</v>
      </c>
      <c r="G35" s="54">
        <v>63125100000</v>
      </c>
      <c r="H35" s="54">
        <v>105780000000</v>
      </c>
      <c r="I35" s="54">
        <v>146128000000</v>
      </c>
      <c r="J35" s="54">
        <v>183896000000</v>
      </c>
      <c r="K35" s="54">
        <v>216736000000</v>
      </c>
      <c r="L35" s="54">
        <v>247685000000</v>
      </c>
      <c r="M35" s="54">
        <v>280625000000</v>
      </c>
      <c r="N35" s="54">
        <v>320877000000</v>
      </c>
      <c r="O35" s="54">
        <v>366581000000</v>
      </c>
      <c r="P35" s="54">
        <v>416997000000</v>
      </c>
      <c r="Q35" s="54">
        <v>454955000000</v>
      </c>
      <c r="R35" s="54">
        <v>480895000000</v>
      </c>
      <c r="S35" s="54">
        <v>495142000000</v>
      </c>
      <c r="T35" s="54">
        <v>499689000000</v>
      </c>
      <c r="U35" s="54">
        <v>493891000000</v>
      </c>
      <c r="V35" s="54">
        <v>480177000000</v>
      </c>
      <c r="W35" s="54">
        <v>463244000000</v>
      </c>
      <c r="X35" s="54">
        <v>439579000000</v>
      </c>
      <c r="Y35" s="54">
        <v>409600000000</v>
      </c>
      <c r="Z35" s="54">
        <v>374198000000</v>
      </c>
      <c r="AA35" s="54">
        <v>333621000000</v>
      </c>
      <c r="AB35" s="54">
        <v>287545000000</v>
      </c>
      <c r="AC35" s="54">
        <v>237333000000</v>
      </c>
      <c r="AD35" s="54">
        <v>184314000000</v>
      </c>
      <c r="AE35" s="54">
        <v>129756000000</v>
      </c>
      <c r="AF35" s="54">
        <v>74859100000</v>
      </c>
      <c r="AG35" s="54">
        <v>14717800000</v>
      </c>
      <c r="AH35" s="54">
        <v>-53644200000</v>
      </c>
      <c r="AI35" s="54">
        <v>-127801000000</v>
      </c>
      <c r="AJ35" s="54">
        <v>-205769000000</v>
      </c>
    </row>
    <row r="36" spans="1:36" x14ac:dyDescent="0.45">
      <c r="A36" s="53" t="s">
        <v>3</v>
      </c>
      <c r="B36" s="53" t="s">
        <v>8</v>
      </c>
      <c r="C36" s="53" t="s">
        <v>100</v>
      </c>
      <c r="D36" s="53">
        <v>5853.96</v>
      </c>
      <c r="E36" s="53">
        <v>11562</v>
      </c>
      <c r="F36" s="53">
        <v>17099.400000000001</v>
      </c>
      <c r="G36" s="53">
        <v>22476.400000000001</v>
      </c>
      <c r="H36" s="53">
        <v>27748.7</v>
      </c>
      <c r="I36" s="53">
        <v>32925</v>
      </c>
      <c r="J36" s="53">
        <v>37989.300000000003</v>
      </c>
      <c r="K36" s="53">
        <v>42940.9</v>
      </c>
      <c r="L36" s="53">
        <v>47781.3</v>
      </c>
      <c r="M36" s="53">
        <v>52500.7</v>
      </c>
      <c r="N36" s="53">
        <v>57114.3</v>
      </c>
      <c r="O36" s="53">
        <v>61620.1</v>
      </c>
      <c r="P36" s="53">
        <v>66012.899999999994</v>
      </c>
      <c r="Q36" s="53">
        <v>70269.3</v>
      </c>
      <c r="R36" s="53">
        <v>74383.100000000006</v>
      </c>
      <c r="S36" s="53">
        <v>78365.8</v>
      </c>
      <c r="T36" s="53">
        <v>82214.600000000006</v>
      </c>
      <c r="U36" s="53">
        <v>85935.6</v>
      </c>
      <c r="V36" s="53">
        <v>89533.6</v>
      </c>
      <c r="W36" s="53">
        <v>93015.4</v>
      </c>
      <c r="X36" s="53">
        <v>96387</v>
      </c>
      <c r="Y36" s="53">
        <v>99654.3</v>
      </c>
      <c r="Z36" s="53">
        <v>102823</v>
      </c>
      <c r="AA36" s="53">
        <v>105894</v>
      </c>
      <c r="AB36" s="53">
        <v>108872</v>
      </c>
      <c r="AC36" s="53">
        <v>111751</v>
      </c>
      <c r="AD36" s="53">
        <v>114567</v>
      </c>
      <c r="AE36" s="53">
        <v>117355</v>
      </c>
      <c r="AF36" s="53">
        <v>120121</v>
      </c>
      <c r="AG36" s="53">
        <v>122871</v>
      </c>
      <c r="AH36" s="53">
        <v>125610</v>
      </c>
      <c r="AI36" s="53">
        <v>128334</v>
      </c>
      <c r="AJ36" s="53">
        <v>131029</v>
      </c>
    </row>
    <row r="37" spans="1:36" x14ac:dyDescent="0.45">
      <c r="A37" s="53" t="s">
        <v>21</v>
      </c>
      <c r="B37" s="53" t="s">
        <v>8</v>
      </c>
      <c r="C37" s="53" t="s">
        <v>100</v>
      </c>
      <c r="D37" s="53">
        <v>0</v>
      </c>
      <c r="E37" s="53">
        <v>0</v>
      </c>
      <c r="F37" s="54">
        <v>24243300000</v>
      </c>
      <c r="G37" s="54">
        <v>65267000000</v>
      </c>
      <c r="H37" s="54">
        <v>109937000000</v>
      </c>
      <c r="I37" s="54">
        <v>152664000000</v>
      </c>
      <c r="J37" s="54">
        <v>192888000000</v>
      </c>
      <c r="K37" s="54">
        <v>227872000000</v>
      </c>
      <c r="L37" s="54">
        <v>259613000000</v>
      </c>
      <c r="M37" s="54">
        <v>285917000000</v>
      </c>
      <c r="N37" s="54">
        <v>304424000000</v>
      </c>
      <c r="O37" s="54">
        <v>313494000000</v>
      </c>
      <c r="P37" s="54">
        <v>312050000000</v>
      </c>
      <c r="Q37" s="54">
        <v>300188000000</v>
      </c>
      <c r="R37" s="54">
        <v>278203000000</v>
      </c>
      <c r="S37" s="54">
        <v>246295000000</v>
      </c>
      <c r="T37" s="54">
        <v>206316000000</v>
      </c>
      <c r="U37" s="54">
        <v>157585000000</v>
      </c>
      <c r="V37" s="54">
        <v>102611000000</v>
      </c>
      <c r="W37" s="54">
        <v>45998300000</v>
      </c>
      <c r="X37" s="54">
        <v>-15728000000</v>
      </c>
      <c r="Y37" s="54">
        <v>-82282800000</v>
      </c>
      <c r="Z37" s="54">
        <v>-152911000000</v>
      </c>
      <c r="AA37" s="54">
        <v>-227397000000</v>
      </c>
      <c r="AB37" s="54">
        <v>-306115000000</v>
      </c>
      <c r="AC37" s="54">
        <v>-387795000000</v>
      </c>
      <c r="AD37" s="54">
        <v>-471073000000</v>
      </c>
      <c r="AE37" s="54">
        <v>-554667000000</v>
      </c>
      <c r="AF37" s="54">
        <v>-637518000000</v>
      </c>
      <c r="AG37" s="54">
        <v>-724548000000</v>
      </c>
      <c r="AH37" s="54">
        <v>-818744000000</v>
      </c>
      <c r="AI37" s="54">
        <v>-917692000000</v>
      </c>
      <c r="AJ37" s="54">
        <v>-1019470000000</v>
      </c>
    </row>
    <row r="38" spans="1:36" x14ac:dyDescent="0.45">
      <c r="A38" s="53" t="s">
        <v>3</v>
      </c>
      <c r="B38" s="53" t="s">
        <v>23</v>
      </c>
      <c r="C38" s="53" t="s">
        <v>82</v>
      </c>
      <c r="D38" s="53">
        <v>5853.96</v>
      </c>
      <c r="E38" s="53">
        <v>11562</v>
      </c>
      <c r="F38" s="53">
        <v>17176.099999999999</v>
      </c>
      <c r="G38" s="53">
        <v>22699.8</v>
      </c>
      <c r="H38" s="53">
        <v>28168.2</v>
      </c>
      <c r="I38" s="53">
        <v>33591.1</v>
      </c>
      <c r="J38" s="53">
        <v>38966.300000000003</v>
      </c>
      <c r="K38" s="53">
        <v>44271.4</v>
      </c>
      <c r="L38" s="53">
        <v>49499.6</v>
      </c>
      <c r="M38" s="53">
        <v>54621.3</v>
      </c>
      <c r="N38" s="53">
        <v>59650.2</v>
      </c>
      <c r="O38" s="53">
        <v>64563.7</v>
      </c>
      <c r="P38" s="53">
        <v>69350.600000000006</v>
      </c>
      <c r="Q38" s="53">
        <v>74019.899999999994</v>
      </c>
      <c r="R38" s="53">
        <v>78570.8</v>
      </c>
      <c r="S38" s="53">
        <v>83000.3</v>
      </c>
      <c r="T38" s="53">
        <v>87298.5</v>
      </c>
      <c r="U38" s="53">
        <v>91469.3</v>
      </c>
      <c r="V38" s="53">
        <v>95534.3</v>
      </c>
      <c r="W38" s="53">
        <v>99469.9</v>
      </c>
      <c r="X38" s="53">
        <v>103292</v>
      </c>
      <c r="Y38" s="53">
        <v>106998</v>
      </c>
      <c r="Z38" s="53">
        <v>110596</v>
      </c>
      <c r="AA38" s="53">
        <v>114069</v>
      </c>
      <c r="AB38" s="53">
        <v>117429</v>
      </c>
      <c r="AC38" s="53">
        <v>120665</v>
      </c>
      <c r="AD38" s="53">
        <v>123816</v>
      </c>
      <c r="AE38" s="53">
        <v>126959</v>
      </c>
      <c r="AF38" s="53">
        <v>130097</v>
      </c>
      <c r="AG38" s="53">
        <v>133238</v>
      </c>
      <c r="AH38" s="53">
        <v>136388</v>
      </c>
      <c r="AI38" s="53">
        <v>139540</v>
      </c>
      <c r="AJ38" s="53">
        <v>142680</v>
      </c>
    </row>
    <row r="39" spans="1:36" x14ac:dyDescent="0.45">
      <c r="A39" s="53" t="s">
        <v>21</v>
      </c>
      <c r="B39" s="53" t="s">
        <v>23</v>
      </c>
      <c r="C39" s="53" t="s">
        <v>82</v>
      </c>
      <c r="D39" s="53">
        <v>0</v>
      </c>
      <c r="E39" s="53">
        <v>0</v>
      </c>
      <c r="F39" s="54">
        <v>24575200000</v>
      </c>
      <c r="G39" s="54">
        <v>63605800000</v>
      </c>
      <c r="H39" s="54">
        <v>103253000000</v>
      </c>
      <c r="I39" s="54">
        <v>139162000000</v>
      </c>
      <c r="J39" s="54">
        <v>172583000000</v>
      </c>
      <c r="K39" s="54">
        <v>200035000000</v>
      </c>
      <c r="L39" s="54">
        <v>224771000000</v>
      </c>
      <c r="M39" s="54">
        <v>251677000000</v>
      </c>
      <c r="N39" s="54">
        <v>286488000000</v>
      </c>
      <c r="O39" s="54">
        <v>337232000000</v>
      </c>
      <c r="P39" s="54">
        <v>450332000000</v>
      </c>
      <c r="Q39" s="54">
        <v>550421000000</v>
      </c>
      <c r="R39" s="54">
        <v>636307000000</v>
      </c>
      <c r="S39" s="54">
        <v>707738000000</v>
      </c>
      <c r="T39" s="54">
        <v>768079000000</v>
      </c>
      <c r="U39" s="54">
        <v>817167000000</v>
      </c>
      <c r="V39" s="54">
        <v>857711000000</v>
      </c>
      <c r="W39" s="54">
        <v>892180000000</v>
      </c>
      <c r="X39" s="54">
        <v>916727000000</v>
      </c>
      <c r="Y39" s="54">
        <v>933143000000</v>
      </c>
      <c r="Z39" s="54">
        <v>941866000000</v>
      </c>
      <c r="AA39" s="54">
        <v>943591000000</v>
      </c>
      <c r="AB39" s="54">
        <v>938746000000</v>
      </c>
      <c r="AC39" s="54">
        <v>927812000000</v>
      </c>
      <c r="AD39" s="54">
        <v>911297000000</v>
      </c>
      <c r="AE39" s="54">
        <v>891795000000</v>
      </c>
      <c r="AF39" s="54">
        <v>870103000000</v>
      </c>
      <c r="AG39" s="54">
        <v>841073000000</v>
      </c>
      <c r="AH39" s="54">
        <v>801994000000</v>
      </c>
      <c r="AI39" s="54">
        <v>755370000000</v>
      </c>
      <c r="AJ39" s="54">
        <v>703254000000</v>
      </c>
    </row>
    <row r="40" spans="1:36" x14ac:dyDescent="0.45">
      <c r="A40" s="53" t="s">
        <v>3</v>
      </c>
      <c r="B40" s="53" t="s">
        <v>18</v>
      </c>
      <c r="C40" s="53" t="s">
        <v>19</v>
      </c>
      <c r="D40" s="53">
        <v>5853.96</v>
      </c>
      <c r="E40" s="53">
        <v>11562</v>
      </c>
      <c r="F40" s="53">
        <v>17249.599999999999</v>
      </c>
      <c r="G40" s="53">
        <v>22903.3</v>
      </c>
      <c r="H40" s="53">
        <v>28551.8</v>
      </c>
      <c r="I40" s="53">
        <v>34203.199999999997</v>
      </c>
      <c r="J40" s="53">
        <v>39874.6</v>
      </c>
      <c r="K40" s="53">
        <v>45558.400000000001</v>
      </c>
      <c r="L40" s="53">
        <v>51258.3</v>
      </c>
      <c r="M40" s="53">
        <v>56957.5</v>
      </c>
      <c r="N40" s="53">
        <v>62680</v>
      </c>
      <c r="O40" s="53">
        <v>68402.399999999994</v>
      </c>
      <c r="P40" s="53">
        <v>74137.2</v>
      </c>
      <c r="Q40" s="53">
        <v>79845.8</v>
      </c>
      <c r="R40" s="53">
        <v>85549.8</v>
      </c>
      <c r="S40" s="53">
        <v>91247.6</v>
      </c>
      <c r="T40" s="53">
        <v>96924.2</v>
      </c>
      <c r="U40" s="53">
        <v>102594</v>
      </c>
      <c r="V40" s="53">
        <v>108270</v>
      </c>
      <c r="W40" s="53">
        <v>113940</v>
      </c>
      <c r="X40" s="53">
        <v>119612</v>
      </c>
      <c r="Y40" s="53">
        <v>125288</v>
      </c>
      <c r="Z40" s="53">
        <v>130976</v>
      </c>
      <c r="AA40" s="53">
        <v>136658</v>
      </c>
      <c r="AB40" s="53">
        <v>142351</v>
      </c>
      <c r="AC40" s="53">
        <v>148050</v>
      </c>
      <c r="AD40" s="53">
        <v>153774</v>
      </c>
      <c r="AE40" s="53">
        <v>159523</v>
      </c>
      <c r="AF40" s="53">
        <v>165291</v>
      </c>
      <c r="AG40" s="53">
        <v>171084</v>
      </c>
      <c r="AH40" s="53">
        <v>176918</v>
      </c>
      <c r="AI40" s="53">
        <v>182779</v>
      </c>
      <c r="AJ40" s="53">
        <v>188653</v>
      </c>
    </row>
    <row r="41" spans="1:36" x14ac:dyDescent="0.45">
      <c r="A41" s="53" t="s">
        <v>21</v>
      </c>
      <c r="B41" s="53" t="s">
        <v>18</v>
      </c>
      <c r="C41" s="53" t="s">
        <v>19</v>
      </c>
      <c r="D41" s="53">
        <v>0</v>
      </c>
      <c r="E41" s="53">
        <v>0</v>
      </c>
      <c r="F41" s="53">
        <v>0</v>
      </c>
      <c r="G41" s="53">
        <v>0</v>
      </c>
      <c r="H41" s="53">
        <v>0</v>
      </c>
      <c r="I41" s="53">
        <v>0</v>
      </c>
      <c r="J41" s="53">
        <v>0</v>
      </c>
      <c r="K41" s="53">
        <v>0</v>
      </c>
      <c r="L41" s="53">
        <v>0</v>
      </c>
      <c r="M41" s="53">
        <v>0</v>
      </c>
      <c r="N41" s="53">
        <v>0</v>
      </c>
      <c r="O41" s="53">
        <v>0</v>
      </c>
      <c r="P41" s="53">
        <v>0</v>
      </c>
      <c r="Q41" s="53">
        <v>0</v>
      </c>
      <c r="R41" s="53">
        <v>0</v>
      </c>
      <c r="S41" s="53">
        <v>0</v>
      </c>
      <c r="T41" s="53">
        <v>0</v>
      </c>
      <c r="U41" s="53">
        <v>0</v>
      </c>
      <c r="V41" s="53">
        <v>0</v>
      </c>
      <c r="W41" s="53">
        <v>0</v>
      </c>
      <c r="X41" s="53">
        <v>0</v>
      </c>
      <c r="Y41" s="53">
        <v>0</v>
      </c>
      <c r="Z41" s="53">
        <v>0</v>
      </c>
      <c r="AA41" s="53">
        <v>0</v>
      </c>
      <c r="AB41" s="53">
        <v>0</v>
      </c>
      <c r="AC41" s="53">
        <v>0</v>
      </c>
      <c r="AD41" s="53">
        <v>0</v>
      </c>
      <c r="AE41" s="53">
        <v>0</v>
      </c>
      <c r="AF41" s="53">
        <v>0</v>
      </c>
      <c r="AG41" s="53">
        <v>0</v>
      </c>
      <c r="AH41" s="53">
        <v>0</v>
      </c>
      <c r="AI41" s="53">
        <v>0</v>
      </c>
      <c r="AJ41" s="53">
        <v>0</v>
      </c>
    </row>
    <row r="42" spans="1:36" x14ac:dyDescent="0.45">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c r="AA42" s="53"/>
      <c r="AB42" s="53"/>
      <c r="AC42" s="53"/>
      <c r="AD42" s="53"/>
      <c r="AE42" s="53"/>
      <c r="AF42" s="53"/>
      <c r="AG42" s="53"/>
      <c r="AH42" s="53"/>
      <c r="AI42" s="53"/>
      <c r="AJ42" s="53"/>
    </row>
    <row r="43" spans="1:36" x14ac:dyDescent="0.45">
      <c r="A43" s="53"/>
      <c r="B43" s="53"/>
      <c r="C43" s="53"/>
      <c r="D43" s="54"/>
      <c r="E43" s="54"/>
      <c r="F43" s="54"/>
      <c r="G43" s="54"/>
      <c r="H43" s="54"/>
      <c r="I43" s="54"/>
      <c r="J43" s="54"/>
      <c r="K43" s="54"/>
      <c r="L43" s="54"/>
      <c r="M43" s="54"/>
      <c r="N43" s="54"/>
      <c r="O43" s="54"/>
      <c r="P43" s="54"/>
      <c r="Q43" s="54"/>
      <c r="R43" s="54"/>
      <c r="S43" s="54"/>
      <c r="T43" s="54"/>
      <c r="U43" s="54"/>
      <c r="V43" s="54"/>
      <c r="W43" s="54"/>
      <c r="X43" s="54"/>
      <c r="Y43" s="54"/>
      <c r="Z43" s="54"/>
      <c r="AA43" s="54"/>
      <c r="AB43" s="54"/>
      <c r="AC43" s="54"/>
      <c r="AD43" s="54"/>
      <c r="AE43" s="54"/>
      <c r="AF43" s="54"/>
      <c r="AG43" s="54"/>
      <c r="AH43" s="54"/>
      <c r="AI43" s="54"/>
      <c r="AJ43" s="54"/>
    </row>
    <row r="44" spans="1:36" x14ac:dyDescent="0.45">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c r="AA44" s="53"/>
      <c r="AB44" s="53"/>
      <c r="AC44" s="53"/>
      <c r="AD44" s="53"/>
      <c r="AE44" s="53"/>
      <c r="AF44" s="53"/>
      <c r="AG44" s="53"/>
      <c r="AH44" s="53"/>
      <c r="AI44" s="53"/>
      <c r="AJ44" s="53"/>
    </row>
    <row r="45" spans="1:36" x14ac:dyDescent="0.45">
      <c r="A45" s="53"/>
      <c r="B45" s="53"/>
      <c r="C45" s="53"/>
      <c r="D45" s="54"/>
      <c r="E45" s="54"/>
      <c r="F45" s="54"/>
      <c r="G45" s="54"/>
      <c r="H45" s="54"/>
      <c r="I45" s="54"/>
      <c r="J45" s="54"/>
      <c r="K45" s="54"/>
      <c r="L45" s="54"/>
      <c r="M45" s="54"/>
      <c r="N45" s="54"/>
      <c r="O45" s="54"/>
      <c r="P45" s="54"/>
      <c r="Q45" s="54"/>
      <c r="R45" s="54"/>
      <c r="S45" s="54"/>
      <c r="T45" s="54"/>
      <c r="U45" s="54"/>
      <c r="V45" s="54"/>
      <c r="W45" s="54"/>
      <c r="X45" s="54"/>
      <c r="Y45" s="54"/>
      <c r="Z45" s="54"/>
      <c r="AA45" s="54"/>
      <c r="AB45" s="54"/>
      <c r="AC45" s="54"/>
      <c r="AD45" s="54"/>
      <c r="AE45" s="54"/>
      <c r="AF45" s="54"/>
      <c r="AG45" s="54"/>
      <c r="AH45" s="54"/>
      <c r="AI45" s="54"/>
      <c r="AJ45" s="54"/>
    </row>
    <row r="46" spans="1:36" x14ac:dyDescent="0.45">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c r="AA46" s="53"/>
      <c r="AB46" s="53"/>
      <c r="AC46" s="53"/>
      <c r="AD46" s="53"/>
      <c r="AE46" s="53"/>
      <c r="AF46" s="53"/>
      <c r="AG46" s="53"/>
      <c r="AH46" s="53"/>
      <c r="AI46" s="53"/>
      <c r="AJ46" s="53"/>
    </row>
    <row r="47" spans="1:36" x14ac:dyDescent="0.45">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c r="AA47" s="53"/>
      <c r="AB47" s="53"/>
      <c r="AC47" s="53"/>
      <c r="AD47" s="53"/>
      <c r="AE47" s="53"/>
      <c r="AF47" s="53"/>
      <c r="AG47" s="53"/>
      <c r="AH47" s="53"/>
      <c r="AI47" s="53"/>
      <c r="AJ47" s="5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Calculations</vt:lpstr>
      <vt:lpstr>Cost Curve</vt:lpstr>
      <vt:lpstr>1.4.3-us-RevNeuCTax-EI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jeff-nonadmin</dc:creator>
  <cp:lastModifiedBy>Megan Mahajan</cp:lastModifiedBy>
  <dcterms:created xsi:type="dcterms:W3CDTF">2017-03-20T18:51:30Z</dcterms:created>
  <dcterms:modified xsi:type="dcterms:W3CDTF">2019-05-31T18:37:44Z</dcterms:modified>
</cp:coreProperties>
</file>